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lr264_st-andrews_ac_uk/Documents/key_bank_data/EU/"/>
    </mc:Choice>
  </mc:AlternateContent>
  <xr:revisionPtr revIDLastSave="0" documentId="8_{8E3D7A79-AE16-4091-9920-1209FF98FA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Data" sheetId="2" r:id="rId1"/>
    <sheet name="ReferenceData" sheetId="3" r:id="rId2"/>
    <sheet name="Help-Referen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9" i="3" l="1"/>
  <c r="C407" i="3"/>
  <c r="C411" i="3"/>
  <c r="DU423" i="3"/>
  <c r="DT423" i="3"/>
  <c r="DS423" i="3"/>
  <c r="DR423" i="3"/>
  <c r="DQ423" i="3"/>
  <c r="DP423" i="3"/>
  <c r="DO423" i="3"/>
  <c r="DN423" i="3"/>
  <c r="DM423" i="3"/>
  <c r="DL423" i="3"/>
  <c r="DK423" i="3"/>
  <c r="DJ423" i="3"/>
  <c r="DI423" i="3"/>
  <c r="DH423" i="3"/>
  <c r="DG423" i="3"/>
  <c r="DF423" i="3"/>
  <c r="DE423" i="3"/>
  <c r="DD423" i="3"/>
  <c r="DC423" i="3"/>
  <c r="DB423" i="3"/>
  <c r="DA423" i="3"/>
  <c r="CZ423" i="3"/>
  <c r="CY423" i="3"/>
  <c r="CX423" i="3"/>
  <c r="CW423" i="3"/>
  <c r="CV423" i="3"/>
  <c r="CU423" i="3"/>
  <c r="CT423" i="3"/>
  <c r="CS423" i="3"/>
  <c r="CR423" i="3"/>
  <c r="CQ423" i="3"/>
  <c r="CP423" i="3"/>
  <c r="CO423" i="3"/>
  <c r="CN423" i="3"/>
  <c r="CM423" i="3"/>
  <c r="CL423" i="3"/>
  <c r="CK423" i="3"/>
  <c r="CJ423" i="3"/>
  <c r="CI423" i="3"/>
  <c r="CH423" i="3"/>
  <c r="CG423" i="3"/>
  <c r="CF423" i="3"/>
  <c r="CE423" i="3"/>
  <c r="CD423" i="3"/>
  <c r="CC423" i="3"/>
  <c r="CB423" i="3"/>
  <c r="CA423" i="3"/>
  <c r="BZ423" i="3"/>
  <c r="BY423" i="3"/>
  <c r="BX423" i="3"/>
  <c r="BW423" i="3"/>
  <c r="BV423" i="3"/>
  <c r="BU423" i="3"/>
  <c r="BT423" i="3"/>
  <c r="BS423" i="3"/>
  <c r="BR423" i="3"/>
  <c r="BQ423" i="3"/>
  <c r="BP423" i="3"/>
  <c r="BO423" i="3"/>
  <c r="BN423" i="3"/>
  <c r="E423" i="3"/>
  <c r="D423" i="3"/>
  <c r="C423" i="3"/>
  <c r="B423" i="3"/>
  <c r="A423" i="3"/>
  <c r="DU422" i="3"/>
  <c r="DT422" i="3"/>
  <c r="DS422" i="3"/>
  <c r="DR422" i="3"/>
  <c r="DQ422" i="3"/>
  <c r="DP422" i="3"/>
  <c r="DO422" i="3"/>
  <c r="DN422" i="3"/>
  <c r="DM422" i="3"/>
  <c r="DL422" i="3"/>
  <c r="DK422" i="3"/>
  <c r="DJ422" i="3"/>
  <c r="DI422" i="3"/>
  <c r="DH422" i="3"/>
  <c r="DG422" i="3"/>
  <c r="DF422" i="3"/>
  <c r="DE422" i="3"/>
  <c r="DD422" i="3"/>
  <c r="DC422" i="3"/>
  <c r="DB422" i="3"/>
  <c r="DA422" i="3"/>
  <c r="CZ422" i="3"/>
  <c r="CY422" i="3"/>
  <c r="CX422" i="3"/>
  <c r="CW422" i="3"/>
  <c r="CV422" i="3"/>
  <c r="CU422" i="3"/>
  <c r="CT422" i="3"/>
  <c r="CS422" i="3"/>
  <c r="CR422" i="3"/>
  <c r="CQ422" i="3"/>
  <c r="CP422" i="3"/>
  <c r="CO422" i="3"/>
  <c r="CN422" i="3"/>
  <c r="CM422" i="3"/>
  <c r="CL422" i="3"/>
  <c r="CK422" i="3"/>
  <c r="CJ422" i="3"/>
  <c r="CI422" i="3"/>
  <c r="CH422" i="3"/>
  <c r="CG422" i="3"/>
  <c r="CF422" i="3"/>
  <c r="CE422" i="3"/>
  <c r="CD422" i="3"/>
  <c r="CC422" i="3"/>
  <c r="CB422" i="3"/>
  <c r="CA422" i="3"/>
  <c r="BZ422" i="3"/>
  <c r="BY422" i="3"/>
  <c r="BX422" i="3"/>
  <c r="BW422" i="3"/>
  <c r="BV422" i="3"/>
  <c r="BU422" i="3"/>
  <c r="BT422" i="3"/>
  <c r="BS422" i="3"/>
  <c r="BR422" i="3"/>
  <c r="BQ422" i="3"/>
  <c r="BP422" i="3"/>
  <c r="BO422" i="3"/>
  <c r="BN422" i="3"/>
  <c r="A422" i="3"/>
  <c r="DU421" i="3"/>
  <c r="DT421" i="3"/>
  <c r="DS421" i="3"/>
  <c r="DR421" i="3"/>
  <c r="DQ421" i="3"/>
  <c r="DP421" i="3"/>
  <c r="DO421" i="3"/>
  <c r="DN421" i="3"/>
  <c r="DM421" i="3"/>
  <c r="DL421" i="3"/>
  <c r="DK421" i="3"/>
  <c r="DJ421" i="3"/>
  <c r="DI421" i="3"/>
  <c r="DH421" i="3"/>
  <c r="DG421" i="3"/>
  <c r="DF421" i="3"/>
  <c r="DE421" i="3"/>
  <c r="DD421" i="3"/>
  <c r="DC421" i="3"/>
  <c r="DB421" i="3"/>
  <c r="DA421" i="3"/>
  <c r="CZ421" i="3"/>
  <c r="CY421" i="3"/>
  <c r="CX421" i="3"/>
  <c r="CW421" i="3"/>
  <c r="CV421" i="3"/>
  <c r="CU421" i="3"/>
  <c r="CT421" i="3"/>
  <c r="CS421" i="3"/>
  <c r="CR421" i="3"/>
  <c r="CQ421" i="3"/>
  <c r="CP421" i="3"/>
  <c r="CO421" i="3"/>
  <c r="CN421" i="3"/>
  <c r="CM421" i="3"/>
  <c r="CL421" i="3"/>
  <c r="CK421" i="3"/>
  <c r="CJ421" i="3"/>
  <c r="CI421" i="3"/>
  <c r="CH421" i="3"/>
  <c r="CG421" i="3"/>
  <c r="CF421" i="3"/>
  <c r="CE421" i="3"/>
  <c r="CD421" i="3"/>
  <c r="CC421" i="3"/>
  <c r="CB421" i="3"/>
  <c r="CA421" i="3"/>
  <c r="BZ421" i="3"/>
  <c r="BY421" i="3"/>
  <c r="BX421" i="3"/>
  <c r="BW421" i="3"/>
  <c r="BV421" i="3"/>
  <c r="BU421" i="3"/>
  <c r="BT421" i="3"/>
  <c r="BS421" i="3"/>
  <c r="BR421" i="3"/>
  <c r="BQ421" i="3"/>
  <c r="BP421" i="3"/>
  <c r="BO421" i="3"/>
  <c r="BN421" i="3"/>
  <c r="A421" i="3"/>
  <c r="DU420" i="3"/>
  <c r="DT420" i="3"/>
  <c r="DS420" i="3"/>
  <c r="DR420" i="3"/>
  <c r="DQ420" i="3"/>
  <c r="DP420" i="3"/>
  <c r="DO420" i="3"/>
  <c r="DN420" i="3"/>
  <c r="DM420" i="3"/>
  <c r="DL420" i="3"/>
  <c r="DK420" i="3"/>
  <c r="DJ420" i="3"/>
  <c r="DI420" i="3"/>
  <c r="DH420" i="3"/>
  <c r="DG420" i="3"/>
  <c r="DF420" i="3"/>
  <c r="DE420" i="3"/>
  <c r="DD420" i="3"/>
  <c r="DC420" i="3"/>
  <c r="DB420" i="3"/>
  <c r="DA420" i="3"/>
  <c r="CZ420" i="3"/>
  <c r="CY420" i="3"/>
  <c r="CX420" i="3"/>
  <c r="CW420" i="3"/>
  <c r="CV420" i="3"/>
  <c r="CU420" i="3"/>
  <c r="CT420" i="3"/>
  <c r="CS420" i="3"/>
  <c r="CR420" i="3"/>
  <c r="CQ420" i="3"/>
  <c r="CP420" i="3"/>
  <c r="CO420" i="3"/>
  <c r="CN420" i="3"/>
  <c r="CM420" i="3"/>
  <c r="CL420" i="3"/>
  <c r="CK420" i="3"/>
  <c r="CJ420" i="3"/>
  <c r="CI420" i="3"/>
  <c r="CH420" i="3"/>
  <c r="CG420" i="3"/>
  <c r="CF420" i="3"/>
  <c r="CE420" i="3"/>
  <c r="CD420" i="3"/>
  <c r="CC420" i="3"/>
  <c r="CB420" i="3"/>
  <c r="CA420" i="3"/>
  <c r="BZ420" i="3"/>
  <c r="BY420" i="3"/>
  <c r="BX420" i="3"/>
  <c r="BW420" i="3"/>
  <c r="BV420" i="3"/>
  <c r="BU420" i="3"/>
  <c r="BT420" i="3"/>
  <c r="BS420" i="3"/>
  <c r="BR420" i="3"/>
  <c r="BQ420" i="3"/>
  <c r="BP420" i="3"/>
  <c r="BO420" i="3"/>
  <c r="BN420" i="3"/>
  <c r="A420" i="3"/>
  <c r="DU419" i="3"/>
  <c r="DT419" i="3"/>
  <c r="DS419" i="3"/>
  <c r="DR419" i="3"/>
  <c r="DQ419" i="3"/>
  <c r="DP419" i="3"/>
  <c r="DO419" i="3"/>
  <c r="DN419" i="3"/>
  <c r="DM419" i="3"/>
  <c r="DL419" i="3"/>
  <c r="DK419" i="3"/>
  <c r="DJ419" i="3"/>
  <c r="DI419" i="3"/>
  <c r="DH419" i="3"/>
  <c r="DG419" i="3"/>
  <c r="DF419" i="3"/>
  <c r="DE419" i="3"/>
  <c r="DD419" i="3"/>
  <c r="DC419" i="3"/>
  <c r="DB419" i="3"/>
  <c r="DA419" i="3"/>
  <c r="CZ419" i="3"/>
  <c r="CY419" i="3"/>
  <c r="CX419" i="3"/>
  <c r="CW419" i="3"/>
  <c r="CV419" i="3"/>
  <c r="CU419" i="3"/>
  <c r="CT419" i="3"/>
  <c r="CS419" i="3"/>
  <c r="CR419" i="3"/>
  <c r="CQ419" i="3"/>
  <c r="CP419" i="3"/>
  <c r="CO419" i="3"/>
  <c r="CN419" i="3"/>
  <c r="CM419" i="3"/>
  <c r="CL419" i="3"/>
  <c r="CK419" i="3"/>
  <c r="CJ419" i="3"/>
  <c r="CI419" i="3"/>
  <c r="CH419" i="3"/>
  <c r="CG419" i="3"/>
  <c r="CF419" i="3"/>
  <c r="CE419" i="3"/>
  <c r="CD419" i="3"/>
  <c r="CC419" i="3"/>
  <c r="CB419" i="3"/>
  <c r="CA419" i="3"/>
  <c r="BZ419" i="3"/>
  <c r="BY419" i="3"/>
  <c r="BX419" i="3"/>
  <c r="BW419" i="3"/>
  <c r="BV419" i="3"/>
  <c r="BU419" i="3"/>
  <c r="BT419" i="3"/>
  <c r="BS419" i="3"/>
  <c r="BR419" i="3"/>
  <c r="BQ419" i="3"/>
  <c r="BP419" i="3"/>
  <c r="BO419" i="3"/>
  <c r="BN419" i="3"/>
  <c r="A419" i="3"/>
  <c r="DU418" i="3"/>
  <c r="DT418" i="3"/>
  <c r="DS418" i="3"/>
  <c r="DR418" i="3"/>
  <c r="DQ418" i="3"/>
  <c r="DP418" i="3"/>
  <c r="DO418" i="3"/>
  <c r="DN418" i="3"/>
  <c r="DM418" i="3"/>
  <c r="DL418" i="3"/>
  <c r="DK418" i="3"/>
  <c r="DJ418" i="3"/>
  <c r="DI418" i="3"/>
  <c r="DH418" i="3"/>
  <c r="DG418" i="3"/>
  <c r="DF418" i="3"/>
  <c r="DE418" i="3"/>
  <c r="DD418" i="3"/>
  <c r="DC418" i="3"/>
  <c r="DB418" i="3"/>
  <c r="DA418" i="3"/>
  <c r="CZ418" i="3"/>
  <c r="CY418" i="3"/>
  <c r="CX418" i="3"/>
  <c r="CW418" i="3"/>
  <c r="CV418" i="3"/>
  <c r="CU418" i="3"/>
  <c r="CT418" i="3"/>
  <c r="CS418" i="3"/>
  <c r="CR418" i="3"/>
  <c r="CQ418" i="3"/>
  <c r="CP418" i="3"/>
  <c r="CO418" i="3"/>
  <c r="CN418" i="3"/>
  <c r="CM418" i="3"/>
  <c r="CL418" i="3"/>
  <c r="CK418" i="3"/>
  <c r="CJ418" i="3"/>
  <c r="CI418" i="3"/>
  <c r="CH418" i="3"/>
  <c r="CG418" i="3"/>
  <c r="CF418" i="3"/>
  <c r="CE418" i="3"/>
  <c r="CD418" i="3"/>
  <c r="CC418" i="3"/>
  <c r="CB418" i="3"/>
  <c r="CA418" i="3"/>
  <c r="BZ418" i="3"/>
  <c r="BY418" i="3"/>
  <c r="BX418" i="3"/>
  <c r="BW418" i="3"/>
  <c r="BV418" i="3"/>
  <c r="BU418" i="3"/>
  <c r="BT418" i="3"/>
  <c r="BS418" i="3"/>
  <c r="BR418" i="3"/>
  <c r="BQ418" i="3"/>
  <c r="BP418" i="3"/>
  <c r="BO418" i="3"/>
  <c r="BN418" i="3"/>
  <c r="A418" i="3"/>
  <c r="DU417" i="3"/>
  <c r="DT417" i="3"/>
  <c r="DS417" i="3"/>
  <c r="DR417" i="3"/>
  <c r="DQ417" i="3"/>
  <c r="DP417" i="3"/>
  <c r="DO417" i="3"/>
  <c r="DN417" i="3"/>
  <c r="DM417" i="3"/>
  <c r="DL417" i="3"/>
  <c r="DK417" i="3"/>
  <c r="DJ417" i="3"/>
  <c r="DI417" i="3"/>
  <c r="DH417" i="3"/>
  <c r="DG417" i="3"/>
  <c r="DF417" i="3"/>
  <c r="DE417" i="3"/>
  <c r="DD417" i="3"/>
  <c r="DC417" i="3"/>
  <c r="DB417" i="3"/>
  <c r="DA417" i="3"/>
  <c r="CZ417" i="3"/>
  <c r="CY417" i="3"/>
  <c r="CX417" i="3"/>
  <c r="CW417" i="3"/>
  <c r="CV417" i="3"/>
  <c r="CU417" i="3"/>
  <c r="CT417" i="3"/>
  <c r="CS417" i="3"/>
  <c r="CR417" i="3"/>
  <c r="CQ417" i="3"/>
  <c r="CP417" i="3"/>
  <c r="CO417" i="3"/>
  <c r="CN417" i="3"/>
  <c r="CM417" i="3"/>
  <c r="CL417" i="3"/>
  <c r="CK417" i="3"/>
  <c r="CJ417" i="3"/>
  <c r="CI417" i="3"/>
  <c r="CH417" i="3"/>
  <c r="CG417" i="3"/>
  <c r="CF417" i="3"/>
  <c r="CE417" i="3"/>
  <c r="CD417" i="3"/>
  <c r="CC417" i="3"/>
  <c r="CB417" i="3"/>
  <c r="CA417" i="3"/>
  <c r="BZ417" i="3"/>
  <c r="BY417" i="3"/>
  <c r="BX417" i="3"/>
  <c r="BW417" i="3"/>
  <c r="BV417" i="3"/>
  <c r="BU417" i="3"/>
  <c r="BT417" i="3"/>
  <c r="BS417" i="3"/>
  <c r="BR417" i="3"/>
  <c r="BQ417" i="3"/>
  <c r="BP417" i="3"/>
  <c r="BO417" i="3"/>
  <c r="BN417" i="3"/>
  <c r="A417" i="3"/>
  <c r="DU416" i="3"/>
  <c r="DT416" i="3"/>
  <c r="DS416" i="3"/>
  <c r="DR416" i="3"/>
  <c r="DQ416" i="3"/>
  <c r="DP416" i="3"/>
  <c r="DO416" i="3"/>
  <c r="DN416" i="3"/>
  <c r="DM416" i="3"/>
  <c r="DL416" i="3"/>
  <c r="DK416" i="3"/>
  <c r="DJ416" i="3"/>
  <c r="DI416" i="3"/>
  <c r="DH416" i="3"/>
  <c r="DG416" i="3"/>
  <c r="DF416" i="3"/>
  <c r="DE416" i="3"/>
  <c r="DD416" i="3"/>
  <c r="DC416" i="3"/>
  <c r="DB416" i="3"/>
  <c r="DA416" i="3"/>
  <c r="CZ416" i="3"/>
  <c r="CY416" i="3"/>
  <c r="CX416" i="3"/>
  <c r="CW416" i="3"/>
  <c r="CV416" i="3"/>
  <c r="CU416" i="3"/>
  <c r="CT416" i="3"/>
  <c r="CS416" i="3"/>
  <c r="CR416" i="3"/>
  <c r="CQ416" i="3"/>
  <c r="CP416" i="3"/>
  <c r="CO416" i="3"/>
  <c r="CN416" i="3"/>
  <c r="CM416" i="3"/>
  <c r="CL416" i="3"/>
  <c r="CK416" i="3"/>
  <c r="CJ416" i="3"/>
  <c r="CI416" i="3"/>
  <c r="CH416" i="3"/>
  <c r="CG416" i="3"/>
  <c r="CF416" i="3"/>
  <c r="CE416" i="3"/>
  <c r="CD416" i="3"/>
  <c r="CC416" i="3"/>
  <c r="CB416" i="3"/>
  <c r="CA416" i="3"/>
  <c r="BZ416" i="3"/>
  <c r="BY416" i="3"/>
  <c r="BX416" i="3"/>
  <c r="BW416" i="3"/>
  <c r="BV416" i="3"/>
  <c r="BU416" i="3"/>
  <c r="BT416" i="3"/>
  <c r="BS416" i="3"/>
  <c r="BR416" i="3"/>
  <c r="BQ416" i="3"/>
  <c r="BP416" i="3"/>
  <c r="BO416" i="3"/>
  <c r="BN416" i="3"/>
  <c r="A416" i="3"/>
  <c r="DU415" i="3"/>
  <c r="DT415" i="3"/>
  <c r="DS415" i="3"/>
  <c r="DR415" i="3"/>
  <c r="DQ415" i="3"/>
  <c r="DP415" i="3"/>
  <c r="DO415" i="3"/>
  <c r="DN415" i="3"/>
  <c r="DM415" i="3"/>
  <c r="DL415" i="3"/>
  <c r="DK415" i="3"/>
  <c r="DJ415" i="3"/>
  <c r="DI415" i="3"/>
  <c r="DH415" i="3"/>
  <c r="DG415" i="3"/>
  <c r="DF415" i="3"/>
  <c r="DE415" i="3"/>
  <c r="DD415" i="3"/>
  <c r="DC415" i="3"/>
  <c r="DB415" i="3"/>
  <c r="DA415" i="3"/>
  <c r="CZ415" i="3"/>
  <c r="CY415" i="3"/>
  <c r="CX415" i="3"/>
  <c r="CW415" i="3"/>
  <c r="CV415" i="3"/>
  <c r="CU415" i="3"/>
  <c r="CT415" i="3"/>
  <c r="CS415" i="3"/>
  <c r="CR415" i="3"/>
  <c r="CQ415" i="3"/>
  <c r="CP415" i="3"/>
  <c r="CO415" i="3"/>
  <c r="CN415" i="3"/>
  <c r="CM415" i="3"/>
  <c r="CL415" i="3"/>
  <c r="CK415" i="3"/>
  <c r="CJ415" i="3"/>
  <c r="CI415" i="3"/>
  <c r="CH415" i="3"/>
  <c r="CG415" i="3"/>
  <c r="CF415" i="3"/>
  <c r="CE415" i="3"/>
  <c r="CD415" i="3"/>
  <c r="CC415" i="3"/>
  <c r="CB415" i="3"/>
  <c r="CA415" i="3"/>
  <c r="BZ415" i="3"/>
  <c r="BY415" i="3"/>
  <c r="BX415" i="3"/>
  <c r="BW415" i="3"/>
  <c r="BV415" i="3"/>
  <c r="BU415" i="3"/>
  <c r="BT415" i="3"/>
  <c r="BS415" i="3"/>
  <c r="BR415" i="3"/>
  <c r="BQ415" i="3"/>
  <c r="BP415" i="3"/>
  <c r="BO415" i="3"/>
  <c r="BN415" i="3"/>
  <c r="A415" i="3"/>
  <c r="DU414" i="3"/>
  <c r="DT414" i="3"/>
  <c r="DS414" i="3"/>
  <c r="DR414" i="3"/>
  <c r="DQ414" i="3"/>
  <c r="DP414" i="3"/>
  <c r="DO414" i="3"/>
  <c r="DN414" i="3"/>
  <c r="DM414" i="3"/>
  <c r="DL414" i="3"/>
  <c r="DK414" i="3"/>
  <c r="DJ414" i="3"/>
  <c r="DI414" i="3"/>
  <c r="DH414" i="3"/>
  <c r="DG414" i="3"/>
  <c r="DF414" i="3"/>
  <c r="DE414" i="3"/>
  <c r="DD414" i="3"/>
  <c r="DC414" i="3"/>
  <c r="DB414" i="3"/>
  <c r="DA414" i="3"/>
  <c r="CZ414" i="3"/>
  <c r="CY414" i="3"/>
  <c r="CX414" i="3"/>
  <c r="CW414" i="3"/>
  <c r="CV414" i="3"/>
  <c r="CU414" i="3"/>
  <c r="CT414" i="3"/>
  <c r="CS414" i="3"/>
  <c r="CR414" i="3"/>
  <c r="CQ414" i="3"/>
  <c r="CP414" i="3"/>
  <c r="CO414" i="3"/>
  <c r="CN414" i="3"/>
  <c r="CM414" i="3"/>
  <c r="CL414" i="3"/>
  <c r="CK414" i="3"/>
  <c r="CJ414" i="3"/>
  <c r="CI414" i="3"/>
  <c r="CH414" i="3"/>
  <c r="CG414" i="3"/>
  <c r="CF414" i="3"/>
  <c r="CE414" i="3"/>
  <c r="CD414" i="3"/>
  <c r="CC414" i="3"/>
  <c r="CB414" i="3"/>
  <c r="CA414" i="3"/>
  <c r="BZ414" i="3"/>
  <c r="BY414" i="3"/>
  <c r="BX414" i="3"/>
  <c r="BW414" i="3"/>
  <c r="BV414" i="3"/>
  <c r="BU414" i="3"/>
  <c r="BT414" i="3"/>
  <c r="BS414" i="3"/>
  <c r="BR414" i="3"/>
  <c r="BQ414" i="3"/>
  <c r="BP414" i="3"/>
  <c r="BO414" i="3"/>
  <c r="BN414" i="3"/>
  <c r="A414" i="3"/>
  <c r="DU413" i="3"/>
  <c r="DT413" i="3"/>
  <c r="DS413" i="3"/>
  <c r="DR413" i="3"/>
  <c r="DQ413" i="3"/>
  <c r="DP413" i="3"/>
  <c r="DO413" i="3"/>
  <c r="DN413" i="3"/>
  <c r="DM413" i="3"/>
  <c r="DL413" i="3"/>
  <c r="DK413" i="3"/>
  <c r="DJ413" i="3"/>
  <c r="DI413" i="3"/>
  <c r="DH413" i="3"/>
  <c r="DG413" i="3"/>
  <c r="DF413" i="3"/>
  <c r="DE413" i="3"/>
  <c r="DD413" i="3"/>
  <c r="DC413" i="3"/>
  <c r="DB413" i="3"/>
  <c r="DA413" i="3"/>
  <c r="CZ413" i="3"/>
  <c r="CY413" i="3"/>
  <c r="CX413" i="3"/>
  <c r="CW413" i="3"/>
  <c r="CV413" i="3"/>
  <c r="CU413" i="3"/>
  <c r="CT413" i="3"/>
  <c r="CS413" i="3"/>
  <c r="CR413" i="3"/>
  <c r="CQ413" i="3"/>
  <c r="CP413" i="3"/>
  <c r="CO413" i="3"/>
  <c r="CN413" i="3"/>
  <c r="CM413" i="3"/>
  <c r="CL413" i="3"/>
  <c r="CK413" i="3"/>
  <c r="CJ413" i="3"/>
  <c r="CI413" i="3"/>
  <c r="CH413" i="3"/>
  <c r="CG413" i="3"/>
  <c r="CF413" i="3"/>
  <c r="CE413" i="3"/>
  <c r="CD413" i="3"/>
  <c r="CC413" i="3"/>
  <c r="CB413" i="3"/>
  <c r="CA413" i="3"/>
  <c r="BZ413" i="3"/>
  <c r="BY413" i="3"/>
  <c r="BX413" i="3"/>
  <c r="BW413" i="3"/>
  <c r="BV413" i="3"/>
  <c r="BU413" i="3"/>
  <c r="BT413" i="3"/>
  <c r="BS413" i="3"/>
  <c r="BR413" i="3"/>
  <c r="BQ413" i="3"/>
  <c r="BP413" i="3"/>
  <c r="BO413" i="3"/>
  <c r="BN413" i="3"/>
  <c r="A413" i="3"/>
  <c r="DU412" i="3"/>
  <c r="DT412" i="3"/>
  <c r="DS412" i="3"/>
  <c r="DR412" i="3"/>
  <c r="DQ412" i="3"/>
  <c r="DP412" i="3"/>
  <c r="DO412" i="3"/>
  <c r="DN412" i="3"/>
  <c r="DM412" i="3"/>
  <c r="DL412" i="3"/>
  <c r="DK412" i="3"/>
  <c r="DJ412" i="3"/>
  <c r="DI412" i="3"/>
  <c r="DH412" i="3"/>
  <c r="DG412" i="3"/>
  <c r="DF412" i="3"/>
  <c r="DE412" i="3"/>
  <c r="DD412" i="3"/>
  <c r="DC412" i="3"/>
  <c r="DB412" i="3"/>
  <c r="DA412" i="3"/>
  <c r="CZ412" i="3"/>
  <c r="CY412" i="3"/>
  <c r="CX412" i="3"/>
  <c r="CW412" i="3"/>
  <c r="CV412" i="3"/>
  <c r="CU412" i="3"/>
  <c r="CT412" i="3"/>
  <c r="CS412" i="3"/>
  <c r="CR412" i="3"/>
  <c r="CQ412" i="3"/>
  <c r="CP412" i="3"/>
  <c r="CO412" i="3"/>
  <c r="CN412" i="3"/>
  <c r="CM412" i="3"/>
  <c r="CL412" i="3"/>
  <c r="CK412" i="3"/>
  <c r="CJ412" i="3"/>
  <c r="CI412" i="3"/>
  <c r="CH412" i="3"/>
  <c r="CG412" i="3"/>
  <c r="CF412" i="3"/>
  <c r="CE412" i="3"/>
  <c r="CD412" i="3"/>
  <c r="CC412" i="3"/>
  <c r="CB412" i="3"/>
  <c r="CA412" i="3"/>
  <c r="BZ412" i="3"/>
  <c r="BY412" i="3"/>
  <c r="BX412" i="3"/>
  <c r="BW412" i="3"/>
  <c r="BV412" i="3"/>
  <c r="BU412" i="3"/>
  <c r="BT412" i="3"/>
  <c r="BS412" i="3"/>
  <c r="BR412" i="3"/>
  <c r="BQ412" i="3"/>
  <c r="BP412" i="3"/>
  <c r="BO412" i="3"/>
  <c r="BN412" i="3"/>
  <c r="A412" i="3"/>
  <c r="DU411" i="3"/>
  <c r="DT411" i="3"/>
  <c r="DS411" i="3"/>
  <c r="DR411" i="3"/>
  <c r="DQ411" i="3"/>
  <c r="DP411" i="3"/>
  <c r="DO411" i="3"/>
  <c r="DN411" i="3"/>
  <c r="DM411" i="3"/>
  <c r="DL411" i="3"/>
  <c r="DK411" i="3"/>
  <c r="DJ411" i="3"/>
  <c r="DI411" i="3"/>
  <c r="DH411" i="3"/>
  <c r="DG411" i="3"/>
  <c r="DF411" i="3"/>
  <c r="DE411" i="3"/>
  <c r="DD411" i="3"/>
  <c r="DC411" i="3"/>
  <c r="DB411" i="3"/>
  <c r="DA411" i="3"/>
  <c r="CZ411" i="3"/>
  <c r="CY411" i="3"/>
  <c r="CX411" i="3"/>
  <c r="CW411" i="3"/>
  <c r="CV411" i="3"/>
  <c r="CU411" i="3"/>
  <c r="CT411" i="3"/>
  <c r="CS411" i="3"/>
  <c r="CR411" i="3"/>
  <c r="CQ411" i="3"/>
  <c r="CP411" i="3"/>
  <c r="CO411" i="3"/>
  <c r="CN411" i="3"/>
  <c r="CM411" i="3"/>
  <c r="CL411" i="3"/>
  <c r="CK411" i="3"/>
  <c r="CJ411" i="3"/>
  <c r="CI411" i="3"/>
  <c r="CH411" i="3"/>
  <c r="CG411" i="3"/>
  <c r="CF411" i="3"/>
  <c r="CE411" i="3"/>
  <c r="CD411" i="3"/>
  <c r="CC411" i="3"/>
  <c r="CB411" i="3"/>
  <c r="CA411" i="3"/>
  <c r="BZ411" i="3"/>
  <c r="BY411" i="3"/>
  <c r="BX411" i="3"/>
  <c r="BW411" i="3"/>
  <c r="BV411" i="3"/>
  <c r="BU411" i="3"/>
  <c r="BT411" i="3"/>
  <c r="BS411" i="3"/>
  <c r="BR411" i="3"/>
  <c r="BQ411" i="3"/>
  <c r="BP411" i="3"/>
  <c r="BO411" i="3"/>
  <c r="BN411" i="3"/>
  <c r="A411" i="3"/>
  <c r="DU410" i="3"/>
  <c r="DT410" i="3"/>
  <c r="DS410" i="3"/>
  <c r="DR410" i="3"/>
  <c r="DQ410" i="3"/>
  <c r="DP410" i="3"/>
  <c r="DO410" i="3"/>
  <c r="DN410" i="3"/>
  <c r="DM410" i="3"/>
  <c r="DL410" i="3"/>
  <c r="DK410" i="3"/>
  <c r="DJ410" i="3"/>
  <c r="DI410" i="3"/>
  <c r="DH410" i="3"/>
  <c r="DG410" i="3"/>
  <c r="DF410" i="3"/>
  <c r="DE410" i="3"/>
  <c r="DD410" i="3"/>
  <c r="DC410" i="3"/>
  <c r="DB410" i="3"/>
  <c r="DA410" i="3"/>
  <c r="CZ410" i="3"/>
  <c r="CY410" i="3"/>
  <c r="CX410" i="3"/>
  <c r="CW410" i="3"/>
  <c r="CV410" i="3"/>
  <c r="CU410" i="3"/>
  <c r="CT410" i="3"/>
  <c r="CS410" i="3"/>
  <c r="CR410" i="3"/>
  <c r="CQ410" i="3"/>
  <c r="CP410" i="3"/>
  <c r="CO410" i="3"/>
  <c r="CN410" i="3"/>
  <c r="CM410" i="3"/>
  <c r="CL410" i="3"/>
  <c r="CK410" i="3"/>
  <c r="CJ410" i="3"/>
  <c r="CI410" i="3"/>
  <c r="CH410" i="3"/>
  <c r="CG410" i="3"/>
  <c r="CF410" i="3"/>
  <c r="CE410" i="3"/>
  <c r="CD410" i="3"/>
  <c r="CC410" i="3"/>
  <c r="CB410" i="3"/>
  <c r="CA410" i="3"/>
  <c r="BZ410" i="3"/>
  <c r="BY410" i="3"/>
  <c r="BX410" i="3"/>
  <c r="BW410" i="3"/>
  <c r="BV410" i="3"/>
  <c r="BU410" i="3"/>
  <c r="BT410" i="3"/>
  <c r="BS410" i="3"/>
  <c r="BR410" i="3"/>
  <c r="BQ410" i="3"/>
  <c r="BP410" i="3"/>
  <c r="BO410" i="3"/>
  <c r="BN410" i="3"/>
  <c r="A410" i="3"/>
  <c r="DU409" i="3"/>
  <c r="DT409" i="3"/>
  <c r="DS409" i="3"/>
  <c r="DR409" i="3"/>
  <c r="DQ409" i="3"/>
  <c r="DP409" i="3"/>
  <c r="DO409" i="3"/>
  <c r="DN409" i="3"/>
  <c r="DM409" i="3"/>
  <c r="DL409" i="3"/>
  <c r="DK409" i="3"/>
  <c r="DJ409" i="3"/>
  <c r="DI409" i="3"/>
  <c r="DH409" i="3"/>
  <c r="DG409" i="3"/>
  <c r="DF409" i="3"/>
  <c r="DE409" i="3"/>
  <c r="DD409" i="3"/>
  <c r="DC409" i="3"/>
  <c r="DB409" i="3"/>
  <c r="DA409" i="3"/>
  <c r="CZ409" i="3"/>
  <c r="CY409" i="3"/>
  <c r="CX409" i="3"/>
  <c r="CW409" i="3"/>
  <c r="CV409" i="3"/>
  <c r="CU409" i="3"/>
  <c r="CT409" i="3"/>
  <c r="CS409" i="3"/>
  <c r="CR409" i="3"/>
  <c r="CQ409" i="3"/>
  <c r="CP409" i="3"/>
  <c r="CO409" i="3"/>
  <c r="CN409" i="3"/>
  <c r="CM409" i="3"/>
  <c r="CL409" i="3"/>
  <c r="CK409" i="3"/>
  <c r="CJ409" i="3"/>
  <c r="CI409" i="3"/>
  <c r="CH409" i="3"/>
  <c r="CG409" i="3"/>
  <c r="CF409" i="3"/>
  <c r="CE409" i="3"/>
  <c r="CD409" i="3"/>
  <c r="CC409" i="3"/>
  <c r="CB409" i="3"/>
  <c r="CA409" i="3"/>
  <c r="BZ409" i="3"/>
  <c r="BY409" i="3"/>
  <c r="BX409" i="3"/>
  <c r="BW409" i="3"/>
  <c r="BV409" i="3"/>
  <c r="BU409" i="3"/>
  <c r="BT409" i="3"/>
  <c r="BS409" i="3"/>
  <c r="BR409" i="3"/>
  <c r="BQ409" i="3"/>
  <c r="BP409" i="3"/>
  <c r="BO409" i="3"/>
  <c r="BN409" i="3"/>
  <c r="A409" i="3"/>
  <c r="DU408" i="3"/>
  <c r="DT408" i="3"/>
  <c r="DS408" i="3"/>
  <c r="DR408" i="3"/>
  <c r="DQ408" i="3"/>
  <c r="DP408" i="3"/>
  <c r="DO408" i="3"/>
  <c r="DN408" i="3"/>
  <c r="DM408" i="3"/>
  <c r="DL408" i="3"/>
  <c r="DK408" i="3"/>
  <c r="DJ408" i="3"/>
  <c r="DI408" i="3"/>
  <c r="DH408" i="3"/>
  <c r="DG408" i="3"/>
  <c r="DF408" i="3"/>
  <c r="DE408" i="3"/>
  <c r="DD408" i="3"/>
  <c r="DC408" i="3"/>
  <c r="DB408" i="3"/>
  <c r="DA408" i="3"/>
  <c r="CZ408" i="3"/>
  <c r="CY408" i="3"/>
  <c r="CX408" i="3"/>
  <c r="CW408" i="3"/>
  <c r="CV408" i="3"/>
  <c r="CU408" i="3"/>
  <c r="CT408" i="3"/>
  <c r="CS408" i="3"/>
  <c r="CR408" i="3"/>
  <c r="CQ408" i="3"/>
  <c r="CP408" i="3"/>
  <c r="CO408" i="3"/>
  <c r="CN408" i="3"/>
  <c r="CM408" i="3"/>
  <c r="CL408" i="3"/>
  <c r="CK408" i="3"/>
  <c r="CJ408" i="3"/>
  <c r="CI408" i="3"/>
  <c r="CH408" i="3"/>
  <c r="CG408" i="3"/>
  <c r="CF408" i="3"/>
  <c r="CE408" i="3"/>
  <c r="CD408" i="3"/>
  <c r="CC408" i="3"/>
  <c r="CB408" i="3"/>
  <c r="CA408" i="3"/>
  <c r="BZ408" i="3"/>
  <c r="BY408" i="3"/>
  <c r="BX408" i="3"/>
  <c r="BW408" i="3"/>
  <c r="BV408" i="3"/>
  <c r="BU408" i="3"/>
  <c r="BT408" i="3"/>
  <c r="BS408" i="3"/>
  <c r="BR408" i="3"/>
  <c r="BQ408" i="3"/>
  <c r="BP408" i="3"/>
  <c r="BO408" i="3"/>
  <c r="BN408" i="3"/>
  <c r="A408" i="3"/>
  <c r="DU407" i="3"/>
  <c r="DT407" i="3"/>
  <c r="DS407" i="3"/>
  <c r="DR407" i="3"/>
  <c r="DQ407" i="3"/>
  <c r="DP407" i="3"/>
  <c r="DO407" i="3"/>
  <c r="DN407" i="3"/>
  <c r="DM407" i="3"/>
  <c r="DL407" i="3"/>
  <c r="DK407" i="3"/>
  <c r="DJ407" i="3"/>
  <c r="DI407" i="3"/>
  <c r="DH407" i="3"/>
  <c r="DG407" i="3"/>
  <c r="DF407" i="3"/>
  <c r="DE407" i="3"/>
  <c r="DD407" i="3"/>
  <c r="DC407" i="3"/>
  <c r="DB407" i="3"/>
  <c r="DA407" i="3"/>
  <c r="CZ407" i="3"/>
  <c r="CY407" i="3"/>
  <c r="CX407" i="3"/>
  <c r="CW407" i="3"/>
  <c r="CV407" i="3"/>
  <c r="CU407" i="3"/>
  <c r="CT407" i="3"/>
  <c r="CS407" i="3"/>
  <c r="CR407" i="3"/>
  <c r="CQ407" i="3"/>
  <c r="CP407" i="3"/>
  <c r="CO407" i="3"/>
  <c r="CN407" i="3"/>
  <c r="CM407" i="3"/>
  <c r="CL407" i="3"/>
  <c r="CK407" i="3"/>
  <c r="CJ407" i="3"/>
  <c r="CI407" i="3"/>
  <c r="CH407" i="3"/>
  <c r="CG407" i="3"/>
  <c r="CF407" i="3"/>
  <c r="CE407" i="3"/>
  <c r="CD407" i="3"/>
  <c r="CC407" i="3"/>
  <c r="CB407" i="3"/>
  <c r="CA407" i="3"/>
  <c r="BZ407" i="3"/>
  <c r="BY407" i="3"/>
  <c r="BX407" i="3"/>
  <c r="BW407" i="3"/>
  <c r="BV407" i="3"/>
  <c r="BU407" i="3"/>
  <c r="BT407" i="3"/>
  <c r="BS407" i="3"/>
  <c r="BR407" i="3"/>
  <c r="BQ407" i="3"/>
  <c r="BP407" i="3"/>
  <c r="BO407" i="3"/>
  <c r="BN407" i="3"/>
  <c r="A407" i="3"/>
  <c r="DU406" i="3"/>
  <c r="DT406" i="3"/>
  <c r="DS406" i="3"/>
  <c r="DR406" i="3"/>
  <c r="DQ406" i="3"/>
  <c r="DP406" i="3"/>
  <c r="DO406" i="3"/>
  <c r="DN406" i="3"/>
  <c r="DM406" i="3"/>
  <c r="DL406" i="3"/>
  <c r="DK406" i="3"/>
  <c r="DJ406" i="3"/>
  <c r="DI406" i="3"/>
  <c r="DH406" i="3"/>
  <c r="DG406" i="3"/>
  <c r="DF406" i="3"/>
  <c r="DE406" i="3"/>
  <c r="DD406" i="3"/>
  <c r="DC406" i="3"/>
  <c r="DB406" i="3"/>
  <c r="DA406" i="3"/>
  <c r="CZ406" i="3"/>
  <c r="CY406" i="3"/>
  <c r="CX406" i="3"/>
  <c r="CW406" i="3"/>
  <c r="CV406" i="3"/>
  <c r="CU406" i="3"/>
  <c r="CT406" i="3"/>
  <c r="CS406" i="3"/>
  <c r="CR406" i="3"/>
  <c r="CQ406" i="3"/>
  <c r="CP406" i="3"/>
  <c r="CO406" i="3"/>
  <c r="CN406" i="3"/>
  <c r="CM406" i="3"/>
  <c r="CL406" i="3"/>
  <c r="CK406" i="3"/>
  <c r="CJ406" i="3"/>
  <c r="CI406" i="3"/>
  <c r="CH406" i="3"/>
  <c r="CG406" i="3"/>
  <c r="CF406" i="3"/>
  <c r="CE406" i="3"/>
  <c r="CD406" i="3"/>
  <c r="CC406" i="3"/>
  <c r="CB406" i="3"/>
  <c r="CA406" i="3"/>
  <c r="BZ406" i="3"/>
  <c r="BY406" i="3"/>
  <c r="BX406" i="3"/>
  <c r="BW406" i="3"/>
  <c r="BV406" i="3"/>
  <c r="BU406" i="3"/>
  <c r="BT406" i="3"/>
  <c r="BS406" i="3"/>
  <c r="BR406" i="3"/>
  <c r="BQ406" i="3"/>
  <c r="BP406" i="3"/>
  <c r="BO406" i="3"/>
  <c r="BN406" i="3"/>
  <c r="BJ406" i="3"/>
  <c r="BI406" i="3"/>
  <c r="BH406" i="3"/>
  <c r="BG406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O406" i="3"/>
  <c r="AN406" i="3"/>
  <c r="AM406" i="3"/>
  <c r="AL406" i="3"/>
  <c r="AK406" i="3"/>
  <c r="AJ406" i="3"/>
  <c r="AI406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DU405" i="3"/>
  <c r="DT405" i="3"/>
  <c r="DS405" i="3"/>
  <c r="DR405" i="3"/>
  <c r="DQ405" i="3"/>
  <c r="DP405" i="3"/>
  <c r="DO405" i="3"/>
  <c r="DN405" i="3"/>
  <c r="DM405" i="3"/>
  <c r="DL405" i="3"/>
  <c r="DK405" i="3"/>
  <c r="DJ405" i="3"/>
  <c r="DI405" i="3"/>
  <c r="DH405" i="3"/>
  <c r="DG405" i="3"/>
  <c r="DF405" i="3"/>
  <c r="DE405" i="3"/>
  <c r="DD405" i="3"/>
  <c r="DC405" i="3"/>
  <c r="DB405" i="3"/>
  <c r="DA405" i="3"/>
  <c r="CZ405" i="3"/>
  <c r="CY405" i="3"/>
  <c r="CX405" i="3"/>
  <c r="CW405" i="3"/>
  <c r="CV405" i="3"/>
  <c r="CU405" i="3"/>
  <c r="CT405" i="3"/>
  <c r="CS405" i="3"/>
  <c r="CR405" i="3"/>
  <c r="CQ405" i="3"/>
  <c r="CP405" i="3"/>
  <c r="CO405" i="3"/>
  <c r="CN405" i="3"/>
  <c r="CM405" i="3"/>
  <c r="CL405" i="3"/>
  <c r="CK405" i="3"/>
  <c r="CJ405" i="3"/>
  <c r="CI405" i="3"/>
  <c r="CH405" i="3"/>
  <c r="CG405" i="3"/>
  <c r="CF405" i="3"/>
  <c r="CE405" i="3"/>
  <c r="CD405" i="3"/>
  <c r="CC405" i="3"/>
  <c r="CB405" i="3"/>
  <c r="CA405" i="3"/>
  <c r="BZ405" i="3"/>
  <c r="BY405" i="3"/>
  <c r="BX405" i="3"/>
  <c r="BW405" i="3"/>
  <c r="BV405" i="3"/>
  <c r="BU405" i="3"/>
  <c r="BT405" i="3"/>
  <c r="BS405" i="3"/>
  <c r="BR405" i="3"/>
  <c r="BQ405" i="3"/>
  <c r="BP405" i="3"/>
  <c r="BO405" i="3"/>
  <c r="BN405" i="3"/>
  <c r="E405" i="3"/>
  <c r="D405" i="3"/>
  <c r="C405" i="3"/>
  <c r="B405" i="3"/>
  <c r="A405" i="3"/>
  <c r="DU404" i="3"/>
  <c r="DT404" i="3"/>
  <c r="DS404" i="3"/>
  <c r="DR404" i="3"/>
  <c r="DQ404" i="3"/>
  <c r="DP404" i="3"/>
  <c r="DO404" i="3"/>
  <c r="DN404" i="3"/>
  <c r="DM404" i="3"/>
  <c r="DL404" i="3"/>
  <c r="DK404" i="3"/>
  <c r="DJ404" i="3"/>
  <c r="DI404" i="3"/>
  <c r="DH404" i="3"/>
  <c r="DG404" i="3"/>
  <c r="DF404" i="3"/>
  <c r="DE404" i="3"/>
  <c r="DD404" i="3"/>
  <c r="DC404" i="3"/>
  <c r="DB404" i="3"/>
  <c r="DA404" i="3"/>
  <c r="CZ404" i="3"/>
  <c r="CY404" i="3"/>
  <c r="CX404" i="3"/>
  <c r="CW404" i="3"/>
  <c r="CV404" i="3"/>
  <c r="CU404" i="3"/>
  <c r="CT404" i="3"/>
  <c r="CS404" i="3"/>
  <c r="CR404" i="3"/>
  <c r="CQ404" i="3"/>
  <c r="CP404" i="3"/>
  <c r="CO404" i="3"/>
  <c r="CN404" i="3"/>
  <c r="CM404" i="3"/>
  <c r="CL404" i="3"/>
  <c r="CK404" i="3"/>
  <c r="CJ404" i="3"/>
  <c r="CI404" i="3"/>
  <c r="CH404" i="3"/>
  <c r="CG404" i="3"/>
  <c r="CF404" i="3"/>
  <c r="CE404" i="3"/>
  <c r="CD404" i="3"/>
  <c r="CC404" i="3"/>
  <c r="CB404" i="3"/>
  <c r="CA404" i="3"/>
  <c r="BZ404" i="3"/>
  <c r="BY404" i="3"/>
  <c r="BX404" i="3"/>
  <c r="BW404" i="3"/>
  <c r="BV404" i="3"/>
  <c r="BU404" i="3"/>
  <c r="BT404" i="3"/>
  <c r="BS404" i="3"/>
  <c r="BR404" i="3"/>
  <c r="BQ404" i="3"/>
  <c r="BP404" i="3"/>
  <c r="BO404" i="3"/>
  <c r="BN404" i="3"/>
  <c r="E404" i="3"/>
  <c r="D404" i="3"/>
  <c r="C404" i="3"/>
  <c r="B404" i="3"/>
  <c r="A404" i="3"/>
  <c r="DU403" i="3"/>
  <c r="DT403" i="3"/>
  <c r="DS403" i="3"/>
  <c r="DR403" i="3"/>
  <c r="DQ403" i="3"/>
  <c r="DP403" i="3"/>
  <c r="DO403" i="3"/>
  <c r="DN403" i="3"/>
  <c r="DM403" i="3"/>
  <c r="DL403" i="3"/>
  <c r="DK403" i="3"/>
  <c r="DJ403" i="3"/>
  <c r="DI403" i="3"/>
  <c r="DH403" i="3"/>
  <c r="DG403" i="3"/>
  <c r="DF403" i="3"/>
  <c r="DE403" i="3"/>
  <c r="DD403" i="3"/>
  <c r="DC403" i="3"/>
  <c r="DB403" i="3"/>
  <c r="DA403" i="3"/>
  <c r="CZ403" i="3"/>
  <c r="CY403" i="3"/>
  <c r="CX403" i="3"/>
  <c r="CW403" i="3"/>
  <c r="CV403" i="3"/>
  <c r="CU403" i="3"/>
  <c r="CT403" i="3"/>
  <c r="CS403" i="3"/>
  <c r="CR403" i="3"/>
  <c r="CQ403" i="3"/>
  <c r="CP403" i="3"/>
  <c r="CO403" i="3"/>
  <c r="CN403" i="3"/>
  <c r="CM403" i="3"/>
  <c r="CL403" i="3"/>
  <c r="CK403" i="3"/>
  <c r="CJ403" i="3"/>
  <c r="CI403" i="3"/>
  <c r="CH403" i="3"/>
  <c r="CG403" i="3"/>
  <c r="CF403" i="3"/>
  <c r="CE403" i="3"/>
  <c r="CD403" i="3"/>
  <c r="CC403" i="3"/>
  <c r="CB403" i="3"/>
  <c r="CA403" i="3"/>
  <c r="BZ403" i="3"/>
  <c r="BY403" i="3"/>
  <c r="BX403" i="3"/>
  <c r="BW403" i="3"/>
  <c r="BV403" i="3"/>
  <c r="BU403" i="3"/>
  <c r="BT403" i="3"/>
  <c r="BS403" i="3"/>
  <c r="BR403" i="3"/>
  <c r="BQ403" i="3"/>
  <c r="BP403" i="3"/>
  <c r="BO403" i="3"/>
  <c r="BN403" i="3"/>
  <c r="E403" i="3"/>
  <c r="D403" i="3"/>
  <c r="C403" i="3"/>
  <c r="A403" i="3"/>
  <c r="DU402" i="3"/>
  <c r="DT402" i="3"/>
  <c r="DS402" i="3"/>
  <c r="DR402" i="3"/>
  <c r="DQ402" i="3"/>
  <c r="DP402" i="3"/>
  <c r="DO402" i="3"/>
  <c r="DN402" i="3"/>
  <c r="DM402" i="3"/>
  <c r="DL402" i="3"/>
  <c r="DK402" i="3"/>
  <c r="DJ402" i="3"/>
  <c r="DI402" i="3"/>
  <c r="DH402" i="3"/>
  <c r="DG402" i="3"/>
  <c r="DF402" i="3"/>
  <c r="DE402" i="3"/>
  <c r="DD402" i="3"/>
  <c r="DC402" i="3"/>
  <c r="DB402" i="3"/>
  <c r="DA402" i="3"/>
  <c r="CZ402" i="3"/>
  <c r="CY402" i="3"/>
  <c r="CX402" i="3"/>
  <c r="CW402" i="3"/>
  <c r="CV402" i="3"/>
  <c r="CU402" i="3"/>
  <c r="CT402" i="3"/>
  <c r="CS402" i="3"/>
  <c r="CR402" i="3"/>
  <c r="CQ402" i="3"/>
  <c r="CP402" i="3"/>
  <c r="CO402" i="3"/>
  <c r="CN402" i="3"/>
  <c r="CM402" i="3"/>
  <c r="CL402" i="3"/>
  <c r="CK402" i="3"/>
  <c r="CJ402" i="3"/>
  <c r="CI402" i="3"/>
  <c r="CH402" i="3"/>
  <c r="CG402" i="3"/>
  <c r="CF402" i="3"/>
  <c r="CE402" i="3"/>
  <c r="CD402" i="3"/>
  <c r="CC402" i="3"/>
  <c r="CB402" i="3"/>
  <c r="CA402" i="3"/>
  <c r="BZ402" i="3"/>
  <c r="BY402" i="3"/>
  <c r="BX402" i="3"/>
  <c r="BW402" i="3"/>
  <c r="BV402" i="3"/>
  <c r="BU402" i="3"/>
  <c r="BT402" i="3"/>
  <c r="BS402" i="3"/>
  <c r="BR402" i="3"/>
  <c r="BQ402" i="3"/>
  <c r="BP402" i="3"/>
  <c r="BO402" i="3"/>
  <c r="BN402" i="3"/>
  <c r="E402" i="3"/>
  <c r="D402" i="3"/>
  <c r="C402" i="3"/>
  <c r="B402" i="3"/>
  <c r="A402" i="3"/>
  <c r="DU401" i="3"/>
  <c r="DT401" i="3"/>
  <c r="DS401" i="3"/>
  <c r="DR401" i="3"/>
  <c r="DQ401" i="3"/>
  <c r="DP401" i="3"/>
  <c r="DO401" i="3"/>
  <c r="DN401" i="3"/>
  <c r="DM401" i="3"/>
  <c r="DL401" i="3"/>
  <c r="DK401" i="3"/>
  <c r="DJ401" i="3"/>
  <c r="DI401" i="3"/>
  <c r="DH401" i="3"/>
  <c r="DG401" i="3"/>
  <c r="DF401" i="3"/>
  <c r="DE401" i="3"/>
  <c r="DD401" i="3"/>
  <c r="DC401" i="3"/>
  <c r="DB401" i="3"/>
  <c r="DA401" i="3"/>
  <c r="CZ401" i="3"/>
  <c r="CY401" i="3"/>
  <c r="CX401" i="3"/>
  <c r="CW401" i="3"/>
  <c r="CV401" i="3"/>
  <c r="CU401" i="3"/>
  <c r="CT401" i="3"/>
  <c r="CS401" i="3"/>
  <c r="CR401" i="3"/>
  <c r="CQ401" i="3"/>
  <c r="CP401" i="3"/>
  <c r="CO401" i="3"/>
  <c r="CN401" i="3"/>
  <c r="CM401" i="3"/>
  <c r="CL401" i="3"/>
  <c r="CK401" i="3"/>
  <c r="CJ401" i="3"/>
  <c r="CI401" i="3"/>
  <c r="CH401" i="3"/>
  <c r="CG401" i="3"/>
  <c r="CF401" i="3"/>
  <c r="CE401" i="3"/>
  <c r="CD401" i="3"/>
  <c r="CC401" i="3"/>
  <c r="CB401" i="3"/>
  <c r="CA401" i="3"/>
  <c r="BZ401" i="3"/>
  <c r="BY401" i="3"/>
  <c r="BX401" i="3"/>
  <c r="BW401" i="3"/>
  <c r="BV401" i="3"/>
  <c r="BU401" i="3"/>
  <c r="BT401" i="3"/>
  <c r="BS401" i="3"/>
  <c r="BR401" i="3"/>
  <c r="BQ401" i="3"/>
  <c r="BP401" i="3"/>
  <c r="BO401" i="3"/>
  <c r="BN401" i="3"/>
  <c r="A401" i="3"/>
  <c r="DU400" i="3"/>
  <c r="DT400" i="3"/>
  <c r="DS400" i="3"/>
  <c r="DR400" i="3"/>
  <c r="DQ400" i="3"/>
  <c r="DP400" i="3"/>
  <c r="DO400" i="3"/>
  <c r="DN400" i="3"/>
  <c r="DM400" i="3"/>
  <c r="DL400" i="3"/>
  <c r="DK400" i="3"/>
  <c r="DJ400" i="3"/>
  <c r="DI400" i="3"/>
  <c r="DH400" i="3"/>
  <c r="DG400" i="3"/>
  <c r="DF400" i="3"/>
  <c r="DE400" i="3"/>
  <c r="DD400" i="3"/>
  <c r="DC400" i="3"/>
  <c r="DB400" i="3"/>
  <c r="DA400" i="3"/>
  <c r="CZ400" i="3"/>
  <c r="CY400" i="3"/>
  <c r="CX400" i="3"/>
  <c r="CW400" i="3"/>
  <c r="CV400" i="3"/>
  <c r="CU400" i="3"/>
  <c r="CT400" i="3"/>
  <c r="CS400" i="3"/>
  <c r="CR400" i="3"/>
  <c r="CQ400" i="3"/>
  <c r="CP400" i="3"/>
  <c r="CO400" i="3"/>
  <c r="CN400" i="3"/>
  <c r="CM400" i="3"/>
  <c r="CL400" i="3"/>
  <c r="CK400" i="3"/>
  <c r="CJ400" i="3"/>
  <c r="CI400" i="3"/>
  <c r="CH400" i="3"/>
  <c r="CG400" i="3"/>
  <c r="CF400" i="3"/>
  <c r="CE400" i="3"/>
  <c r="CD400" i="3"/>
  <c r="CC400" i="3"/>
  <c r="CB400" i="3"/>
  <c r="CA400" i="3"/>
  <c r="BZ400" i="3"/>
  <c r="BY400" i="3"/>
  <c r="BX400" i="3"/>
  <c r="BW400" i="3"/>
  <c r="BV400" i="3"/>
  <c r="BU400" i="3"/>
  <c r="BT400" i="3"/>
  <c r="BS400" i="3"/>
  <c r="BR400" i="3"/>
  <c r="BQ400" i="3"/>
  <c r="BP400" i="3"/>
  <c r="BO400" i="3"/>
  <c r="BN400" i="3"/>
  <c r="E400" i="3"/>
  <c r="D400" i="3"/>
  <c r="C400" i="3"/>
  <c r="B400" i="3"/>
  <c r="A400" i="3"/>
  <c r="DU399" i="3"/>
  <c r="DT399" i="3"/>
  <c r="DS399" i="3"/>
  <c r="DR399" i="3"/>
  <c r="DQ399" i="3"/>
  <c r="DP399" i="3"/>
  <c r="DO399" i="3"/>
  <c r="DN399" i="3"/>
  <c r="DM399" i="3"/>
  <c r="DL399" i="3"/>
  <c r="DK399" i="3"/>
  <c r="DJ399" i="3"/>
  <c r="DI399" i="3"/>
  <c r="DH399" i="3"/>
  <c r="DG399" i="3"/>
  <c r="DF399" i="3"/>
  <c r="DE399" i="3"/>
  <c r="DD399" i="3"/>
  <c r="DC399" i="3"/>
  <c r="DB399" i="3"/>
  <c r="DA399" i="3"/>
  <c r="CZ399" i="3"/>
  <c r="CY399" i="3"/>
  <c r="CX399" i="3"/>
  <c r="CW399" i="3"/>
  <c r="CV399" i="3"/>
  <c r="CU399" i="3"/>
  <c r="CT399" i="3"/>
  <c r="CS399" i="3"/>
  <c r="CR399" i="3"/>
  <c r="CQ399" i="3"/>
  <c r="CP399" i="3"/>
  <c r="CO399" i="3"/>
  <c r="CN399" i="3"/>
  <c r="CM399" i="3"/>
  <c r="CL399" i="3"/>
  <c r="CK399" i="3"/>
  <c r="CJ399" i="3"/>
  <c r="CI399" i="3"/>
  <c r="CH399" i="3"/>
  <c r="CG399" i="3"/>
  <c r="CF399" i="3"/>
  <c r="CE399" i="3"/>
  <c r="CD399" i="3"/>
  <c r="CC399" i="3"/>
  <c r="CB399" i="3"/>
  <c r="CA399" i="3"/>
  <c r="BZ399" i="3"/>
  <c r="BY399" i="3"/>
  <c r="BX399" i="3"/>
  <c r="BW399" i="3"/>
  <c r="BV399" i="3"/>
  <c r="BU399" i="3"/>
  <c r="BT399" i="3"/>
  <c r="BS399" i="3"/>
  <c r="BR399" i="3"/>
  <c r="BQ399" i="3"/>
  <c r="BP399" i="3"/>
  <c r="BO399" i="3"/>
  <c r="BN399" i="3"/>
  <c r="E399" i="3"/>
  <c r="D399" i="3"/>
  <c r="C399" i="3"/>
  <c r="B399" i="3"/>
  <c r="A399" i="3"/>
  <c r="DU398" i="3"/>
  <c r="DT398" i="3"/>
  <c r="DS398" i="3"/>
  <c r="DR398" i="3"/>
  <c r="DQ398" i="3"/>
  <c r="DP398" i="3"/>
  <c r="DO398" i="3"/>
  <c r="DN398" i="3"/>
  <c r="DM398" i="3"/>
  <c r="DL398" i="3"/>
  <c r="DK398" i="3"/>
  <c r="DJ398" i="3"/>
  <c r="DI398" i="3"/>
  <c r="DH398" i="3"/>
  <c r="DG398" i="3"/>
  <c r="DF398" i="3"/>
  <c r="DE398" i="3"/>
  <c r="DD398" i="3"/>
  <c r="DC398" i="3"/>
  <c r="DB398" i="3"/>
  <c r="DA398" i="3"/>
  <c r="CZ398" i="3"/>
  <c r="CY398" i="3"/>
  <c r="CX398" i="3"/>
  <c r="CW398" i="3"/>
  <c r="CV398" i="3"/>
  <c r="CU398" i="3"/>
  <c r="CT398" i="3"/>
  <c r="CS398" i="3"/>
  <c r="CR398" i="3"/>
  <c r="CQ398" i="3"/>
  <c r="CP398" i="3"/>
  <c r="CO398" i="3"/>
  <c r="CN398" i="3"/>
  <c r="CM398" i="3"/>
  <c r="CL398" i="3"/>
  <c r="CK398" i="3"/>
  <c r="CJ398" i="3"/>
  <c r="CI398" i="3"/>
  <c r="CH398" i="3"/>
  <c r="CG398" i="3"/>
  <c r="CF398" i="3"/>
  <c r="CE398" i="3"/>
  <c r="CD398" i="3"/>
  <c r="CC398" i="3"/>
  <c r="CB398" i="3"/>
  <c r="CA398" i="3"/>
  <c r="BZ398" i="3"/>
  <c r="BY398" i="3"/>
  <c r="BX398" i="3"/>
  <c r="BW398" i="3"/>
  <c r="BV398" i="3"/>
  <c r="BU398" i="3"/>
  <c r="BT398" i="3"/>
  <c r="BS398" i="3"/>
  <c r="BR398" i="3"/>
  <c r="BQ398" i="3"/>
  <c r="BP398" i="3"/>
  <c r="BO398" i="3"/>
  <c r="BN398" i="3"/>
  <c r="E398" i="3"/>
  <c r="D398" i="3"/>
  <c r="C398" i="3"/>
  <c r="B398" i="3"/>
  <c r="A398" i="3"/>
  <c r="DU397" i="3"/>
  <c r="DT397" i="3"/>
  <c r="DS397" i="3"/>
  <c r="DR397" i="3"/>
  <c r="DQ397" i="3"/>
  <c r="DP397" i="3"/>
  <c r="DO397" i="3"/>
  <c r="DN397" i="3"/>
  <c r="DM397" i="3"/>
  <c r="DL397" i="3"/>
  <c r="DK397" i="3"/>
  <c r="DJ397" i="3"/>
  <c r="DI397" i="3"/>
  <c r="DH397" i="3"/>
  <c r="DG397" i="3"/>
  <c r="DF397" i="3"/>
  <c r="DE397" i="3"/>
  <c r="DD397" i="3"/>
  <c r="DC397" i="3"/>
  <c r="DB397" i="3"/>
  <c r="DA397" i="3"/>
  <c r="CZ397" i="3"/>
  <c r="CY397" i="3"/>
  <c r="CX397" i="3"/>
  <c r="CW397" i="3"/>
  <c r="CV397" i="3"/>
  <c r="CU397" i="3"/>
  <c r="CT397" i="3"/>
  <c r="CS397" i="3"/>
  <c r="CR397" i="3"/>
  <c r="CQ397" i="3"/>
  <c r="CP397" i="3"/>
  <c r="CO397" i="3"/>
  <c r="CN397" i="3"/>
  <c r="CM397" i="3"/>
  <c r="CL397" i="3"/>
  <c r="CK397" i="3"/>
  <c r="CJ397" i="3"/>
  <c r="CI397" i="3"/>
  <c r="CH397" i="3"/>
  <c r="CG397" i="3"/>
  <c r="CF397" i="3"/>
  <c r="CE397" i="3"/>
  <c r="CD397" i="3"/>
  <c r="CC397" i="3"/>
  <c r="CB397" i="3"/>
  <c r="CA397" i="3"/>
  <c r="BZ397" i="3"/>
  <c r="BY397" i="3"/>
  <c r="BX397" i="3"/>
  <c r="BW397" i="3"/>
  <c r="BV397" i="3"/>
  <c r="BU397" i="3"/>
  <c r="BT397" i="3"/>
  <c r="BS397" i="3"/>
  <c r="BR397" i="3"/>
  <c r="BQ397" i="3"/>
  <c r="BP397" i="3"/>
  <c r="BO397" i="3"/>
  <c r="BN397" i="3"/>
  <c r="E397" i="3"/>
  <c r="D397" i="3"/>
  <c r="C397" i="3"/>
  <c r="B397" i="3"/>
  <c r="A397" i="3"/>
  <c r="DU396" i="3"/>
  <c r="DT396" i="3"/>
  <c r="DS396" i="3"/>
  <c r="DR396" i="3"/>
  <c r="DQ396" i="3"/>
  <c r="DP396" i="3"/>
  <c r="DO396" i="3"/>
  <c r="DN396" i="3"/>
  <c r="DM396" i="3"/>
  <c r="DL396" i="3"/>
  <c r="DK396" i="3"/>
  <c r="DJ396" i="3"/>
  <c r="DI396" i="3"/>
  <c r="DH396" i="3"/>
  <c r="DG396" i="3"/>
  <c r="DF396" i="3"/>
  <c r="DE396" i="3"/>
  <c r="DD396" i="3"/>
  <c r="DC396" i="3"/>
  <c r="DB396" i="3"/>
  <c r="DA396" i="3"/>
  <c r="CZ396" i="3"/>
  <c r="CY396" i="3"/>
  <c r="CX396" i="3"/>
  <c r="CW396" i="3"/>
  <c r="CV396" i="3"/>
  <c r="CU396" i="3"/>
  <c r="CT396" i="3"/>
  <c r="CS396" i="3"/>
  <c r="CR396" i="3"/>
  <c r="CQ396" i="3"/>
  <c r="CP396" i="3"/>
  <c r="CO396" i="3"/>
  <c r="CN396" i="3"/>
  <c r="CM396" i="3"/>
  <c r="CL396" i="3"/>
  <c r="CK396" i="3"/>
  <c r="CJ396" i="3"/>
  <c r="CI396" i="3"/>
  <c r="CH396" i="3"/>
  <c r="CG396" i="3"/>
  <c r="CF396" i="3"/>
  <c r="CE396" i="3"/>
  <c r="CD396" i="3"/>
  <c r="CC396" i="3"/>
  <c r="CB396" i="3"/>
  <c r="CA396" i="3"/>
  <c r="BZ396" i="3"/>
  <c r="BY396" i="3"/>
  <c r="BX396" i="3"/>
  <c r="BW396" i="3"/>
  <c r="BV396" i="3"/>
  <c r="BU396" i="3"/>
  <c r="BT396" i="3"/>
  <c r="BS396" i="3"/>
  <c r="BR396" i="3"/>
  <c r="BQ396" i="3"/>
  <c r="BP396" i="3"/>
  <c r="BO396" i="3"/>
  <c r="BN396" i="3"/>
  <c r="E396" i="3"/>
  <c r="D396" i="3"/>
  <c r="C396" i="3"/>
  <c r="B396" i="3"/>
  <c r="A396" i="3"/>
  <c r="DU395" i="3"/>
  <c r="DT395" i="3"/>
  <c r="DS395" i="3"/>
  <c r="DR395" i="3"/>
  <c r="DQ395" i="3"/>
  <c r="DP395" i="3"/>
  <c r="DO395" i="3"/>
  <c r="DN395" i="3"/>
  <c r="DM395" i="3"/>
  <c r="DL395" i="3"/>
  <c r="DK395" i="3"/>
  <c r="DJ395" i="3"/>
  <c r="DI395" i="3"/>
  <c r="DH395" i="3"/>
  <c r="DG395" i="3"/>
  <c r="DF395" i="3"/>
  <c r="DE395" i="3"/>
  <c r="DD395" i="3"/>
  <c r="DC395" i="3"/>
  <c r="DB395" i="3"/>
  <c r="DA395" i="3"/>
  <c r="CZ395" i="3"/>
  <c r="CY395" i="3"/>
  <c r="CX395" i="3"/>
  <c r="CW395" i="3"/>
  <c r="CV395" i="3"/>
  <c r="CU395" i="3"/>
  <c r="CT395" i="3"/>
  <c r="CS395" i="3"/>
  <c r="CR395" i="3"/>
  <c r="CQ395" i="3"/>
  <c r="CP395" i="3"/>
  <c r="CO395" i="3"/>
  <c r="CN395" i="3"/>
  <c r="CM395" i="3"/>
  <c r="CL395" i="3"/>
  <c r="CK395" i="3"/>
  <c r="CJ395" i="3"/>
  <c r="CI395" i="3"/>
  <c r="CH395" i="3"/>
  <c r="CG395" i="3"/>
  <c r="CF395" i="3"/>
  <c r="CE395" i="3"/>
  <c r="CD395" i="3"/>
  <c r="CC395" i="3"/>
  <c r="CB395" i="3"/>
  <c r="CA395" i="3"/>
  <c r="BZ395" i="3"/>
  <c r="BY395" i="3"/>
  <c r="BX395" i="3"/>
  <c r="BW395" i="3"/>
  <c r="BV395" i="3"/>
  <c r="BU395" i="3"/>
  <c r="BT395" i="3"/>
  <c r="BS395" i="3"/>
  <c r="BR395" i="3"/>
  <c r="BQ395" i="3"/>
  <c r="BP395" i="3"/>
  <c r="BO395" i="3"/>
  <c r="BN395" i="3"/>
  <c r="E395" i="3"/>
  <c r="D395" i="3"/>
  <c r="C395" i="3"/>
  <c r="B395" i="3"/>
  <c r="A395" i="3"/>
  <c r="DU394" i="3"/>
  <c r="DT394" i="3"/>
  <c r="DS394" i="3"/>
  <c r="DR394" i="3"/>
  <c r="DQ394" i="3"/>
  <c r="DP394" i="3"/>
  <c r="DO394" i="3"/>
  <c r="DN394" i="3"/>
  <c r="DM394" i="3"/>
  <c r="DL394" i="3"/>
  <c r="DK394" i="3"/>
  <c r="DJ394" i="3"/>
  <c r="DI394" i="3"/>
  <c r="DH394" i="3"/>
  <c r="DG394" i="3"/>
  <c r="DF394" i="3"/>
  <c r="DE394" i="3"/>
  <c r="DD394" i="3"/>
  <c r="DC394" i="3"/>
  <c r="DB394" i="3"/>
  <c r="DA394" i="3"/>
  <c r="CZ394" i="3"/>
  <c r="CY394" i="3"/>
  <c r="CX394" i="3"/>
  <c r="CW394" i="3"/>
  <c r="CV394" i="3"/>
  <c r="CU394" i="3"/>
  <c r="CT394" i="3"/>
  <c r="CS394" i="3"/>
  <c r="CR394" i="3"/>
  <c r="CQ394" i="3"/>
  <c r="CP394" i="3"/>
  <c r="CO394" i="3"/>
  <c r="CN394" i="3"/>
  <c r="CM394" i="3"/>
  <c r="CL394" i="3"/>
  <c r="CK394" i="3"/>
  <c r="CJ394" i="3"/>
  <c r="CI394" i="3"/>
  <c r="CH394" i="3"/>
  <c r="CG394" i="3"/>
  <c r="CF394" i="3"/>
  <c r="CE394" i="3"/>
  <c r="CD394" i="3"/>
  <c r="CC394" i="3"/>
  <c r="CB394" i="3"/>
  <c r="CA394" i="3"/>
  <c r="BZ394" i="3"/>
  <c r="BY394" i="3"/>
  <c r="BX394" i="3"/>
  <c r="BW394" i="3"/>
  <c r="BV394" i="3"/>
  <c r="BU394" i="3"/>
  <c r="BT394" i="3"/>
  <c r="BS394" i="3"/>
  <c r="BR394" i="3"/>
  <c r="BQ394" i="3"/>
  <c r="BP394" i="3"/>
  <c r="BO394" i="3"/>
  <c r="BN394" i="3"/>
  <c r="E394" i="3"/>
  <c r="D394" i="3"/>
  <c r="DU393" i="3"/>
  <c r="DT393" i="3"/>
  <c r="DS393" i="3"/>
  <c r="DR393" i="3"/>
  <c r="DQ393" i="3"/>
  <c r="DP393" i="3"/>
  <c r="DO393" i="3"/>
  <c r="DN393" i="3"/>
  <c r="DM393" i="3"/>
  <c r="DL393" i="3"/>
  <c r="DK393" i="3"/>
  <c r="DJ393" i="3"/>
  <c r="DI393" i="3"/>
  <c r="DH393" i="3"/>
  <c r="DG393" i="3"/>
  <c r="DF393" i="3"/>
  <c r="DE393" i="3"/>
  <c r="DD393" i="3"/>
  <c r="DC393" i="3"/>
  <c r="DB393" i="3"/>
  <c r="DA393" i="3"/>
  <c r="CZ393" i="3"/>
  <c r="CY393" i="3"/>
  <c r="CX393" i="3"/>
  <c r="CW393" i="3"/>
  <c r="CV393" i="3"/>
  <c r="CU393" i="3"/>
  <c r="CT393" i="3"/>
  <c r="CS393" i="3"/>
  <c r="CR393" i="3"/>
  <c r="CQ393" i="3"/>
  <c r="CP393" i="3"/>
  <c r="CO393" i="3"/>
  <c r="CN393" i="3"/>
  <c r="CM393" i="3"/>
  <c r="CL393" i="3"/>
  <c r="CK393" i="3"/>
  <c r="CJ393" i="3"/>
  <c r="CI393" i="3"/>
  <c r="CH393" i="3"/>
  <c r="CG393" i="3"/>
  <c r="CF393" i="3"/>
  <c r="CE393" i="3"/>
  <c r="CD393" i="3"/>
  <c r="CC393" i="3"/>
  <c r="CB393" i="3"/>
  <c r="CA393" i="3"/>
  <c r="BZ393" i="3"/>
  <c r="BY393" i="3"/>
  <c r="BX393" i="3"/>
  <c r="BW393" i="3"/>
  <c r="BV393" i="3"/>
  <c r="BU393" i="3"/>
  <c r="BT393" i="3"/>
  <c r="BS393" i="3"/>
  <c r="BR393" i="3"/>
  <c r="BQ393" i="3"/>
  <c r="BP393" i="3"/>
  <c r="BO393" i="3"/>
  <c r="BN393" i="3"/>
  <c r="DU392" i="3"/>
  <c r="DT392" i="3"/>
  <c r="DS392" i="3"/>
  <c r="DR392" i="3"/>
  <c r="DQ392" i="3"/>
  <c r="DP392" i="3"/>
  <c r="DO392" i="3"/>
  <c r="DN392" i="3"/>
  <c r="DM392" i="3"/>
  <c r="DL392" i="3"/>
  <c r="DK392" i="3"/>
  <c r="DJ392" i="3"/>
  <c r="DI392" i="3"/>
  <c r="DH392" i="3"/>
  <c r="DG392" i="3"/>
  <c r="DF392" i="3"/>
  <c r="DE392" i="3"/>
  <c r="DD392" i="3"/>
  <c r="DC392" i="3"/>
  <c r="DB392" i="3"/>
  <c r="DA392" i="3"/>
  <c r="CZ392" i="3"/>
  <c r="CY392" i="3"/>
  <c r="CX392" i="3"/>
  <c r="CW392" i="3"/>
  <c r="CV392" i="3"/>
  <c r="CU392" i="3"/>
  <c r="CT392" i="3"/>
  <c r="CS392" i="3"/>
  <c r="CR392" i="3"/>
  <c r="CQ392" i="3"/>
  <c r="CP392" i="3"/>
  <c r="CO392" i="3"/>
  <c r="CN392" i="3"/>
  <c r="CM392" i="3"/>
  <c r="CL392" i="3"/>
  <c r="CK392" i="3"/>
  <c r="CJ392" i="3"/>
  <c r="CI392" i="3"/>
  <c r="CH392" i="3"/>
  <c r="CG392" i="3"/>
  <c r="CF392" i="3"/>
  <c r="CE392" i="3"/>
  <c r="CD392" i="3"/>
  <c r="CC392" i="3"/>
  <c r="CB392" i="3"/>
  <c r="CA392" i="3"/>
  <c r="BZ392" i="3"/>
  <c r="BY392" i="3"/>
  <c r="BX392" i="3"/>
  <c r="BW392" i="3"/>
  <c r="BV392" i="3"/>
  <c r="BU392" i="3"/>
  <c r="BT392" i="3"/>
  <c r="BS392" i="3"/>
  <c r="BR392" i="3"/>
  <c r="BQ392" i="3"/>
  <c r="BP392" i="3"/>
  <c r="BO392" i="3"/>
  <c r="BN392" i="3"/>
  <c r="DU391" i="3"/>
  <c r="DT391" i="3"/>
  <c r="DS391" i="3"/>
  <c r="DR391" i="3"/>
  <c r="DQ391" i="3"/>
  <c r="DP391" i="3"/>
  <c r="DO391" i="3"/>
  <c r="DN391" i="3"/>
  <c r="DM391" i="3"/>
  <c r="DL391" i="3"/>
  <c r="DK391" i="3"/>
  <c r="DJ391" i="3"/>
  <c r="DI391" i="3"/>
  <c r="DH391" i="3"/>
  <c r="DG391" i="3"/>
  <c r="DF391" i="3"/>
  <c r="DE391" i="3"/>
  <c r="DD391" i="3"/>
  <c r="DC391" i="3"/>
  <c r="DB391" i="3"/>
  <c r="DA391" i="3"/>
  <c r="CZ391" i="3"/>
  <c r="CY391" i="3"/>
  <c r="CX391" i="3"/>
  <c r="CW391" i="3"/>
  <c r="CV391" i="3"/>
  <c r="CU391" i="3"/>
  <c r="CT391" i="3"/>
  <c r="CS391" i="3"/>
  <c r="CR391" i="3"/>
  <c r="CQ391" i="3"/>
  <c r="CP391" i="3"/>
  <c r="CO391" i="3"/>
  <c r="CN391" i="3"/>
  <c r="CM391" i="3"/>
  <c r="CL391" i="3"/>
  <c r="CK391" i="3"/>
  <c r="CJ391" i="3"/>
  <c r="CI391" i="3"/>
  <c r="CH391" i="3"/>
  <c r="CG391" i="3"/>
  <c r="CF391" i="3"/>
  <c r="CE391" i="3"/>
  <c r="CD391" i="3"/>
  <c r="CC391" i="3"/>
  <c r="CB391" i="3"/>
  <c r="CA391" i="3"/>
  <c r="BZ391" i="3"/>
  <c r="BY391" i="3"/>
  <c r="BX391" i="3"/>
  <c r="BW391" i="3"/>
  <c r="BV391" i="3"/>
  <c r="BU391" i="3"/>
  <c r="BT391" i="3"/>
  <c r="BS391" i="3"/>
  <c r="BR391" i="3"/>
  <c r="BQ391" i="3"/>
  <c r="BP391" i="3"/>
  <c r="BO391" i="3"/>
  <c r="BN391" i="3"/>
  <c r="A391" i="3"/>
  <c r="DU390" i="3"/>
  <c r="DT390" i="3"/>
  <c r="DS390" i="3"/>
  <c r="DR390" i="3"/>
  <c r="DQ390" i="3"/>
  <c r="DP390" i="3"/>
  <c r="DO390" i="3"/>
  <c r="DN390" i="3"/>
  <c r="DM390" i="3"/>
  <c r="DL390" i="3"/>
  <c r="DK390" i="3"/>
  <c r="DJ390" i="3"/>
  <c r="DI390" i="3"/>
  <c r="DH390" i="3"/>
  <c r="DG390" i="3"/>
  <c r="DF390" i="3"/>
  <c r="DE390" i="3"/>
  <c r="DD390" i="3"/>
  <c r="DC390" i="3"/>
  <c r="DB390" i="3"/>
  <c r="DA390" i="3"/>
  <c r="CZ390" i="3"/>
  <c r="CY390" i="3"/>
  <c r="CX390" i="3"/>
  <c r="CW390" i="3"/>
  <c r="CV390" i="3"/>
  <c r="CU390" i="3"/>
  <c r="CT390" i="3"/>
  <c r="CS390" i="3"/>
  <c r="CR390" i="3"/>
  <c r="CQ390" i="3"/>
  <c r="CP390" i="3"/>
  <c r="CO390" i="3"/>
  <c r="CN390" i="3"/>
  <c r="CM390" i="3"/>
  <c r="CL390" i="3"/>
  <c r="CK390" i="3"/>
  <c r="CJ390" i="3"/>
  <c r="CI390" i="3"/>
  <c r="CH390" i="3"/>
  <c r="CG390" i="3"/>
  <c r="CF390" i="3"/>
  <c r="CE390" i="3"/>
  <c r="CD390" i="3"/>
  <c r="CC390" i="3"/>
  <c r="CB390" i="3"/>
  <c r="CA390" i="3"/>
  <c r="BZ390" i="3"/>
  <c r="BY390" i="3"/>
  <c r="BX390" i="3"/>
  <c r="BW390" i="3"/>
  <c r="BV390" i="3"/>
  <c r="BU390" i="3"/>
  <c r="BT390" i="3"/>
  <c r="BS390" i="3"/>
  <c r="BR390" i="3"/>
  <c r="BQ390" i="3"/>
  <c r="BP390" i="3"/>
  <c r="BO390" i="3"/>
  <c r="BN390" i="3"/>
  <c r="E390" i="3"/>
  <c r="D390" i="3"/>
  <c r="C390" i="3"/>
  <c r="B390" i="3"/>
  <c r="A390" i="3"/>
  <c r="DU389" i="3"/>
  <c r="DT389" i="3"/>
  <c r="DS389" i="3"/>
  <c r="DR389" i="3"/>
  <c r="DQ389" i="3"/>
  <c r="DP389" i="3"/>
  <c r="DO389" i="3"/>
  <c r="DN389" i="3"/>
  <c r="DM389" i="3"/>
  <c r="DL389" i="3"/>
  <c r="DK389" i="3"/>
  <c r="DJ389" i="3"/>
  <c r="DI389" i="3"/>
  <c r="DH389" i="3"/>
  <c r="DG389" i="3"/>
  <c r="DF389" i="3"/>
  <c r="DE389" i="3"/>
  <c r="DD389" i="3"/>
  <c r="DC389" i="3"/>
  <c r="DB389" i="3"/>
  <c r="DA389" i="3"/>
  <c r="CZ389" i="3"/>
  <c r="CY389" i="3"/>
  <c r="CX389" i="3"/>
  <c r="CW389" i="3"/>
  <c r="CV389" i="3"/>
  <c r="CU389" i="3"/>
  <c r="CT389" i="3"/>
  <c r="CS389" i="3"/>
  <c r="CR389" i="3"/>
  <c r="CQ389" i="3"/>
  <c r="CP389" i="3"/>
  <c r="CO389" i="3"/>
  <c r="CN389" i="3"/>
  <c r="CM389" i="3"/>
  <c r="CL389" i="3"/>
  <c r="CK389" i="3"/>
  <c r="CJ389" i="3"/>
  <c r="CI389" i="3"/>
  <c r="CH389" i="3"/>
  <c r="CG389" i="3"/>
  <c r="CF389" i="3"/>
  <c r="CE389" i="3"/>
  <c r="CD389" i="3"/>
  <c r="CC389" i="3"/>
  <c r="CB389" i="3"/>
  <c r="CA389" i="3"/>
  <c r="BZ389" i="3"/>
  <c r="BY389" i="3"/>
  <c r="BX389" i="3"/>
  <c r="BW389" i="3"/>
  <c r="BV389" i="3"/>
  <c r="BU389" i="3"/>
  <c r="BT389" i="3"/>
  <c r="BS389" i="3"/>
  <c r="BR389" i="3"/>
  <c r="BQ389" i="3"/>
  <c r="BP389" i="3"/>
  <c r="BO389" i="3"/>
  <c r="BN389" i="3"/>
  <c r="DU388" i="3"/>
  <c r="DT388" i="3"/>
  <c r="DS388" i="3"/>
  <c r="DR388" i="3"/>
  <c r="DQ388" i="3"/>
  <c r="DP388" i="3"/>
  <c r="DO388" i="3"/>
  <c r="DN388" i="3"/>
  <c r="DM388" i="3"/>
  <c r="DL388" i="3"/>
  <c r="DK388" i="3"/>
  <c r="DJ388" i="3"/>
  <c r="DI388" i="3"/>
  <c r="DH388" i="3"/>
  <c r="DG388" i="3"/>
  <c r="DF388" i="3"/>
  <c r="DE388" i="3"/>
  <c r="DD388" i="3"/>
  <c r="DC388" i="3"/>
  <c r="DB388" i="3"/>
  <c r="DA388" i="3"/>
  <c r="CZ388" i="3"/>
  <c r="CY388" i="3"/>
  <c r="CX388" i="3"/>
  <c r="CW388" i="3"/>
  <c r="CV388" i="3"/>
  <c r="CU388" i="3"/>
  <c r="CT388" i="3"/>
  <c r="CS388" i="3"/>
  <c r="CR388" i="3"/>
  <c r="CQ388" i="3"/>
  <c r="CP388" i="3"/>
  <c r="CO388" i="3"/>
  <c r="CN388" i="3"/>
  <c r="CM388" i="3"/>
  <c r="CL388" i="3"/>
  <c r="CK388" i="3"/>
  <c r="CJ388" i="3"/>
  <c r="CI388" i="3"/>
  <c r="CH388" i="3"/>
  <c r="CG388" i="3"/>
  <c r="CF388" i="3"/>
  <c r="CE388" i="3"/>
  <c r="CD388" i="3"/>
  <c r="CC388" i="3"/>
  <c r="CB388" i="3"/>
  <c r="CA388" i="3"/>
  <c r="BZ388" i="3"/>
  <c r="BY388" i="3"/>
  <c r="BX388" i="3"/>
  <c r="BW388" i="3"/>
  <c r="BV388" i="3"/>
  <c r="BU388" i="3"/>
  <c r="BT388" i="3"/>
  <c r="BS388" i="3"/>
  <c r="BR388" i="3"/>
  <c r="BQ388" i="3"/>
  <c r="BP388" i="3"/>
  <c r="BO388" i="3"/>
  <c r="BN388" i="3"/>
  <c r="DU387" i="3"/>
  <c r="DT387" i="3"/>
  <c r="DS387" i="3"/>
  <c r="DR387" i="3"/>
  <c r="DQ387" i="3"/>
  <c r="DP387" i="3"/>
  <c r="DO387" i="3"/>
  <c r="DN387" i="3"/>
  <c r="DM387" i="3"/>
  <c r="DL387" i="3"/>
  <c r="DK387" i="3"/>
  <c r="DJ387" i="3"/>
  <c r="DI387" i="3"/>
  <c r="DH387" i="3"/>
  <c r="DG387" i="3"/>
  <c r="DF387" i="3"/>
  <c r="DE387" i="3"/>
  <c r="DD387" i="3"/>
  <c r="DC387" i="3"/>
  <c r="DB387" i="3"/>
  <c r="DA387" i="3"/>
  <c r="CZ387" i="3"/>
  <c r="CY387" i="3"/>
  <c r="CX387" i="3"/>
  <c r="CW387" i="3"/>
  <c r="CV387" i="3"/>
  <c r="CU387" i="3"/>
  <c r="CT387" i="3"/>
  <c r="CS387" i="3"/>
  <c r="CR387" i="3"/>
  <c r="CQ387" i="3"/>
  <c r="CP387" i="3"/>
  <c r="CO387" i="3"/>
  <c r="CN387" i="3"/>
  <c r="CM387" i="3"/>
  <c r="CL387" i="3"/>
  <c r="CK387" i="3"/>
  <c r="CJ387" i="3"/>
  <c r="CI387" i="3"/>
  <c r="CH387" i="3"/>
  <c r="CG387" i="3"/>
  <c r="CF387" i="3"/>
  <c r="CE387" i="3"/>
  <c r="CD387" i="3"/>
  <c r="CC387" i="3"/>
  <c r="CB387" i="3"/>
  <c r="CA387" i="3"/>
  <c r="BZ387" i="3"/>
  <c r="BY387" i="3"/>
  <c r="BX387" i="3"/>
  <c r="BW387" i="3"/>
  <c r="BV387" i="3"/>
  <c r="BU387" i="3"/>
  <c r="BT387" i="3"/>
  <c r="BS387" i="3"/>
  <c r="BR387" i="3"/>
  <c r="BQ387" i="3"/>
  <c r="BP387" i="3"/>
  <c r="BO387" i="3"/>
  <c r="BN387" i="3"/>
  <c r="E387" i="3"/>
  <c r="DU386" i="3"/>
  <c r="DT386" i="3"/>
  <c r="DS386" i="3"/>
  <c r="DR386" i="3"/>
  <c r="DQ386" i="3"/>
  <c r="DP386" i="3"/>
  <c r="DO386" i="3"/>
  <c r="DN386" i="3"/>
  <c r="DM386" i="3"/>
  <c r="DL386" i="3"/>
  <c r="DK386" i="3"/>
  <c r="DJ386" i="3"/>
  <c r="DI386" i="3"/>
  <c r="DH386" i="3"/>
  <c r="DG386" i="3"/>
  <c r="DF386" i="3"/>
  <c r="DE386" i="3"/>
  <c r="DD386" i="3"/>
  <c r="DC386" i="3"/>
  <c r="DB386" i="3"/>
  <c r="DA386" i="3"/>
  <c r="CZ386" i="3"/>
  <c r="CY386" i="3"/>
  <c r="CX386" i="3"/>
  <c r="CW386" i="3"/>
  <c r="CV386" i="3"/>
  <c r="CU386" i="3"/>
  <c r="CT386" i="3"/>
  <c r="CS386" i="3"/>
  <c r="CR386" i="3"/>
  <c r="CQ386" i="3"/>
  <c r="CP386" i="3"/>
  <c r="CO386" i="3"/>
  <c r="CN386" i="3"/>
  <c r="CM386" i="3"/>
  <c r="CL386" i="3"/>
  <c r="CK386" i="3"/>
  <c r="CJ386" i="3"/>
  <c r="CI386" i="3"/>
  <c r="CH386" i="3"/>
  <c r="CG386" i="3"/>
  <c r="CF386" i="3"/>
  <c r="CE386" i="3"/>
  <c r="CD386" i="3"/>
  <c r="CC386" i="3"/>
  <c r="CB386" i="3"/>
  <c r="CA386" i="3"/>
  <c r="BZ386" i="3"/>
  <c r="BY386" i="3"/>
  <c r="BX386" i="3"/>
  <c r="BW386" i="3"/>
  <c r="BV386" i="3"/>
  <c r="BU386" i="3"/>
  <c r="BT386" i="3"/>
  <c r="BS386" i="3"/>
  <c r="BR386" i="3"/>
  <c r="BQ386" i="3"/>
  <c r="BP386" i="3"/>
  <c r="BO386" i="3"/>
  <c r="BN386" i="3"/>
  <c r="E386" i="3"/>
  <c r="DU385" i="3"/>
  <c r="DT385" i="3"/>
  <c r="DS385" i="3"/>
  <c r="DR385" i="3"/>
  <c r="DQ385" i="3"/>
  <c r="DP385" i="3"/>
  <c r="DO385" i="3"/>
  <c r="DN385" i="3"/>
  <c r="DM385" i="3"/>
  <c r="DL385" i="3"/>
  <c r="DK385" i="3"/>
  <c r="DJ385" i="3"/>
  <c r="DI385" i="3"/>
  <c r="DH385" i="3"/>
  <c r="DG385" i="3"/>
  <c r="DF385" i="3"/>
  <c r="DE385" i="3"/>
  <c r="DD385" i="3"/>
  <c r="DC385" i="3"/>
  <c r="DB385" i="3"/>
  <c r="DA385" i="3"/>
  <c r="CZ385" i="3"/>
  <c r="CY385" i="3"/>
  <c r="CX385" i="3"/>
  <c r="CW385" i="3"/>
  <c r="CV385" i="3"/>
  <c r="CU385" i="3"/>
  <c r="CT385" i="3"/>
  <c r="CS385" i="3"/>
  <c r="CR385" i="3"/>
  <c r="CQ385" i="3"/>
  <c r="CP385" i="3"/>
  <c r="CO385" i="3"/>
  <c r="CN385" i="3"/>
  <c r="CM385" i="3"/>
  <c r="CL385" i="3"/>
  <c r="CK385" i="3"/>
  <c r="CJ385" i="3"/>
  <c r="CI385" i="3"/>
  <c r="CH385" i="3"/>
  <c r="CG385" i="3"/>
  <c r="CF385" i="3"/>
  <c r="CE385" i="3"/>
  <c r="CD385" i="3"/>
  <c r="CC385" i="3"/>
  <c r="CB385" i="3"/>
  <c r="CA385" i="3"/>
  <c r="BZ385" i="3"/>
  <c r="BY385" i="3"/>
  <c r="BX385" i="3"/>
  <c r="BW385" i="3"/>
  <c r="BV385" i="3"/>
  <c r="BU385" i="3"/>
  <c r="BT385" i="3"/>
  <c r="BS385" i="3"/>
  <c r="BR385" i="3"/>
  <c r="BQ385" i="3"/>
  <c r="BP385" i="3"/>
  <c r="BO385" i="3"/>
  <c r="BN385" i="3"/>
  <c r="DU384" i="3"/>
  <c r="DT384" i="3"/>
  <c r="DS384" i="3"/>
  <c r="DR384" i="3"/>
  <c r="DQ384" i="3"/>
  <c r="DP384" i="3"/>
  <c r="DO384" i="3"/>
  <c r="DN384" i="3"/>
  <c r="DM384" i="3"/>
  <c r="DL384" i="3"/>
  <c r="DK384" i="3"/>
  <c r="DJ384" i="3"/>
  <c r="DI384" i="3"/>
  <c r="DH384" i="3"/>
  <c r="DG384" i="3"/>
  <c r="DF384" i="3"/>
  <c r="DE384" i="3"/>
  <c r="DD384" i="3"/>
  <c r="DC384" i="3"/>
  <c r="DB384" i="3"/>
  <c r="DA384" i="3"/>
  <c r="CZ384" i="3"/>
  <c r="CY384" i="3"/>
  <c r="CX384" i="3"/>
  <c r="CW384" i="3"/>
  <c r="CV384" i="3"/>
  <c r="CU384" i="3"/>
  <c r="CT384" i="3"/>
  <c r="CS384" i="3"/>
  <c r="CR384" i="3"/>
  <c r="CQ384" i="3"/>
  <c r="CP384" i="3"/>
  <c r="CO384" i="3"/>
  <c r="CN384" i="3"/>
  <c r="CM384" i="3"/>
  <c r="CL384" i="3"/>
  <c r="CK384" i="3"/>
  <c r="CJ384" i="3"/>
  <c r="CI384" i="3"/>
  <c r="CH384" i="3"/>
  <c r="CG384" i="3"/>
  <c r="CF384" i="3"/>
  <c r="CE384" i="3"/>
  <c r="CD384" i="3"/>
  <c r="CC384" i="3"/>
  <c r="CB384" i="3"/>
  <c r="CA384" i="3"/>
  <c r="BZ384" i="3"/>
  <c r="BY384" i="3"/>
  <c r="BX384" i="3"/>
  <c r="BW384" i="3"/>
  <c r="BV384" i="3"/>
  <c r="BU384" i="3"/>
  <c r="BT384" i="3"/>
  <c r="BS384" i="3"/>
  <c r="BR384" i="3"/>
  <c r="BQ384" i="3"/>
  <c r="BP384" i="3"/>
  <c r="BO384" i="3"/>
  <c r="BN384" i="3"/>
  <c r="DU383" i="3"/>
  <c r="DT383" i="3"/>
  <c r="DS383" i="3"/>
  <c r="DR383" i="3"/>
  <c r="DQ383" i="3"/>
  <c r="DP383" i="3"/>
  <c r="DO383" i="3"/>
  <c r="DN383" i="3"/>
  <c r="DM383" i="3"/>
  <c r="DL383" i="3"/>
  <c r="DK383" i="3"/>
  <c r="DJ383" i="3"/>
  <c r="DI383" i="3"/>
  <c r="DH383" i="3"/>
  <c r="DG383" i="3"/>
  <c r="DF383" i="3"/>
  <c r="DE383" i="3"/>
  <c r="DD383" i="3"/>
  <c r="DC383" i="3"/>
  <c r="DB383" i="3"/>
  <c r="DA383" i="3"/>
  <c r="CZ383" i="3"/>
  <c r="CY383" i="3"/>
  <c r="CX383" i="3"/>
  <c r="CW383" i="3"/>
  <c r="CV383" i="3"/>
  <c r="CU383" i="3"/>
  <c r="CT383" i="3"/>
  <c r="CS383" i="3"/>
  <c r="CR383" i="3"/>
  <c r="CQ383" i="3"/>
  <c r="CP383" i="3"/>
  <c r="CO383" i="3"/>
  <c r="CN383" i="3"/>
  <c r="CM383" i="3"/>
  <c r="CL383" i="3"/>
  <c r="CK383" i="3"/>
  <c r="CJ383" i="3"/>
  <c r="CI383" i="3"/>
  <c r="CH383" i="3"/>
  <c r="CG383" i="3"/>
  <c r="CF383" i="3"/>
  <c r="CE383" i="3"/>
  <c r="CD383" i="3"/>
  <c r="CC383" i="3"/>
  <c r="CB383" i="3"/>
  <c r="CA383" i="3"/>
  <c r="BZ383" i="3"/>
  <c r="BY383" i="3"/>
  <c r="BX383" i="3"/>
  <c r="BW383" i="3"/>
  <c r="BV383" i="3"/>
  <c r="BU383" i="3"/>
  <c r="BT383" i="3"/>
  <c r="BS383" i="3"/>
  <c r="BR383" i="3"/>
  <c r="BQ383" i="3"/>
  <c r="BP383" i="3"/>
  <c r="BO383" i="3"/>
  <c r="BN383" i="3"/>
  <c r="E383" i="3"/>
  <c r="DU382" i="3"/>
  <c r="DT382" i="3"/>
  <c r="DS382" i="3"/>
  <c r="DR382" i="3"/>
  <c r="DQ382" i="3"/>
  <c r="DP382" i="3"/>
  <c r="DO382" i="3"/>
  <c r="DN382" i="3"/>
  <c r="DM382" i="3"/>
  <c r="DL382" i="3"/>
  <c r="DK382" i="3"/>
  <c r="DJ382" i="3"/>
  <c r="DI382" i="3"/>
  <c r="DH382" i="3"/>
  <c r="DG382" i="3"/>
  <c r="DF382" i="3"/>
  <c r="DE382" i="3"/>
  <c r="DD382" i="3"/>
  <c r="DC382" i="3"/>
  <c r="DB382" i="3"/>
  <c r="DA382" i="3"/>
  <c r="CZ382" i="3"/>
  <c r="CY382" i="3"/>
  <c r="CX382" i="3"/>
  <c r="CW382" i="3"/>
  <c r="CV382" i="3"/>
  <c r="CU382" i="3"/>
  <c r="CT382" i="3"/>
  <c r="CS382" i="3"/>
  <c r="CR382" i="3"/>
  <c r="CQ382" i="3"/>
  <c r="CP382" i="3"/>
  <c r="CO382" i="3"/>
  <c r="CN382" i="3"/>
  <c r="CM382" i="3"/>
  <c r="CL382" i="3"/>
  <c r="CK382" i="3"/>
  <c r="CJ382" i="3"/>
  <c r="CI382" i="3"/>
  <c r="CH382" i="3"/>
  <c r="CG382" i="3"/>
  <c r="CF382" i="3"/>
  <c r="CE382" i="3"/>
  <c r="CD382" i="3"/>
  <c r="CC382" i="3"/>
  <c r="CB382" i="3"/>
  <c r="CA382" i="3"/>
  <c r="BZ382" i="3"/>
  <c r="BY382" i="3"/>
  <c r="BX382" i="3"/>
  <c r="BW382" i="3"/>
  <c r="BV382" i="3"/>
  <c r="BU382" i="3"/>
  <c r="BT382" i="3"/>
  <c r="BS382" i="3"/>
  <c r="BR382" i="3"/>
  <c r="BQ382" i="3"/>
  <c r="BP382" i="3"/>
  <c r="BO382" i="3"/>
  <c r="BN382" i="3"/>
  <c r="E382" i="3"/>
  <c r="DU381" i="3"/>
  <c r="DT381" i="3"/>
  <c r="DS381" i="3"/>
  <c r="DR381" i="3"/>
  <c r="DQ381" i="3"/>
  <c r="DP381" i="3"/>
  <c r="DO381" i="3"/>
  <c r="DN381" i="3"/>
  <c r="DM381" i="3"/>
  <c r="DL381" i="3"/>
  <c r="DK381" i="3"/>
  <c r="DJ381" i="3"/>
  <c r="DI381" i="3"/>
  <c r="DH381" i="3"/>
  <c r="DG381" i="3"/>
  <c r="DF381" i="3"/>
  <c r="DE381" i="3"/>
  <c r="DD381" i="3"/>
  <c r="DC381" i="3"/>
  <c r="DB381" i="3"/>
  <c r="DA381" i="3"/>
  <c r="CZ381" i="3"/>
  <c r="CY381" i="3"/>
  <c r="CX381" i="3"/>
  <c r="CW381" i="3"/>
  <c r="CV381" i="3"/>
  <c r="CU381" i="3"/>
  <c r="CT381" i="3"/>
  <c r="CS381" i="3"/>
  <c r="CR381" i="3"/>
  <c r="CQ381" i="3"/>
  <c r="CP381" i="3"/>
  <c r="CO381" i="3"/>
  <c r="CN381" i="3"/>
  <c r="CM381" i="3"/>
  <c r="CL381" i="3"/>
  <c r="CK381" i="3"/>
  <c r="CJ381" i="3"/>
  <c r="CI381" i="3"/>
  <c r="CH381" i="3"/>
  <c r="CG381" i="3"/>
  <c r="CF381" i="3"/>
  <c r="CE381" i="3"/>
  <c r="CD381" i="3"/>
  <c r="CC381" i="3"/>
  <c r="CB381" i="3"/>
  <c r="CA381" i="3"/>
  <c r="BZ381" i="3"/>
  <c r="BY381" i="3"/>
  <c r="BX381" i="3"/>
  <c r="BW381" i="3"/>
  <c r="BV381" i="3"/>
  <c r="BU381" i="3"/>
  <c r="BT381" i="3"/>
  <c r="BS381" i="3"/>
  <c r="BR381" i="3"/>
  <c r="BQ381" i="3"/>
  <c r="BP381" i="3"/>
  <c r="BO381" i="3"/>
  <c r="BN381" i="3"/>
  <c r="DU380" i="3"/>
  <c r="DT380" i="3"/>
  <c r="DS380" i="3"/>
  <c r="DR380" i="3"/>
  <c r="DQ380" i="3"/>
  <c r="DP380" i="3"/>
  <c r="DO380" i="3"/>
  <c r="DN380" i="3"/>
  <c r="DM380" i="3"/>
  <c r="DL380" i="3"/>
  <c r="DK380" i="3"/>
  <c r="DJ380" i="3"/>
  <c r="DI380" i="3"/>
  <c r="DH380" i="3"/>
  <c r="DG380" i="3"/>
  <c r="DF380" i="3"/>
  <c r="DE380" i="3"/>
  <c r="DD380" i="3"/>
  <c r="DC380" i="3"/>
  <c r="DB380" i="3"/>
  <c r="DA380" i="3"/>
  <c r="CZ380" i="3"/>
  <c r="CY380" i="3"/>
  <c r="CX380" i="3"/>
  <c r="CW380" i="3"/>
  <c r="CV380" i="3"/>
  <c r="CU380" i="3"/>
  <c r="CT380" i="3"/>
  <c r="CS380" i="3"/>
  <c r="CR380" i="3"/>
  <c r="CQ380" i="3"/>
  <c r="CP380" i="3"/>
  <c r="CO380" i="3"/>
  <c r="CN380" i="3"/>
  <c r="CM380" i="3"/>
  <c r="CL380" i="3"/>
  <c r="CK380" i="3"/>
  <c r="CJ380" i="3"/>
  <c r="CI380" i="3"/>
  <c r="CH380" i="3"/>
  <c r="CG380" i="3"/>
  <c r="CF380" i="3"/>
  <c r="CE380" i="3"/>
  <c r="CD380" i="3"/>
  <c r="CC380" i="3"/>
  <c r="CB380" i="3"/>
  <c r="CA380" i="3"/>
  <c r="BZ380" i="3"/>
  <c r="BY380" i="3"/>
  <c r="BX380" i="3"/>
  <c r="BW380" i="3"/>
  <c r="BV380" i="3"/>
  <c r="BU380" i="3"/>
  <c r="BT380" i="3"/>
  <c r="BS380" i="3"/>
  <c r="BR380" i="3"/>
  <c r="BQ380" i="3"/>
  <c r="BP380" i="3"/>
  <c r="BO380" i="3"/>
  <c r="BN380" i="3"/>
  <c r="A380" i="3"/>
  <c r="DU379" i="3"/>
  <c r="DT379" i="3"/>
  <c r="DS379" i="3"/>
  <c r="DR379" i="3"/>
  <c r="DQ379" i="3"/>
  <c r="DP379" i="3"/>
  <c r="DO379" i="3"/>
  <c r="DN379" i="3"/>
  <c r="DM379" i="3"/>
  <c r="DL379" i="3"/>
  <c r="DK379" i="3"/>
  <c r="DJ379" i="3"/>
  <c r="DI379" i="3"/>
  <c r="DH379" i="3"/>
  <c r="DG379" i="3"/>
  <c r="DF379" i="3"/>
  <c r="DE379" i="3"/>
  <c r="DD379" i="3"/>
  <c r="DC379" i="3"/>
  <c r="DB379" i="3"/>
  <c r="DA379" i="3"/>
  <c r="CZ379" i="3"/>
  <c r="CY379" i="3"/>
  <c r="CX379" i="3"/>
  <c r="CW379" i="3"/>
  <c r="CV379" i="3"/>
  <c r="CU379" i="3"/>
  <c r="CT379" i="3"/>
  <c r="CS379" i="3"/>
  <c r="CR379" i="3"/>
  <c r="CQ379" i="3"/>
  <c r="CP379" i="3"/>
  <c r="CO379" i="3"/>
  <c r="CN379" i="3"/>
  <c r="CM379" i="3"/>
  <c r="CL379" i="3"/>
  <c r="CK379" i="3"/>
  <c r="CJ379" i="3"/>
  <c r="CI379" i="3"/>
  <c r="CH379" i="3"/>
  <c r="CG379" i="3"/>
  <c r="CF379" i="3"/>
  <c r="CE379" i="3"/>
  <c r="CD379" i="3"/>
  <c r="CC379" i="3"/>
  <c r="CB379" i="3"/>
  <c r="CA379" i="3"/>
  <c r="BZ379" i="3"/>
  <c r="BY379" i="3"/>
  <c r="BX379" i="3"/>
  <c r="BW379" i="3"/>
  <c r="BV379" i="3"/>
  <c r="BU379" i="3"/>
  <c r="BT379" i="3"/>
  <c r="BS379" i="3"/>
  <c r="BR379" i="3"/>
  <c r="BQ379" i="3"/>
  <c r="BP379" i="3"/>
  <c r="BO379" i="3"/>
  <c r="BN379" i="3"/>
  <c r="B379" i="3"/>
  <c r="DU378" i="3"/>
  <c r="DT378" i="3"/>
  <c r="DS378" i="3"/>
  <c r="DR378" i="3"/>
  <c r="DQ378" i="3"/>
  <c r="DP378" i="3"/>
  <c r="DO378" i="3"/>
  <c r="DN378" i="3"/>
  <c r="DM378" i="3"/>
  <c r="DL378" i="3"/>
  <c r="DK378" i="3"/>
  <c r="DJ378" i="3"/>
  <c r="DI378" i="3"/>
  <c r="DH378" i="3"/>
  <c r="DG378" i="3"/>
  <c r="DF378" i="3"/>
  <c r="DE378" i="3"/>
  <c r="DD378" i="3"/>
  <c r="DC378" i="3"/>
  <c r="DB378" i="3"/>
  <c r="DA378" i="3"/>
  <c r="CZ378" i="3"/>
  <c r="CY378" i="3"/>
  <c r="CX378" i="3"/>
  <c r="CW378" i="3"/>
  <c r="CV378" i="3"/>
  <c r="CU378" i="3"/>
  <c r="CT378" i="3"/>
  <c r="CS378" i="3"/>
  <c r="CR378" i="3"/>
  <c r="CQ378" i="3"/>
  <c r="CP378" i="3"/>
  <c r="CO378" i="3"/>
  <c r="CN378" i="3"/>
  <c r="CM378" i="3"/>
  <c r="CL378" i="3"/>
  <c r="CK378" i="3"/>
  <c r="CJ378" i="3"/>
  <c r="CI378" i="3"/>
  <c r="CH378" i="3"/>
  <c r="CG378" i="3"/>
  <c r="CF378" i="3"/>
  <c r="CE378" i="3"/>
  <c r="CD378" i="3"/>
  <c r="CC378" i="3"/>
  <c r="CB378" i="3"/>
  <c r="CA378" i="3"/>
  <c r="BZ378" i="3"/>
  <c r="BY378" i="3"/>
  <c r="BX378" i="3"/>
  <c r="BW378" i="3"/>
  <c r="BV378" i="3"/>
  <c r="BU378" i="3"/>
  <c r="BT378" i="3"/>
  <c r="BS378" i="3"/>
  <c r="BR378" i="3"/>
  <c r="BQ378" i="3"/>
  <c r="BP378" i="3"/>
  <c r="BO378" i="3"/>
  <c r="BN378" i="3"/>
  <c r="E378" i="3"/>
  <c r="DU377" i="3"/>
  <c r="DT377" i="3"/>
  <c r="DS377" i="3"/>
  <c r="DR377" i="3"/>
  <c r="DQ377" i="3"/>
  <c r="DP377" i="3"/>
  <c r="DO377" i="3"/>
  <c r="DN377" i="3"/>
  <c r="DM377" i="3"/>
  <c r="DL377" i="3"/>
  <c r="DK377" i="3"/>
  <c r="DJ377" i="3"/>
  <c r="DI377" i="3"/>
  <c r="DH377" i="3"/>
  <c r="DG377" i="3"/>
  <c r="DF377" i="3"/>
  <c r="DE377" i="3"/>
  <c r="DD377" i="3"/>
  <c r="DC377" i="3"/>
  <c r="DB377" i="3"/>
  <c r="DA377" i="3"/>
  <c r="CZ377" i="3"/>
  <c r="CY377" i="3"/>
  <c r="CX377" i="3"/>
  <c r="CW377" i="3"/>
  <c r="CV377" i="3"/>
  <c r="CU377" i="3"/>
  <c r="CT377" i="3"/>
  <c r="CS377" i="3"/>
  <c r="CR377" i="3"/>
  <c r="CQ377" i="3"/>
  <c r="CP377" i="3"/>
  <c r="CO377" i="3"/>
  <c r="CN377" i="3"/>
  <c r="CM377" i="3"/>
  <c r="CL377" i="3"/>
  <c r="CK377" i="3"/>
  <c r="CJ377" i="3"/>
  <c r="CI377" i="3"/>
  <c r="CH377" i="3"/>
  <c r="CG377" i="3"/>
  <c r="CF377" i="3"/>
  <c r="CE377" i="3"/>
  <c r="CD377" i="3"/>
  <c r="CC377" i="3"/>
  <c r="CB377" i="3"/>
  <c r="CA377" i="3"/>
  <c r="BZ377" i="3"/>
  <c r="BY377" i="3"/>
  <c r="BX377" i="3"/>
  <c r="BW377" i="3"/>
  <c r="BV377" i="3"/>
  <c r="BU377" i="3"/>
  <c r="BT377" i="3"/>
  <c r="BS377" i="3"/>
  <c r="BR377" i="3"/>
  <c r="BQ377" i="3"/>
  <c r="BP377" i="3"/>
  <c r="BO377" i="3"/>
  <c r="BN377" i="3"/>
  <c r="DU376" i="3"/>
  <c r="DT376" i="3"/>
  <c r="DS376" i="3"/>
  <c r="DR376" i="3"/>
  <c r="DQ376" i="3"/>
  <c r="DP376" i="3"/>
  <c r="DO376" i="3"/>
  <c r="DN376" i="3"/>
  <c r="DM376" i="3"/>
  <c r="DL376" i="3"/>
  <c r="DK376" i="3"/>
  <c r="DJ376" i="3"/>
  <c r="DI376" i="3"/>
  <c r="DH376" i="3"/>
  <c r="DG376" i="3"/>
  <c r="DF376" i="3"/>
  <c r="DE376" i="3"/>
  <c r="DD376" i="3"/>
  <c r="DC376" i="3"/>
  <c r="DB376" i="3"/>
  <c r="DA376" i="3"/>
  <c r="CZ376" i="3"/>
  <c r="CY376" i="3"/>
  <c r="CX376" i="3"/>
  <c r="CW376" i="3"/>
  <c r="CV376" i="3"/>
  <c r="CU376" i="3"/>
  <c r="CT376" i="3"/>
  <c r="CS376" i="3"/>
  <c r="CR376" i="3"/>
  <c r="CQ376" i="3"/>
  <c r="CP376" i="3"/>
  <c r="CO376" i="3"/>
  <c r="CN376" i="3"/>
  <c r="CM376" i="3"/>
  <c r="CL376" i="3"/>
  <c r="CK376" i="3"/>
  <c r="CJ376" i="3"/>
  <c r="CI376" i="3"/>
  <c r="CH376" i="3"/>
  <c r="CG376" i="3"/>
  <c r="CF376" i="3"/>
  <c r="CE376" i="3"/>
  <c r="CD376" i="3"/>
  <c r="CC376" i="3"/>
  <c r="CB376" i="3"/>
  <c r="CA376" i="3"/>
  <c r="BZ376" i="3"/>
  <c r="BY376" i="3"/>
  <c r="BX376" i="3"/>
  <c r="BW376" i="3"/>
  <c r="BV376" i="3"/>
  <c r="BU376" i="3"/>
  <c r="BT376" i="3"/>
  <c r="BS376" i="3"/>
  <c r="BR376" i="3"/>
  <c r="BQ376" i="3"/>
  <c r="BP376" i="3"/>
  <c r="BO376" i="3"/>
  <c r="BN376" i="3"/>
  <c r="DU375" i="3"/>
  <c r="DT375" i="3"/>
  <c r="DS375" i="3"/>
  <c r="DR375" i="3"/>
  <c r="DQ375" i="3"/>
  <c r="DP375" i="3"/>
  <c r="DO375" i="3"/>
  <c r="DN375" i="3"/>
  <c r="DM375" i="3"/>
  <c r="DL375" i="3"/>
  <c r="DK375" i="3"/>
  <c r="DJ375" i="3"/>
  <c r="DI375" i="3"/>
  <c r="DH375" i="3"/>
  <c r="DG375" i="3"/>
  <c r="DF375" i="3"/>
  <c r="DE375" i="3"/>
  <c r="DD375" i="3"/>
  <c r="DC375" i="3"/>
  <c r="DB375" i="3"/>
  <c r="DA375" i="3"/>
  <c r="CZ375" i="3"/>
  <c r="CY375" i="3"/>
  <c r="CX375" i="3"/>
  <c r="CW375" i="3"/>
  <c r="CV375" i="3"/>
  <c r="CU375" i="3"/>
  <c r="CT375" i="3"/>
  <c r="CS375" i="3"/>
  <c r="CR375" i="3"/>
  <c r="CQ375" i="3"/>
  <c r="CP375" i="3"/>
  <c r="CO375" i="3"/>
  <c r="CN375" i="3"/>
  <c r="CM375" i="3"/>
  <c r="CL375" i="3"/>
  <c r="CK375" i="3"/>
  <c r="CJ375" i="3"/>
  <c r="CI375" i="3"/>
  <c r="CH375" i="3"/>
  <c r="CG375" i="3"/>
  <c r="CF375" i="3"/>
  <c r="CE375" i="3"/>
  <c r="CD375" i="3"/>
  <c r="CC375" i="3"/>
  <c r="CB375" i="3"/>
  <c r="CA375" i="3"/>
  <c r="BZ375" i="3"/>
  <c r="BY375" i="3"/>
  <c r="BX375" i="3"/>
  <c r="BW375" i="3"/>
  <c r="BV375" i="3"/>
  <c r="BU375" i="3"/>
  <c r="BT375" i="3"/>
  <c r="BS375" i="3"/>
  <c r="BR375" i="3"/>
  <c r="BQ375" i="3"/>
  <c r="BP375" i="3"/>
  <c r="BO375" i="3"/>
  <c r="BN375" i="3"/>
  <c r="E375" i="3"/>
  <c r="D375" i="3"/>
  <c r="C375" i="3"/>
  <c r="B375" i="3"/>
  <c r="A375" i="3"/>
  <c r="DU374" i="3"/>
  <c r="DT374" i="3"/>
  <c r="DS374" i="3"/>
  <c r="DR374" i="3"/>
  <c r="DQ374" i="3"/>
  <c r="DP374" i="3"/>
  <c r="DO374" i="3"/>
  <c r="DN374" i="3"/>
  <c r="DM374" i="3"/>
  <c r="DL374" i="3"/>
  <c r="DK374" i="3"/>
  <c r="DJ374" i="3"/>
  <c r="DI374" i="3"/>
  <c r="DH374" i="3"/>
  <c r="DG374" i="3"/>
  <c r="DF374" i="3"/>
  <c r="DE374" i="3"/>
  <c r="DD374" i="3"/>
  <c r="DC374" i="3"/>
  <c r="DB374" i="3"/>
  <c r="DA374" i="3"/>
  <c r="CZ374" i="3"/>
  <c r="CY374" i="3"/>
  <c r="CX374" i="3"/>
  <c r="CW374" i="3"/>
  <c r="CV374" i="3"/>
  <c r="CU374" i="3"/>
  <c r="CT374" i="3"/>
  <c r="CS374" i="3"/>
  <c r="CR374" i="3"/>
  <c r="CQ374" i="3"/>
  <c r="CP374" i="3"/>
  <c r="CO374" i="3"/>
  <c r="CN374" i="3"/>
  <c r="CM374" i="3"/>
  <c r="CL374" i="3"/>
  <c r="CK374" i="3"/>
  <c r="CJ374" i="3"/>
  <c r="CI374" i="3"/>
  <c r="CH374" i="3"/>
  <c r="CG374" i="3"/>
  <c r="CF374" i="3"/>
  <c r="CE374" i="3"/>
  <c r="CD374" i="3"/>
  <c r="CC374" i="3"/>
  <c r="CB374" i="3"/>
  <c r="CA374" i="3"/>
  <c r="BZ374" i="3"/>
  <c r="BY374" i="3"/>
  <c r="BX374" i="3"/>
  <c r="BW374" i="3"/>
  <c r="BV374" i="3"/>
  <c r="BU374" i="3"/>
  <c r="BT374" i="3"/>
  <c r="BS374" i="3"/>
  <c r="BR374" i="3"/>
  <c r="BQ374" i="3"/>
  <c r="BP374" i="3"/>
  <c r="BO374" i="3"/>
  <c r="BN374" i="3"/>
  <c r="C374" i="3"/>
  <c r="DU373" i="3"/>
  <c r="DT373" i="3"/>
  <c r="DS373" i="3"/>
  <c r="DR373" i="3"/>
  <c r="DQ373" i="3"/>
  <c r="DP373" i="3"/>
  <c r="DO373" i="3"/>
  <c r="DN373" i="3"/>
  <c r="DM373" i="3"/>
  <c r="DL373" i="3"/>
  <c r="DK373" i="3"/>
  <c r="DJ373" i="3"/>
  <c r="DI373" i="3"/>
  <c r="DH373" i="3"/>
  <c r="DG373" i="3"/>
  <c r="DF373" i="3"/>
  <c r="DE373" i="3"/>
  <c r="DD373" i="3"/>
  <c r="DC373" i="3"/>
  <c r="DB373" i="3"/>
  <c r="DA373" i="3"/>
  <c r="CZ373" i="3"/>
  <c r="CY373" i="3"/>
  <c r="CX373" i="3"/>
  <c r="CW373" i="3"/>
  <c r="CV373" i="3"/>
  <c r="CU373" i="3"/>
  <c r="CT373" i="3"/>
  <c r="CS373" i="3"/>
  <c r="CR373" i="3"/>
  <c r="CQ373" i="3"/>
  <c r="CP373" i="3"/>
  <c r="CO373" i="3"/>
  <c r="CN373" i="3"/>
  <c r="CM373" i="3"/>
  <c r="CL373" i="3"/>
  <c r="CK373" i="3"/>
  <c r="CJ373" i="3"/>
  <c r="CI373" i="3"/>
  <c r="CH373" i="3"/>
  <c r="CG373" i="3"/>
  <c r="CF373" i="3"/>
  <c r="CE373" i="3"/>
  <c r="CD373" i="3"/>
  <c r="CC373" i="3"/>
  <c r="CB373" i="3"/>
  <c r="CA373" i="3"/>
  <c r="BZ373" i="3"/>
  <c r="BY373" i="3"/>
  <c r="BX373" i="3"/>
  <c r="BW373" i="3"/>
  <c r="BV373" i="3"/>
  <c r="BU373" i="3"/>
  <c r="BT373" i="3"/>
  <c r="BS373" i="3"/>
  <c r="BR373" i="3"/>
  <c r="BQ373" i="3"/>
  <c r="BP373" i="3"/>
  <c r="BO373" i="3"/>
  <c r="BN373" i="3"/>
  <c r="DU372" i="3"/>
  <c r="DT372" i="3"/>
  <c r="DS372" i="3"/>
  <c r="DR372" i="3"/>
  <c r="DQ372" i="3"/>
  <c r="DP372" i="3"/>
  <c r="DO372" i="3"/>
  <c r="DN372" i="3"/>
  <c r="DM372" i="3"/>
  <c r="DL372" i="3"/>
  <c r="DK372" i="3"/>
  <c r="DJ372" i="3"/>
  <c r="DI372" i="3"/>
  <c r="DH372" i="3"/>
  <c r="DG372" i="3"/>
  <c r="DF372" i="3"/>
  <c r="DE372" i="3"/>
  <c r="DD372" i="3"/>
  <c r="DC372" i="3"/>
  <c r="DB372" i="3"/>
  <c r="DA372" i="3"/>
  <c r="CZ372" i="3"/>
  <c r="CY372" i="3"/>
  <c r="CX372" i="3"/>
  <c r="CW372" i="3"/>
  <c r="CV372" i="3"/>
  <c r="CU372" i="3"/>
  <c r="CT372" i="3"/>
  <c r="CS372" i="3"/>
  <c r="CR372" i="3"/>
  <c r="CQ372" i="3"/>
  <c r="CP372" i="3"/>
  <c r="CO372" i="3"/>
  <c r="CN372" i="3"/>
  <c r="CM372" i="3"/>
  <c r="CL372" i="3"/>
  <c r="CK372" i="3"/>
  <c r="CJ372" i="3"/>
  <c r="CI372" i="3"/>
  <c r="CH372" i="3"/>
  <c r="CG372" i="3"/>
  <c r="CF372" i="3"/>
  <c r="CE372" i="3"/>
  <c r="CD372" i="3"/>
  <c r="CC372" i="3"/>
  <c r="CB372" i="3"/>
  <c r="CA372" i="3"/>
  <c r="BZ372" i="3"/>
  <c r="BY372" i="3"/>
  <c r="BX372" i="3"/>
  <c r="BW372" i="3"/>
  <c r="BV372" i="3"/>
  <c r="BU372" i="3"/>
  <c r="BT372" i="3"/>
  <c r="BS372" i="3"/>
  <c r="BR372" i="3"/>
  <c r="BQ372" i="3"/>
  <c r="BP372" i="3"/>
  <c r="BO372" i="3"/>
  <c r="BN372" i="3"/>
  <c r="DU371" i="3"/>
  <c r="DT371" i="3"/>
  <c r="DS371" i="3"/>
  <c r="DR371" i="3"/>
  <c r="DQ371" i="3"/>
  <c r="DP371" i="3"/>
  <c r="DO371" i="3"/>
  <c r="DN371" i="3"/>
  <c r="DM371" i="3"/>
  <c r="DL371" i="3"/>
  <c r="DK371" i="3"/>
  <c r="DJ371" i="3"/>
  <c r="DI371" i="3"/>
  <c r="DH371" i="3"/>
  <c r="DG371" i="3"/>
  <c r="DF371" i="3"/>
  <c r="DE371" i="3"/>
  <c r="DD371" i="3"/>
  <c r="DC371" i="3"/>
  <c r="DB371" i="3"/>
  <c r="DA371" i="3"/>
  <c r="CZ371" i="3"/>
  <c r="CY371" i="3"/>
  <c r="CX371" i="3"/>
  <c r="CW371" i="3"/>
  <c r="CV371" i="3"/>
  <c r="CU371" i="3"/>
  <c r="CT371" i="3"/>
  <c r="CS371" i="3"/>
  <c r="CR371" i="3"/>
  <c r="CQ371" i="3"/>
  <c r="CP371" i="3"/>
  <c r="CO371" i="3"/>
  <c r="CN371" i="3"/>
  <c r="CM371" i="3"/>
  <c r="CL371" i="3"/>
  <c r="CK371" i="3"/>
  <c r="CJ371" i="3"/>
  <c r="CI371" i="3"/>
  <c r="CH371" i="3"/>
  <c r="CG371" i="3"/>
  <c r="CF371" i="3"/>
  <c r="CE371" i="3"/>
  <c r="CD371" i="3"/>
  <c r="CC371" i="3"/>
  <c r="CB371" i="3"/>
  <c r="CA371" i="3"/>
  <c r="BZ371" i="3"/>
  <c r="BY371" i="3"/>
  <c r="BX371" i="3"/>
  <c r="BW371" i="3"/>
  <c r="BV371" i="3"/>
  <c r="BU371" i="3"/>
  <c r="BT371" i="3"/>
  <c r="BS371" i="3"/>
  <c r="BR371" i="3"/>
  <c r="BQ371" i="3"/>
  <c r="BP371" i="3"/>
  <c r="BO371" i="3"/>
  <c r="BN371" i="3"/>
  <c r="D371" i="3"/>
  <c r="C371" i="3"/>
  <c r="DU370" i="3"/>
  <c r="DT370" i="3"/>
  <c r="DS370" i="3"/>
  <c r="DR370" i="3"/>
  <c r="DQ370" i="3"/>
  <c r="DP370" i="3"/>
  <c r="DO370" i="3"/>
  <c r="DN370" i="3"/>
  <c r="DM370" i="3"/>
  <c r="DL370" i="3"/>
  <c r="DK370" i="3"/>
  <c r="DJ370" i="3"/>
  <c r="DI370" i="3"/>
  <c r="DH370" i="3"/>
  <c r="DG370" i="3"/>
  <c r="DF370" i="3"/>
  <c r="DE370" i="3"/>
  <c r="DD370" i="3"/>
  <c r="DC370" i="3"/>
  <c r="DB370" i="3"/>
  <c r="DA370" i="3"/>
  <c r="CZ370" i="3"/>
  <c r="CY370" i="3"/>
  <c r="CX370" i="3"/>
  <c r="CW370" i="3"/>
  <c r="CV370" i="3"/>
  <c r="CU370" i="3"/>
  <c r="CT370" i="3"/>
  <c r="CS370" i="3"/>
  <c r="CR370" i="3"/>
  <c r="CQ370" i="3"/>
  <c r="CP370" i="3"/>
  <c r="CO370" i="3"/>
  <c r="CN370" i="3"/>
  <c r="CM370" i="3"/>
  <c r="CL370" i="3"/>
  <c r="CK370" i="3"/>
  <c r="CJ370" i="3"/>
  <c r="CI370" i="3"/>
  <c r="CH370" i="3"/>
  <c r="CG370" i="3"/>
  <c r="CF370" i="3"/>
  <c r="CE370" i="3"/>
  <c r="CD370" i="3"/>
  <c r="CC370" i="3"/>
  <c r="CB370" i="3"/>
  <c r="CA370" i="3"/>
  <c r="BZ370" i="3"/>
  <c r="BY370" i="3"/>
  <c r="BX370" i="3"/>
  <c r="BW370" i="3"/>
  <c r="BV370" i="3"/>
  <c r="BU370" i="3"/>
  <c r="BT370" i="3"/>
  <c r="BS370" i="3"/>
  <c r="BR370" i="3"/>
  <c r="BQ370" i="3"/>
  <c r="BP370" i="3"/>
  <c r="BO370" i="3"/>
  <c r="BN370" i="3"/>
  <c r="DU369" i="3"/>
  <c r="DT369" i="3"/>
  <c r="DS369" i="3"/>
  <c r="DR369" i="3"/>
  <c r="DQ369" i="3"/>
  <c r="DP369" i="3"/>
  <c r="DO369" i="3"/>
  <c r="DN369" i="3"/>
  <c r="DM369" i="3"/>
  <c r="DL369" i="3"/>
  <c r="DK369" i="3"/>
  <c r="DJ369" i="3"/>
  <c r="DI369" i="3"/>
  <c r="DH369" i="3"/>
  <c r="DG369" i="3"/>
  <c r="DF369" i="3"/>
  <c r="DE369" i="3"/>
  <c r="DD369" i="3"/>
  <c r="DC369" i="3"/>
  <c r="DB369" i="3"/>
  <c r="DA369" i="3"/>
  <c r="CZ369" i="3"/>
  <c r="CY369" i="3"/>
  <c r="CX369" i="3"/>
  <c r="CW369" i="3"/>
  <c r="CV369" i="3"/>
  <c r="CU369" i="3"/>
  <c r="CT369" i="3"/>
  <c r="CS369" i="3"/>
  <c r="CR369" i="3"/>
  <c r="CQ369" i="3"/>
  <c r="CP369" i="3"/>
  <c r="CO369" i="3"/>
  <c r="CN369" i="3"/>
  <c r="CM369" i="3"/>
  <c r="CL369" i="3"/>
  <c r="CK369" i="3"/>
  <c r="CJ369" i="3"/>
  <c r="CI369" i="3"/>
  <c r="CH369" i="3"/>
  <c r="CG369" i="3"/>
  <c r="CF369" i="3"/>
  <c r="CE369" i="3"/>
  <c r="CD369" i="3"/>
  <c r="CC369" i="3"/>
  <c r="CB369" i="3"/>
  <c r="CA369" i="3"/>
  <c r="BZ369" i="3"/>
  <c r="BY369" i="3"/>
  <c r="BX369" i="3"/>
  <c r="BW369" i="3"/>
  <c r="BV369" i="3"/>
  <c r="BU369" i="3"/>
  <c r="BT369" i="3"/>
  <c r="BS369" i="3"/>
  <c r="BR369" i="3"/>
  <c r="BQ369" i="3"/>
  <c r="BP369" i="3"/>
  <c r="BO369" i="3"/>
  <c r="BN369" i="3"/>
  <c r="DU368" i="3"/>
  <c r="DT368" i="3"/>
  <c r="DS368" i="3"/>
  <c r="DR368" i="3"/>
  <c r="DQ368" i="3"/>
  <c r="DP368" i="3"/>
  <c r="DO368" i="3"/>
  <c r="DN368" i="3"/>
  <c r="DM368" i="3"/>
  <c r="DL368" i="3"/>
  <c r="DK368" i="3"/>
  <c r="DJ368" i="3"/>
  <c r="DI368" i="3"/>
  <c r="DH368" i="3"/>
  <c r="DG368" i="3"/>
  <c r="DF368" i="3"/>
  <c r="DE368" i="3"/>
  <c r="DD368" i="3"/>
  <c r="DC368" i="3"/>
  <c r="DB368" i="3"/>
  <c r="DA368" i="3"/>
  <c r="CZ368" i="3"/>
  <c r="CY368" i="3"/>
  <c r="CX368" i="3"/>
  <c r="CW368" i="3"/>
  <c r="CV368" i="3"/>
  <c r="CU368" i="3"/>
  <c r="CT368" i="3"/>
  <c r="CS368" i="3"/>
  <c r="CR368" i="3"/>
  <c r="CQ368" i="3"/>
  <c r="CP368" i="3"/>
  <c r="CO368" i="3"/>
  <c r="CN368" i="3"/>
  <c r="CM368" i="3"/>
  <c r="CL368" i="3"/>
  <c r="CK368" i="3"/>
  <c r="CJ368" i="3"/>
  <c r="CI368" i="3"/>
  <c r="CH368" i="3"/>
  <c r="CG368" i="3"/>
  <c r="CF368" i="3"/>
  <c r="CE368" i="3"/>
  <c r="CD368" i="3"/>
  <c r="CC368" i="3"/>
  <c r="CB368" i="3"/>
  <c r="CA368" i="3"/>
  <c r="BZ368" i="3"/>
  <c r="BY368" i="3"/>
  <c r="BX368" i="3"/>
  <c r="BW368" i="3"/>
  <c r="BV368" i="3"/>
  <c r="BU368" i="3"/>
  <c r="BT368" i="3"/>
  <c r="BS368" i="3"/>
  <c r="BR368" i="3"/>
  <c r="BQ368" i="3"/>
  <c r="BP368" i="3"/>
  <c r="BO368" i="3"/>
  <c r="BN368" i="3"/>
  <c r="DU367" i="3"/>
  <c r="DT367" i="3"/>
  <c r="DS367" i="3"/>
  <c r="DR367" i="3"/>
  <c r="DQ367" i="3"/>
  <c r="DP367" i="3"/>
  <c r="DO367" i="3"/>
  <c r="DN367" i="3"/>
  <c r="DM367" i="3"/>
  <c r="DL367" i="3"/>
  <c r="DK367" i="3"/>
  <c r="DJ367" i="3"/>
  <c r="DI367" i="3"/>
  <c r="DH367" i="3"/>
  <c r="DG367" i="3"/>
  <c r="DF367" i="3"/>
  <c r="DE367" i="3"/>
  <c r="DD367" i="3"/>
  <c r="DC367" i="3"/>
  <c r="DB367" i="3"/>
  <c r="DA367" i="3"/>
  <c r="CZ367" i="3"/>
  <c r="CY367" i="3"/>
  <c r="CX367" i="3"/>
  <c r="CW367" i="3"/>
  <c r="CV367" i="3"/>
  <c r="CU367" i="3"/>
  <c r="CT367" i="3"/>
  <c r="CS367" i="3"/>
  <c r="CR367" i="3"/>
  <c r="CQ367" i="3"/>
  <c r="CP367" i="3"/>
  <c r="CO367" i="3"/>
  <c r="CN367" i="3"/>
  <c r="CM367" i="3"/>
  <c r="CL367" i="3"/>
  <c r="CK367" i="3"/>
  <c r="CJ367" i="3"/>
  <c r="CI367" i="3"/>
  <c r="CH367" i="3"/>
  <c r="CG367" i="3"/>
  <c r="CF367" i="3"/>
  <c r="CE367" i="3"/>
  <c r="CD367" i="3"/>
  <c r="CC367" i="3"/>
  <c r="CB367" i="3"/>
  <c r="CA367" i="3"/>
  <c r="BZ367" i="3"/>
  <c r="BY367" i="3"/>
  <c r="BX367" i="3"/>
  <c r="BW367" i="3"/>
  <c r="BV367" i="3"/>
  <c r="BU367" i="3"/>
  <c r="BT367" i="3"/>
  <c r="BS367" i="3"/>
  <c r="BR367" i="3"/>
  <c r="BQ367" i="3"/>
  <c r="BP367" i="3"/>
  <c r="BO367" i="3"/>
  <c r="BN367" i="3"/>
  <c r="A367" i="3"/>
  <c r="DU366" i="3"/>
  <c r="DT366" i="3"/>
  <c r="DS366" i="3"/>
  <c r="DR366" i="3"/>
  <c r="DQ366" i="3"/>
  <c r="DP366" i="3"/>
  <c r="DO366" i="3"/>
  <c r="DN366" i="3"/>
  <c r="DM366" i="3"/>
  <c r="DL366" i="3"/>
  <c r="DK366" i="3"/>
  <c r="DJ366" i="3"/>
  <c r="DI366" i="3"/>
  <c r="DH366" i="3"/>
  <c r="DG366" i="3"/>
  <c r="DF366" i="3"/>
  <c r="DE366" i="3"/>
  <c r="DD366" i="3"/>
  <c r="DC366" i="3"/>
  <c r="DB366" i="3"/>
  <c r="DA366" i="3"/>
  <c r="CZ366" i="3"/>
  <c r="CY366" i="3"/>
  <c r="CX366" i="3"/>
  <c r="CW366" i="3"/>
  <c r="CV366" i="3"/>
  <c r="CU366" i="3"/>
  <c r="CT366" i="3"/>
  <c r="CS366" i="3"/>
  <c r="CR366" i="3"/>
  <c r="CQ366" i="3"/>
  <c r="CP366" i="3"/>
  <c r="CO366" i="3"/>
  <c r="CN366" i="3"/>
  <c r="CM366" i="3"/>
  <c r="CL366" i="3"/>
  <c r="CK366" i="3"/>
  <c r="CJ366" i="3"/>
  <c r="CI366" i="3"/>
  <c r="CH366" i="3"/>
  <c r="CG366" i="3"/>
  <c r="CF366" i="3"/>
  <c r="CE366" i="3"/>
  <c r="CD366" i="3"/>
  <c r="CC366" i="3"/>
  <c r="CB366" i="3"/>
  <c r="CA366" i="3"/>
  <c r="BZ366" i="3"/>
  <c r="BY366" i="3"/>
  <c r="BX366" i="3"/>
  <c r="BW366" i="3"/>
  <c r="BV366" i="3"/>
  <c r="BU366" i="3"/>
  <c r="BT366" i="3"/>
  <c r="BS366" i="3"/>
  <c r="BR366" i="3"/>
  <c r="BQ366" i="3"/>
  <c r="BP366" i="3"/>
  <c r="BO366" i="3"/>
  <c r="BN366" i="3"/>
  <c r="E366" i="3"/>
  <c r="A366" i="3"/>
  <c r="DU365" i="3"/>
  <c r="DT365" i="3"/>
  <c r="DS365" i="3"/>
  <c r="DR365" i="3"/>
  <c r="DQ365" i="3"/>
  <c r="DP365" i="3"/>
  <c r="DO365" i="3"/>
  <c r="DN365" i="3"/>
  <c r="DM365" i="3"/>
  <c r="DL365" i="3"/>
  <c r="DK365" i="3"/>
  <c r="DJ365" i="3"/>
  <c r="DI365" i="3"/>
  <c r="DH365" i="3"/>
  <c r="DG365" i="3"/>
  <c r="DF365" i="3"/>
  <c r="DE365" i="3"/>
  <c r="DD365" i="3"/>
  <c r="DC365" i="3"/>
  <c r="DB365" i="3"/>
  <c r="DA365" i="3"/>
  <c r="CZ365" i="3"/>
  <c r="CY365" i="3"/>
  <c r="CX365" i="3"/>
  <c r="CW365" i="3"/>
  <c r="CV365" i="3"/>
  <c r="CU365" i="3"/>
  <c r="CT365" i="3"/>
  <c r="CS365" i="3"/>
  <c r="CR365" i="3"/>
  <c r="CQ365" i="3"/>
  <c r="CP365" i="3"/>
  <c r="CO365" i="3"/>
  <c r="CN365" i="3"/>
  <c r="CM365" i="3"/>
  <c r="CL365" i="3"/>
  <c r="CK365" i="3"/>
  <c r="CJ365" i="3"/>
  <c r="CI365" i="3"/>
  <c r="CH365" i="3"/>
  <c r="CG365" i="3"/>
  <c r="CF365" i="3"/>
  <c r="CE365" i="3"/>
  <c r="CD365" i="3"/>
  <c r="CC365" i="3"/>
  <c r="CB365" i="3"/>
  <c r="CA365" i="3"/>
  <c r="BZ365" i="3"/>
  <c r="BY365" i="3"/>
  <c r="BX365" i="3"/>
  <c r="BW365" i="3"/>
  <c r="BV365" i="3"/>
  <c r="BU365" i="3"/>
  <c r="BT365" i="3"/>
  <c r="BS365" i="3"/>
  <c r="BR365" i="3"/>
  <c r="BQ365" i="3"/>
  <c r="BP365" i="3"/>
  <c r="BO365" i="3"/>
  <c r="BN365" i="3"/>
  <c r="DU364" i="3"/>
  <c r="DT364" i="3"/>
  <c r="DS364" i="3"/>
  <c r="DR364" i="3"/>
  <c r="DQ364" i="3"/>
  <c r="DP364" i="3"/>
  <c r="DO364" i="3"/>
  <c r="DN364" i="3"/>
  <c r="DM364" i="3"/>
  <c r="DL364" i="3"/>
  <c r="DK364" i="3"/>
  <c r="DJ364" i="3"/>
  <c r="DI364" i="3"/>
  <c r="DH364" i="3"/>
  <c r="DG364" i="3"/>
  <c r="DF364" i="3"/>
  <c r="DE364" i="3"/>
  <c r="DD364" i="3"/>
  <c r="DC364" i="3"/>
  <c r="DB364" i="3"/>
  <c r="DA364" i="3"/>
  <c r="CZ364" i="3"/>
  <c r="CY364" i="3"/>
  <c r="CX364" i="3"/>
  <c r="CW364" i="3"/>
  <c r="CV364" i="3"/>
  <c r="CU364" i="3"/>
  <c r="CT364" i="3"/>
  <c r="CS364" i="3"/>
  <c r="CR364" i="3"/>
  <c r="CQ364" i="3"/>
  <c r="CP364" i="3"/>
  <c r="CO364" i="3"/>
  <c r="CN364" i="3"/>
  <c r="CM364" i="3"/>
  <c r="CL364" i="3"/>
  <c r="CK364" i="3"/>
  <c r="CJ364" i="3"/>
  <c r="CI364" i="3"/>
  <c r="CH364" i="3"/>
  <c r="CG364" i="3"/>
  <c r="CF364" i="3"/>
  <c r="CE364" i="3"/>
  <c r="CD364" i="3"/>
  <c r="CC364" i="3"/>
  <c r="CB364" i="3"/>
  <c r="CA364" i="3"/>
  <c r="BZ364" i="3"/>
  <c r="BY364" i="3"/>
  <c r="BX364" i="3"/>
  <c r="BW364" i="3"/>
  <c r="BV364" i="3"/>
  <c r="BU364" i="3"/>
  <c r="BT364" i="3"/>
  <c r="BS364" i="3"/>
  <c r="BR364" i="3"/>
  <c r="BQ364" i="3"/>
  <c r="BP364" i="3"/>
  <c r="BO364" i="3"/>
  <c r="BN364" i="3"/>
  <c r="C364" i="3"/>
  <c r="DU363" i="3"/>
  <c r="DT363" i="3"/>
  <c r="DS363" i="3"/>
  <c r="DR363" i="3"/>
  <c r="DQ363" i="3"/>
  <c r="DP363" i="3"/>
  <c r="DO363" i="3"/>
  <c r="DN363" i="3"/>
  <c r="DM363" i="3"/>
  <c r="DL363" i="3"/>
  <c r="DK363" i="3"/>
  <c r="DJ363" i="3"/>
  <c r="DI363" i="3"/>
  <c r="DH363" i="3"/>
  <c r="DG363" i="3"/>
  <c r="DF363" i="3"/>
  <c r="DE363" i="3"/>
  <c r="DD363" i="3"/>
  <c r="DC363" i="3"/>
  <c r="DB363" i="3"/>
  <c r="DA363" i="3"/>
  <c r="CZ363" i="3"/>
  <c r="CY363" i="3"/>
  <c r="CX363" i="3"/>
  <c r="CW363" i="3"/>
  <c r="CV363" i="3"/>
  <c r="CU363" i="3"/>
  <c r="CT363" i="3"/>
  <c r="CS363" i="3"/>
  <c r="CR363" i="3"/>
  <c r="CQ363" i="3"/>
  <c r="CP363" i="3"/>
  <c r="CO363" i="3"/>
  <c r="CN363" i="3"/>
  <c r="CM363" i="3"/>
  <c r="CL363" i="3"/>
  <c r="CK363" i="3"/>
  <c r="CJ363" i="3"/>
  <c r="CI363" i="3"/>
  <c r="CH363" i="3"/>
  <c r="CG363" i="3"/>
  <c r="CF363" i="3"/>
  <c r="CE363" i="3"/>
  <c r="CD363" i="3"/>
  <c r="CC363" i="3"/>
  <c r="CB363" i="3"/>
  <c r="CA363" i="3"/>
  <c r="BZ363" i="3"/>
  <c r="BY363" i="3"/>
  <c r="BX363" i="3"/>
  <c r="BW363" i="3"/>
  <c r="BV363" i="3"/>
  <c r="BU363" i="3"/>
  <c r="BT363" i="3"/>
  <c r="BS363" i="3"/>
  <c r="BR363" i="3"/>
  <c r="BQ363" i="3"/>
  <c r="BP363" i="3"/>
  <c r="BO363" i="3"/>
  <c r="BN363" i="3"/>
  <c r="DU362" i="3"/>
  <c r="DT362" i="3"/>
  <c r="DS362" i="3"/>
  <c r="DR362" i="3"/>
  <c r="DQ362" i="3"/>
  <c r="DP362" i="3"/>
  <c r="DO362" i="3"/>
  <c r="DN362" i="3"/>
  <c r="DM362" i="3"/>
  <c r="DL362" i="3"/>
  <c r="DK362" i="3"/>
  <c r="DJ362" i="3"/>
  <c r="DI362" i="3"/>
  <c r="DH362" i="3"/>
  <c r="DG362" i="3"/>
  <c r="DF362" i="3"/>
  <c r="DE362" i="3"/>
  <c r="DD362" i="3"/>
  <c r="DC362" i="3"/>
  <c r="DB362" i="3"/>
  <c r="DA362" i="3"/>
  <c r="CZ362" i="3"/>
  <c r="CY362" i="3"/>
  <c r="CX362" i="3"/>
  <c r="CW362" i="3"/>
  <c r="CV362" i="3"/>
  <c r="CU362" i="3"/>
  <c r="CT362" i="3"/>
  <c r="CS362" i="3"/>
  <c r="CR362" i="3"/>
  <c r="CQ362" i="3"/>
  <c r="CP362" i="3"/>
  <c r="CO362" i="3"/>
  <c r="CN362" i="3"/>
  <c r="CM362" i="3"/>
  <c r="CL362" i="3"/>
  <c r="CK362" i="3"/>
  <c r="CJ362" i="3"/>
  <c r="CI362" i="3"/>
  <c r="CH362" i="3"/>
  <c r="CG362" i="3"/>
  <c r="CF362" i="3"/>
  <c r="CE362" i="3"/>
  <c r="CD362" i="3"/>
  <c r="CC362" i="3"/>
  <c r="CB362" i="3"/>
  <c r="CA362" i="3"/>
  <c r="BZ362" i="3"/>
  <c r="BY362" i="3"/>
  <c r="BX362" i="3"/>
  <c r="BW362" i="3"/>
  <c r="BV362" i="3"/>
  <c r="BU362" i="3"/>
  <c r="BT362" i="3"/>
  <c r="BS362" i="3"/>
  <c r="BR362" i="3"/>
  <c r="BQ362" i="3"/>
  <c r="BP362" i="3"/>
  <c r="BO362" i="3"/>
  <c r="BN362" i="3"/>
  <c r="C362" i="3"/>
  <c r="B362" i="3"/>
  <c r="DU361" i="3"/>
  <c r="DT361" i="3"/>
  <c r="DS361" i="3"/>
  <c r="DR361" i="3"/>
  <c r="DQ361" i="3"/>
  <c r="DP361" i="3"/>
  <c r="DO361" i="3"/>
  <c r="DN361" i="3"/>
  <c r="DM361" i="3"/>
  <c r="DL361" i="3"/>
  <c r="DK361" i="3"/>
  <c r="DJ361" i="3"/>
  <c r="DI361" i="3"/>
  <c r="DH361" i="3"/>
  <c r="DG361" i="3"/>
  <c r="DF361" i="3"/>
  <c r="DE361" i="3"/>
  <c r="DD361" i="3"/>
  <c r="DC361" i="3"/>
  <c r="DB361" i="3"/>
  <c r="DA361" i="3"/>
  <c r="CZ361" i="3"/>
  <c r="CY361" i="3"/>
  <c r="CX361" i="3"/>
  <c r="CW361" i="3"/>
  <c r="CV361" i="3"/>
  <c r="CU361" i="3"/>
  <c r="CT361" i="3"/>
  <c r="CS361" i="3"/>
  <c r="CR361" i="3"/>
  <c r="CQ361" i="3"/>
  <c r="CP361" i="3"/>
  <c r="CO361" i="3"/>
  <c r="CN361" i="3"/>
  <c r="CM361" i="3"/>
  <c r="CL361" i="3"/>
  <c r="CK361" i="3"/>
  <c r="CJ361" i="3"/>
  <c r="CI361" i="3"/>
  <c r="CH361" i="3"/>
  <c r="CG361" i="3"/>
  <c r="CF361" i="3"/>
  <c r="CE361" i="3"/>
  <c r="CD361" i="3"/>
  <c r="CC361" i="3"/>
  <c r="CB361" i="3"/>
  <c r="CA361" i="3"/>
  <c r="BZ361" i="3"/>
  <c r="BY361" i="3"/>
  <c r="BX361" i="3"/>
  <c r="BW361" i="3"/>
  <c r="BV361" i="3"/>
  <c r="BU361" i="3"/>
  <c r="BT361" i="3"/>
  <c r="BS361" i="3"/>
  <c r="BR361" i="3"/>
  <c r="BQ361" i="3"/>
  <c r="BP361" i="3"/>
  <c r="BO361" i="3"/>
  <c r="BN361" i="3"/>
  <c r="DU360" i="3"/>
  <c r="DT360" i="3"/>
  <c r="DS360" i="3"/>
  <c r="DR360" i="3"/>
  <c r="DQ360" i="3"/>
  <c r="DP360" i="3"/>
  <c r="DO360" i="3"/>
  <c r="DN360" i="3"/>
  <c r="DM360" i="3"/>
  <c r="DL360" i="3"/>
  <c r="DK360" i="3"/>
  <c r="DJ360" i="3"/>
  <c r="DI360" i="3"/>
  <c r="DH360" i="3"/>
  <c r="DG360" i="3"/>
  <c r="DF360" i="3"/>
  <c r="DE360" i="3"/>
  <c r="DD360" i="3"/>
  <c r="DC360" i="3"/>
  <c r="DB360" i="3"/>
  <c r="DA360" i="3"/>
  <c r="CZ360" i="3"/>
  <c r="CY360" i="3"/>
  <c r="CX360" i="3"/>
  <c r="CW360" i="3"/>
  <c r="CV360" i="3"/>
  <c r="CU360" i="3"/>
  <c r="CT360" i="3"/>
  <c r="CS360" i="3"/>
  <c r="CR360" i="3"/>
  <c r="CQ360" i="3"/>
  <c r="CP360" i="3"/>
  <c r="CO360" i="3"/>
  <c r="CN360" i="3"/>
  <c r="CM360" i="3"/>
  <c r="CL360" i="3"/>
  <c r="CK360" i="3"/>
  <c r="CJ360" i="3"/>
  <c r="CI360" i="3"/>
  <c r="CH360" i="3"/>
  <c r="CG360" i="3"/>
  <c r="CF360" i="3"/>
  <c r="CE360" i="3"/>
  <c r="CD360" i="3"/>
  <c r="CC360" i="3"/>
  <c r="CB360" i="3"/>
  <c r="CA360" i="3"/>
  <c r="BZ360" i="3"/>
  <c r="BY360" i="3"/>
  <c r="BX360" i="3"/>
  <c r="BW360" i="3"/>
  <c r="BV360" i="3"/>
  <c r="BU360" i="3"/>
  <c r="BT360" i="3"/>
  <c r="BS360" i="3"/>
  <c r="BR360" i="3"/>
  <c r="BQ360" i="3"/>
  <c r="BP360" i="3"/>
  <c r="BO360" i="3"/>
  <c r="BN360" i="3"/>
  <c r="D360" i="3"/>
  <c r="A360" i="3"/>
  <c r="DU359" i="3"/>
  <c r="DT359" i="3"/>
  <c r="DS359" i="3"/>
  <c r="DR359" i="3"/>
  <c r="DQ359" i="3"/>
  <c r="DP359" i="3"/>
  <c r="DO359" i="3"/>
  <c r="DN359" i="3"/>
  <c r="DM359" i="3"/>
  <c r="DL359" i="3"/>
  <c r="DK359" i="3"/>
  <c r="DJ359" i="3"/>
  <c r="DI359" i="3"/>
  <c r="DH359" i="3"/>
  <c r="DG359" i="3"/>
  <c r="DF359" i="3"/>
  <c r="DE359" i="3"/>
  <c r="DD359" i="3"/>
  <c r="DC359" i="3"/>
  <c r="DB359" i="3"/>
  <c r="DA359" i="3"/>
  <c r="CZ359" i="3"/>
  <c r="CY359" i="3"/>
  <c r="CX359" i="3"/>
  <c r="CW359" i="3"/>
  <c r="CV359" i="3"/>
  <c r="CU359" i="3"/>
  <c r="CT359" i="3"/>
  <c r="CS359" i="3"/>
  <c r="CR359" i="3"/>
  <c r="CQ359" i="3"/>
  <c r="CP359" i="3"/>
  <c r="CO359" i="3"/>
  <c r="CN359" i="3"/>
  <c r="CM359" i="3"/>
  <c r="CL359" i="3"/>
  <c r="CK359" i="3"/>
  <c r="CJ359" i="3"/>
  <c r="CI359" i="3"/>
  <c r="CH359" i="3"/>
  <c r="CG359" i="3"/>
  <c r="CF359" i="3"/>
  <c r="CE359" i="3"/>
  <c r="CD359" i="3"/>
  <c r="CC359" i="3"/>
  <c r="CB359" i="3"/>
  <c r="CA359" i="3"/>
  <c r="BZ359" i="3"/>
  <c r="BY359" i="3"/>
  <c r="BX359" i="3"/>
  <c r="BW359" i="3"/>
  <c r="BV359" i="3"/>
  <c r="BU359" i="3"/>
  <c r="BT359" i="3"/>
  <c r="BS359" i="3"/>
  <c r="BR359" i="3"/>
  <c r="BQ359" i="3"/>
  <c r="BP359" i="3"/>
  <c r="BO359" i="3"/>
  <c r="BN359" i="3"/>
  <c r="DU358" i="3"/>
  <c r="DT358" i="3"/>
  <c r="DS358" i="3"/>
  <c r="DR358" i="3"/>
  <c r="DQ358" i="3"/>
  <c r="DP358" i="3"/>
  <c r="DO358" i="3"/>
  <c r="DN358" i="3"/>
  <c r="DM358" i="3"/>
  <c r="DL358" i="3"/>
  <c r="DK358" i="3"/>
  <c r="DJ358" i="3"/>
  <c r="DI358" i="3"/>
  <c r="DH358" i="3"/>
  <c r="DG358" i="3"/>
  <c r="DF358" i="3"/>
  <c r="DE358" i="3"/>
  <c r="DD358" i="3"/>
  <c r="DC358" i="3"/>
  <c r="DB358" i="3"/>
  <c r="DA358" i="3"/>
  <c r="CZ358" i="3"/>
  <c r="CY358" i="3"/>
  <c r="CX358" i="3"/>
  <c r="CW358" i="3"/>
  <c r="CV358" i="3"/>
  <c r="CU358" i="3"/>
  <c r="CT358" i="3"/>
  <c r="CS358" i="3"/>
  <c r="CR358" i="3"/>
  <c r="CQ358" i="3"/>
  <c r="CP358" i="3"/>
  <c r="CO358" i="3"/>
  <c r="CN358" i="3"/>
  <c r="CM358" i="3"/>
  <c r="CL358" i="3"/>
  <c r="CK358" i="3"/>
  <c r="CJ358" i="3"/>
  <c r="CI358" i="3"/>
  <c r="CH358" i="3"/>
  <c r="CG358" i="3"/>
  <c r="CF358" i="3"/>
  <c r="CE358" i="3"/>
  <c r="CD358" i="3"/>
  <c r="CC358" i="3"/>
  <c r="CB358" i="3"/>
  <c r="CA358" i="3"/>
  <c r="BZ358" i="3"/>
  <c r="BY358" i="3"/>
  <c r="BX358" i="3"/>
  <c r="BW358" i="3"/>
  <c r="BV358" i="3"/>
  <c r="BU358" i="3"/>
  <c r="BT358" i="3"/>
  <c r="BS358" i="3"/>
  <c r="BR358" i="3"/>
  <c r="BQ358" i="3"/>
  <c r="BP358" i="3"/>
  <c r="BO358" i="3"/>
  <c r="BN358" i="3"/>
  <c r="E358" i="3"/>
  <c r="D358" i="3"/>
  <c r="DU357" i="3"/>
  <c r="DT357" i="3"/>
  <c r="DS357" i="3"/>
  <c r="DR357" i="3"/>
  <c r="DQ357" i="3"/>
  <c r="DP357" i="3"/>
  <c r="DO357" i="3"/>
  <c r="DN357" i="3"/>
  <c r="DM357" i="3"/>
  <c r="DL357" i="3"/>
  <c r="DK357" i="3"/>
  <c r="DJ357" i="3"/>
  <c r="DI357" i="3"/>
  <c r="DH357" i="3"/>
  <c r="DG357" i="3"/>
  <c r="DF357" i="3"/>
  <c r="DE357" i="3"/>
  <c r="DD357" i="3"/>
  <c r="DC357" i="3"/>
  <c r="DB357" i="3"/>
  <c r="DA357" i="3"/>
  <c r="CZ357" i="3"/>
  <c r="CY357" i="3"/>
  <c r="CX357" i="3"/>
  <c r="CW357" i="3"/>
  <c r="CV357" i="3"/>
  <c r="CU357" i="3"/>
  <c r="CT357" i="3"/>
  <c r="CS357" i="3"/>
  <c r="CR357" i="3"/>
  <c r="CQ357" i="3"/>
  <c r="CP357" i="3"/>
  <c r="CO357" i="3"/>
  <c r="CN357" i="3"/>
  <c r="CM357" i="3"/>
  <c r="CL357" i="3"/>
  <c r="CK357" i="3"/>
  <c r="CJ357" i="3"/>
  <c r="CI357" i="3"/>
  <c r="CH357" i="3"/>
  <c r="CG357" i="3"/>
  <c r="CF357" i="3"/>
  <c r="CE357" i="3"/>
  <c r="CD357" i="3"/>
  <c r="CC357" i="3"/>
  <c r="CB357" i="3"/>
  <c r="CA357" i="3"/>
  <c r="BZ357" i="3"/>
  <c r="BY357" i="3"/>
  <c r="BX357" i="3"/>
  <c r="BW357" i="3"/>
  <c r="BV357" i="3"/>
  <c r="BU357" i="3"/>
  <c r="BT357" i="3"/>
  <c r="BS357" i="3"/>
  <c r="BR357" i="3"/>
  <c r="BQ357" i="3"/>
  <c r="BP357" i="3"/>
  <c r="BO357" i="3"/>
  <c r="BN357" i="3"/>
  <c r="DU356" i="3"/>
  <c r="DT356" i="3"/>
  <c r="DS356" i="3"/>
  <c r="DR356" i="3"/>
  <c r="DQ356" i="3"/>
  <c r="DP356" i="3"/>
  <c r="DO356" i="3"/>
  <c r="DN356" i="3"/>
  <c r="DM356" i="3"/>
  <c r="DL356" i="3"/>
  <c r="DK356" i="3"/>
  <c r="DJ356" i="3"/>
  <c r="DI356" i="3"/>
  <c r="DH356" i="3"/>
  <c r="DG356" i="3"/>
  <c r="DF356" i="3"/>
  <c r="DE356" i="3"/>
  <c r="DD356" i="3"/>
  <c r="DC356" i="3"/>
  <c r="DB356" i="3"/>
  <c r="DA356" i="3"/>
  <c r="CZ356" i="3"/>
  <c r="CY356" i="3"/>
  <c r="CX356" i="3"/>
  <c r="CW356" i="3"/>
  <c r="CV356" i="3"/>
  <c r="CU356" i="3"/>
  <c r="CT356" i="3"/>
  <c r="CS356" i="3"/>
  <c r="CR356" i="3"/>
  <c r="CQ356" i="3"/>
  <c r="CP356" i="3"/>
  <c r="CO356" i="3"/>
  <c r="CN356" i="3"/>
  <c r="CM356" i="3"/>
  <c r="CL356" i="3"/>
  <c r="CK356" i="3"/>
  <c r="CJ356" i="3"/>
  <c r="CI356" i="3"/>
  <c r="CH356" i="3"/>
  <c r="CG356" i="3"/>
  <c r="CF356" i="3"/>
  <c r="CE356" i="3"/>
  <c r="CD356" i="3"/>
  <c r="CC356" i="3"/>
  <c r="CB356" i="3"/>
  <c r="CA356" i="3"/>
  <c r="BZ356" i="3"/>
  <c r="BY356" i="3"/>
  <c r="BX356" i="3"/>
  <c r="BW356" i="3"/>
  <c r="BV356" i="3"/>
  <c r="BU356" i="3"/>
  <c r="BT356" i="3"/>
  <c r="BS356" i="3"/>
  <c r="BR356" i="3"/>
  <c r="BQ356" i="3"/>
  <c r="BP356" i="3"/>
  <c r="BO356" i="3"/>
  <c r="BN356" i="3"/>
  <c r="E356" i="3"/>
  <c r="DU355" i="3"/>
  <c r="DT355" i="3"/>
  <c r="DS355" i="3"/>
  <c r="DR355" i="3"/>
  <c r="DQ355" i="3"/>
  <c r="DP355" i="3"/>
  <c r="DO355" i="3"/>
  <c r="DN355" i="3"/>
  <c r="DM355" i="3"/>
  <c r="DL355" i="3"/>
  <c r="DK355" i="3"/>
  <c r="DJ355" i="3"/>
  <c r="DI355" i="3"/>
  <c r="DH355" i="3"/>
  <c r="DG355" i="3"/>
  <c r="DF355" i="3"/>
  <c r="DE355" i="3"/>
  <c r="DD355" i="3"/>
  <c r="DC355" i="3"/>
  <c r="DB355" i="3"/>
  <c r="DA355" i="3"/>
  <c r="CZ355" i="3"/>
  <c r="CY355" i="3"/>
  <c r="CX355" i="3"/>
  <c r="CW355" i="3"/>
  <c r="CV355" i="3"/>
  <c r="CU355" i="3"/>
  <c r="CT355" i="3"/>
  <c r="CS355" i="3"/>
  <c r="CR355" i="3"/>
  <c r="CQ355" i="3"/>
  <c r="CP355" i="3"/>
  <c r="CO355" i="3"/>
  <c r="CN355" i="3"/>
  <c r="CM355" i="3"/>
  <c r="CL355" i="3"/>
  <c r="CK355" i="3"/>
  <c r="CJ355" i="3"/>
  <c r="CI355" i="3"/>
  <c r="CH355" i="3"/>
  <c r="CG355" i="3"/>
  <c r="CF355" i="3"/>
  <c r="CE355" i="3"/>
  <c r="CD355" i="3"/>
  <c r="CC355" i="3"/>
  <c r="CB355" i="3"/>
  <c r="CA355" i="3"/>
  <c r="BZ355" i="3"/>
  <c r="BY355" i="3"/>
  <c r="BX355" i="3"/>
  <c r="BW355" i="3"/>
  <c r="BV355" i="3"/>
  <c r="BU355" i="3"/>
  <c r="BT355" i="3"/>
  <c r="BS355" i="3"/>
  <c r="BR355" i="3"/>
  <c r="BQ355" i="3"/>
  <c r="BP355" i="3"/>
  <c r="BO355" i="3"/>
  <c r="BN355" i="3"/>
  <c r="DU354" i="3"/>
  <c r="DT354" i="3"/>
  <c r="DS354" i="3"/>
  <c r="DR354" i="3"/>
  <c r="DQ354" i="3"/>
  <c r="DP354" i="3"/>
  <c r="DO354" i="3"/>
  <c r="DN354" i="3"/>
  <c r="DM354" i="3"/>
  <c r="DL354" i="3"/>
  <c r="DK354" i="3"/>
  <c r="DJ354" i="3"/>
  <c r="DI354" i="3"/>
  <c r="DH354" i="3"/>
  <c r="DG354" i="3"/>
  <c r="DF354" i="3"/>
  <c r="DE354" i="3"/>
  <c r="DD354" i="3"/>
  <c r="DC354" i="3"/>
  <c r="DB354" i="3"/>
  <c r="DA354" i="3"/>
  <c r="CZ354" i="3"/>
  <c r="CY354" i="3"/>
  <c r="CX354" i="3"/>
  <c r="CW354" i="3"/>
  <c r="CV354" i="3"/>
  <c r="CU354" i="3"/>
  <c r="CT354" i="3"/>
  <c r="CS354" i="3"/>
  <c r="CR354" i="3"/>
  <c r="CQ354" i="3"/>
  <c r="CP354" i="3"/>
  <c r="CO354" i="3"/>
  <c r="CN354" i="3"/>
  <c r="CM354" i="3"/>
  <c r="CL354" i="3"/>
  <c r="CK354" i="3"/>
  <c r="CJ354" i="3"/>
  <c r="CI354" i="3"/>
  <c r="CH354" i="3"/>
  <c r="CG354" i="3"/>
  <c r="CF354" i="3"/>
  <c r="CE354" i="3"/>
  <c r="CD354" i="3"/>
  <c r="CC354" i="3"/>
  <c r="CB354" i="3"/>
  <c r="CA354" i="3"/>
  <c r="BZ354" i="3"/>
  <c r="BY354" i="3"/>
  <c r="BX354" i="3"/>
  <c r="BW354" i="3"/>
  <c r="BV354" i="3"/>
  <c r="BU354" i="3"/>
  <c r="BT354" i="3"/>
  <c r="BS354" i="3"/>
  <c r="BR354" i="3"/>
  <c r="BQ354" i="3"/>
  <c r="BP354" i="3"/>
  <c r="BO354" i="3"/>
  <c r="BN354" i="3"/>
  <c r="DU353" i="3"/>
  <c r="DT353" i="3"/>
  <c r="DS353" i="3"/>
  <c r="DR353" i="3"/>
  <c r="DQ353" i="3"/>
  <c r="DP353" i="3"/>
  <c r="DO353" i="3"/>
  <c r="DN353" i="3"/>
  <c r="DM353" i="3"/>
  <c r="DL353" i="3"/>
  <c r="DK353" i="3"/>
  <c r="DJ353" i="3"/>
  <c r="DI353" i="3"/>
  <c r="DH353" i="3"/>
  <c r="DG353" i="3"/>
  <c r="DF353" i="3"/>
  <c r="DE353" i="3"/>
  <c r="DD353" i="3"/>
  <c r="DC353" i="3"/>
  <c r="DB353" i="3"/>
  <c r="DA353" i="3"/>
  <c r="CZ353" i="3"/>
  <c r="CY353" i="3"/>
  <c r="CX353" i="3"/>
  <c r="CW353" i="3"/>
  <c r="CV353" i="3"/>
  <c r="CU353" i="3"/>
  <c r="CT353" i="3"/>
  <c r="CS353" i="3"/>
  <c r="CR353" i="3"/>
  <c r="CQ353" i="3"/>
  <c r="CP353" i="3"/>
  <c r="CO353" i="3"/>
  <c r="CN353" i="3"/>
  <c r="CM353" i="3"/>
  <c r="CL353" i="3"/>
  <c r="CK353" i="3"/>
  <c r="CJ353" i="3"/>
  <c r="CI353" i="3"/>
  <c r="CH353" i="3"/>
  <c r="CG353" i="3"/>
  <c r="CF353" i="3"/>
  <c r="CE353" i="3"/>
  <c r="CD353" i="3"/>
  <c r="CC353" i="3"/>
  <c r="CB353" i="3"/>
  <c r="CA353" i="3"/>
  <c r="BZ353" i="3"/>
  <c r="BY353" i="3"/>
  <c r="BX353" i="3"/>
  <c r="BW353" i="3"/>
  <c r="BV353" i="3"/>
  <c r="BU353" i="3"/>
  <c r="BT353" i="3"/>
  <c r="BS353" i="3"/>
  <c r="BR353" i="3"/>
  <c r="BQ353" i="3"/>
  <c r="BP353" i="3"/>
  <c r="BO353" i="3"/>
  <c r="BN353" i="3"/>
  <c r="DU352" i="3"/>
  <c r="DT352" i="3"/>
  <c r="DS352" i="3"/>
  <c r="DR352" i="3"/>
  <c r="DQ352" i="3"/>
  <c r="DP352" i="3"/>
  <c r="DO352" i="3"/>
  <c r="DN352" i="3"/>
  <c r="DM352" i="3"/>
  <c r="DL352" i="3"/>
  <c r="DK352" i="3"/>
  <c r="DJ352" i="3"/>
  <c r="DI352" i="3"/>
  <c r="DH352" i="3"/>
  <c r="DG352" i="3"/>
  <c r="DF352" i="3"/>
  <c r="DE352" i="3"/>
  <c r="DD352" i="3"/>
  <c r="DC352" i="3"/>
  <c r="DB352" i="3"/>
  <c r="DA352" i="3"/>
  <c r="CZ352" i="3"/>
  <c r="CY352" i="3"/>
  <c r="CX352" i="3"/>
  <c r="CW352" i="3"/>
  <c r="CV352" i="3"/>
  <c r="CU352" i="3"/>
  <c r="CT352" i="3"/>
  <c r="CS352" i="3"/>
  <c r="CR352" i="3"/>
  <c r="CQ352" i="3"/>
  <c r="CP352" i="3"/>
  <c r="CO352" i="3"/>
  <c r="CN352" i="3"/>
  <c r="CM352" i="3"/>
  <c r="CL352" i="3"/>
  <c r="CK352" i="3"/>
  <c r="CJ352" i="3"/>
  <c r="CI352" i="3"/>
  <c r="CH352" i="3"/>
  <c r="CG352" i="3"/>
  <c r="CF352" i="3"/>
  <c r="CE352" i="3"/>
  <c r="CD352" i="3"/>
  <c r="CC352" i="3"/>
  <c r="CB352" i="3"/>
  <c r="CA352" i="3"/>
  <c r="BZ352" i="3"/>
  <c r="BY352" i="3"/>
  <c r="BX352" i="3"/>
  <c r="BW352" i="3"/>
  <c r="BV352" i="3"/>
  <c r="BU352" i="3"/>
  <c r="BT352" i="3"/>
  <c r="BS352" i="3"/>
  <c r="BR352" i="3"/>
  <c r="BQ352" i="3"/>
  <c r="BP352" i="3"/>
  <c r="BO352" i="3"/>
  <c r="BN352" i="3"/>
  <c r="C352" i="3"/>
  <c r="B352" i="3"/>
  <c r="A352" i="3"/>
  <c r="DU351" i="3"/>
  <c r="DT351" i="3"/>
  <c r="DS351" i="3"/>
  <c r="DR351" i="3"/>
  <c r="DQ351" i="3"/>
  <c r="DP351" i="3"/>
  <c r="DO351" i="3"/>
  <c r="DN351" i="3"/>
  <c r="DM351" i="3"/>
  <c r="DL351" i="3"/>
  <c r="DK351" i="3"/>
  <c r="DJ351" i="3"/>
  <c r="DI351" i="3"/>
  <c r="DH351" i="3"/>
  <c r="DG351" i="3"/>
  <c r="DF351" i="3"/>
  <c r="DE351" i="3"/>
  <c r="DD351" i="3"/>
  <c r="DC351" i="3"/>
  <c r="DB351" i="3"/>
  <c r="DA351" i="3"/>
  <c r="CZ351" i="3"/>
  <c r="CY351" i="3"/>
  <c r="CX351" i="3"/>
  <c r="CW351" i="3"/>
  <c r="CV351" i="3"/>
  <c r="CU351" i="3"/>
  <c r="CT351" i="3"/>
  <c r="CS351" i="3"/>
  <c r="CR351" i="3"/>
  <c r="CQ351" i="3"/>
  <c r="CP351" i="3"/>
  <c r="CO351" i="3"/>
  <c r="CN351" i="3"/>
  <c r="CM351" i="3"/>
  <c r="CL351" i="3"/>
  <c r="CK351" i="3"/>
  <c r="CJ351" i="3"/>
  <c r="CI351" i="3"/>
  <c r="CH351" i="3"/>
  <c r="CG351" i="3"/>
  <c r="CF351" i="3"/>
  <c r="CE351" i="3"/>
  <c r="CD351" i="3"/>
  <c r="CC351" i="3"/>
  <c r="CB351" i="3"/>
  <c r="CA351" i="3"/>
  <c r="BZ351" i="3"/>
  <c r="BY351" i="3"/>
  <c r="BX351" i="3"/>
  <c r="BW351" i="3"/>
  <c r="BV351" i="3"/>
  <c r="BU351" i="3"/>
  <c r="BT351" i="3"/>
  <c r="BS351" i="3"/>
  <c r="BR351" i="3"/>
  <c r="BQ351" i="3"/>
  <c r="BP351" i="3"/>
  <c r="BO351" i="3"/>
  <c r="BN351" i="3"/>
  <c r="D351" i="3"/>
  <c r="B351" i="3"/>
  <c r="A351" i="3"/>
  <c r="DU350" i="3"/>
  <c r="DT350" i="3"/>
  <c r="DS350" i="3"/>
  <c r="DR350" i="3"/>
  <c r="DQ350" i="3"/>
  <c r="DP350" i="3"/>
  <c r="DO350" i="3"/>
  <c r="DN350" i="3"/>
  <c r="DM350" i="3"/>
  <c r="DL350" i="3"/>
  <c r="DK350" i="3"/>
  <c r="DJ350" i="3"/>
  <c r="DI350" i="3"/>
  <c r="DH350" i="3"/>
  <c r="DG350" i="3"/>
  <c r="DF350" i="3"/>
  <c r="DE350" i="3"/>
  <c r="DD350" i="3"/>
  <c r="DC350" i="3"/>
  <c r="DB350" i="3"/>
  <c r="DA350" i="3"/>
  <c r="CZ350" i="3"/>
  <c r="CY350" i="3"/>
  <c r="CX350" i="3"/>
  <c r="CW350" i="3"/>
  <c r="CV350" i="3"/>
  <c r="CU350" i="3"/>
  <c r="CT350" i="3"/>
  <c r="CS350" i="3"/>
  <c r="CR350" i="3"/>
  <c r="CQ350" i="3"/>
  <c r="CP350" i="3"/>
  <c r="CO350" i="3"/>
  <c r="CN350" i="3"/>
  <c r="CM350" i="3"/>
  <c r="CL350" i="3"/>
  <c r="CK350" i="3"/>
  <c r="CJ350" i="3"/>
  <c r="CI350" i="3"/>
  <c r="CH350" i="3"/>
  <c r="CG350" i="3"/>
  <c r="CF350" i="3"/>
  <c r="CE350" i="3"/>
  <c r="CD350" i="3"/>
  <c r="CC350" i="3"/>
  <c r="CB350" i="3"/>
  <c r="CA350" i="3"/>
  <c r="BZ350" i="3"/>
  <c r="BY350" i="3"/>
  <c r="BX350" i="3"/>
  <c r="BW350" i="3"/>
  <c r="BV350" i="3"/>
  <c r="BU350" i="3"/>
  <c r="BT350" i="3"/>
  <c r="BS350" i="3"/>
  <c r="BR350" i="3"/>
  <c r="BQ350" i="3"/>
  <c r="BP350" i="3"/>
  <c r="BO350" i="3"/>
  <c r="BN350" i="3"/>
  <c r="DU349" i="3"/>
  <c r="DT349" i="3"/>
  <c r="DS349" i="3"/>
  <c r="DR349" i="3"/>
  <c r="DQ349" i="3"/>
  <c r="DP349" i="3"/>
  <c r="DO349" i="3"/>
  <c r="DN349" i="3"/>
  <c r="DM349" i="3"/>
  <c r="DL349" i="3"/>
  <c r="DK349" i="3"/>
  <c r="DJ349" i="3"/>
  <c r="DI349" i="3"/>
  <c r="DH349" i="3"/>
  <c r="DG349" i="3"/>
  <c r="DF349" i="3"/>
  <c r="DE349" i="3"/>
  <c r="DD349" i="3"/>
  <c r="DC349" i="3"/>
  <c r="DB349" i="3"/>
  <c r="DA349" i="3"/>
  <c r="CZ349" i="3"/>
  <c r="CY349" i="3"/>
  <c r="CX349" i="3"/>
  <c r="CW349" i="3"/>
  <c r="CV349" i="3"/>
  <c r="CU349" i="3"/>
  <c r="CT349" i="3"/>
  <c r="CS349" i="3"/>
  <c r="CR349" i="3"/>
  <c r="CQ349" i="3"/>
  <c r="CP349" i="3"/>
  <c r="CO349" i="3"/>
  <c r="CN349" i="3"/>
  <c r="CM349" i="3"/>
  <c r="CL349" i="3"/>
  <c r="CK349" i="3"/>
  <c r="CJ349" i="3"/>
  <c r="CI349" i="3"/>
  <c r="CH349" i="3"/>
  <c r="CG349" i="3"/>
  <c r="CF349" i="3"/>
  <c r="CE349" i="3"/>
  <c r="CD349" i="3"/>
  <c r="CC349" i="3"/>
  <c r="CB349" i="3"/>
  <c r="CA349" i="3"/>
  <c r="BZ349" i="3"/>
  <c r="BY349" i="3"/>
  <c r="BX349" i="3"/>
  <c r="BW349" i="3"/>
  <c r="BV349" i="3"/>
  <c r="BU349" i="3"/>
  <c r="BT349" i="3"/>
  <c r="BS349" i="3"/>
  <c r="BR349" i="3"/>
  <c r="BQ349" i="3"/>
  <c r="BP349" i="3"/>
  <c r="BO349" i="3"/>
  <c r="BN349" i="3"/>
  <c r="DU348" i="3"/>
  <c r="DT348" i="3"/>
  <c r="DS348" i="3"/>
  <c r="DR348" i="3"/>
  <c r="DQ348" i="3"/>
  <c r="DP348" i="3"/>
  <c r="DO348" i="3"/>
  <c r="DN348" i="3"/>
  <c r="DM348" i="3"/>
  <c r="DL348" i="3"/>
  <c r="DK348" i="3"/>
  <c r="DJ348" i="3"/>
  <c r="DI348" i="3"/>
  <c r="DH348" i="3"/>
  <c r="DG348" i="3"/>
  <c r="DF348" i="3"/>
  <c r="DE348" i="3"/>
  <c r="DD348" i="3"/>
  <c r="DC348" i="3"/>
  <c r="DB348" i="3"/>
  <c r="DA348" i="3"/>
  <c r="CZ348" i="3"/>
  <c r="CY348" i="3"/>
  <c r="CX348" i="3"/>
  <c r="CW348" i="3"/>
  <c r="CV348" i="3"/>
  <c r="CU348" i="3"/>
  <c r="CT348" i="3"/>
  <c r="CS348" i="3"/>
  <c r="CR348" i="3"/>
  <c r="CQ348" i="3"/>
  <c r="CP348" i="3"/>
  <c r="CO348" i="3"/>
  <c r="CN348" i="3"/>
  <c r="CM348" i="3"/>
  <c r="CL348" i="3"/>
  <c r="CK348" i="3"/>
  <c r="CJ348" i="3"/>
  <c r="CI348" i="3"/>
  <c r="CH348" i="3"/>
  <c r="CG348" i="3"/>
  <c r="CF348" i="3"/>
  <c r="CE348" i="3"/>
  <c r="CD348" i="3"/>
  <c r="CC348" i="3"/>
  <c r="CB348" i="3"/>
  <c r="CA348" i="3"/>
  <c r="BZ348" i="3"/>
  <c r="BY348" i="3"/>
  <c r="BX348" i="3"/>
  <c r="BW348" i="3"/>
  <c r="BV348" i="3"/>
  <c r="BU348" i="3"/>
  <c r="BT348" i="3"/>
  <c r="BS348" i="3"/>
  <c r="BR348" i="3"/>
  <c r="BQ348" i="3"/>
  <c r="BP348" i="3"/>
  <c r="BO348" i="3"/>
  <c r="BN348" i="3"/>
  <c r="DU347" i="3"/>
  <c r="DT347" i="3"/>
  <c r="DS347" i="3"/>
  <c r="DR347" i="3"/>
  <c r="DQ347" i="3"/>
  <c r="DP347" i="3"/>
  <c r="DO347" i="3"/>
  <c r="DN347" i="3"/>
  <c r="DM347" i="3"/>
  <c r="DL347" i="3"/>
  <c r="DK347" i="3"/>
  <c r="DJ347" i="3"/>
  <c r="DI347" i="3"/>
  <c r="DH347" i="3"/>
  <c r="DG347" i="3"/>
  <c r="DF347" i="3"/>
  <c r="DE347" i="3"/>
  <c r="DD347" i="3"/>
  <c r="DC347" i="3"/>
  <c r="DB347" i="3"/>
  <c r="DA347" i="3"/>
  <c r="CZ347" i="3"/>
  <c r="CY347" i="3"/>
  <c r="CX347" i="3"/>
  <c r="CW347" i="3"/>
  <c r="CV347" i="3"/>
  <c r="CU347" i="3"/>
  <c r="CT347" i="3"/>
  <c r="CS347" i="3"/>
  <c r="CR347" i="3"/>
  <c r="CQ347" i="3"/>
  <c r="CP347" i="3"/>
  <c r="CO347" i="3"/>
  <c r="CN347" i="3"/>
  <c r="CM347" i="3"/>
  <c r="CL347" i="3"/>
  <c r="CK347" i="3"/>
  <c r="CJ347" i="3"/>
  <c r="CI347" i="3"/>
  <c r="CH347" i="3"/>
  <c r="CG347" i="3"/>
  <c r="CF347" i="3"/>
  <c r="CE347" i="3"/>
  <c r="CD347" i="3"/>
  <c r="CC347" i="3"/>
  <c r="CB347" i="3"/>
  <c r="CA347" i="3"/>
  <c r="BZ347" i="3"/>
  <c r="BY347" i="3"/>
  <c r="BX347" i="3"/>
  <c r="BW347" i="3"/>
  <c r="BV347" i="3"/>
  <c r="BU347" i="3"/>
  <c r="BT347" i="3"/>
  <c r="BS347" i="3"/>
  <c r="BR347" i="3"/>
  <c r="BQ347" i="3"/>
  <c r="BP347" i="3"/>
  <c r="BO347" i="3"/>
  <c r="BN347" i="3"/>
  <c r="B347" i="3"/>
  <c r="DU346" i="3"/>
  <c r="DT346" i="3"/>
  <c r="DS346" i="3"/>
  <c r="DR346" i="3"/>
  <c r="DQ346" i="3"/>
  <c r="DP346" i="3"/>
  <c r="DO346" i="3"/>
  <c r="DN346" i="3"/>
  <c r="DM346" i="3"/>
  <c r="DL346" i="3"/>
  <c r="DK346" i="3"/>
  <c r="DJ346" i="3"/>
  <c r="DI346" i="3"/>
  <c r="DH346" i="3"/>
  <c r="DG346" i="3"/>
  <c r="DF346" i="3"/>
  <c r="DE346" i="3"/>
  <c r="DD346" i="3"/>
  <c r="DC346" i="3"/>
  <c r="DB346" i="3"/>
  <c r="DA346" i="3"/>
  <c r="CZ346" i="3"/>
  <c r="CY346" i="3"/>
  <c r="CX346" i="3"/>
  <c r="CW346" i="3"/>
  <c r="CV346" i="3"/>
  <c r="CU346" i="3"/>
  <c r="CT346" i="3"/>
  <c r="CS346" i="3"/>
  <c r="CR346" i="3"/>
  <c r="CQ346" i="3"/>
  <c r="CP346" i="3"/>
  <c r="CO346" i="3"/>
  <c r="CN346" i="3"/>
  <c r="CM346" i="3"/>
  <c r="CL346" i="3"/>
  <c r="CK346" i="3"/>
  <c r="CJ346" i="3"/>
  <c r="CI346" i="3"/>
  <c r="CH346" i="3"/>
  <c r="CG346" i="3"/>
  <c r="CF346" i="3"/>
  <c r="CE346" i="3"/>
  <c r="CD346" i="3"/>
  <c r="CC346" i="3"/>
  <c r="CB346" i="3"/>
  <c r="CA346" i="3"/>
  <c r="BZ346" i="3"/>
  <c r="BY346" i="3"/>
  <c r="BX346" i="3"/>
  <c r="BW346" i="3"/>
  <c r="BV346" i="3"/>
  <c r="BU346" i="3"/>
  <c r="BT346" i="3"/>
  <c r="BS346" i="3"/>
  <c r="BR346" i="3"/>
  <c r="BQ346" i="3"/>
  <c r="BP346" i="3"/>
  <c r="BO346" i="3"/>
  <c r="BN346" i="3"/>
  <c r="DU345" i="3"/>
  <c r="DT345" i="3"/>
  <c r="DS345" i="3"/>
  <c r="DR345" i="3"/>
  <c r="DQ345" i="3"/>
  <c r="DP345" i="3"/>
  <c r="DO345" i="3"/>
  <c r="DN345" i="3"/>
  <c r="DM345" i="3"/>
  <c r="DL345" i="3"/>
  <c r="DK345" i="3"/>
  <c r="DJ345" i="3"/>
  <c r="DI345" i="3"/>
  <c r="DH345" i="3"/>
  <c r="DG345" i="3"/>
  <c r="DF345" i="3"/>
  <c r="DE345" i="3"/>
  <c r="DD345" i="3"/>
  <c r="DC345" i="3"/>
  <c r="DB345" i="3"/>
  <c r="DA345" i="3"/>
  <c r="CZ345" i="3"/>
  <c r="CY345" i="3"/>
  <c r="CX345" i="3"/>
  <c r="CW345" i="3"/>
  <c r="CV345" i="3"/>
  <c r="CU345" i="3"/>
  <c r="CT345" i="3"/>
  <c r="CS345" i="3"/>
  <c r="CR345" i="3"/>
  <c r="CQ345" i="3"/>
  <c r="CP345" i="3"/>
  <c r="CO345" i="3"/>
  <c r="CN345" i="3"/>
  <c r="CM345" i="3"/>
  <c r="CL345" i="3"/>
  <c r="CK345" i="3"/>
  <c r="CJ345" i="3"/>
  <c r="CI345" i="3"/>
  <c r="CH345" i="3"/>
  <c r="CG345" i="3"/>
  <c r="CF345" i="3"/>
  <c r="CE345" i="3"/>
  <c r="CD345" i="3"/>
  <c r="CC345" i="3"/>
  <c r="CB345" i="3"/>
  <c r="CA345" i="3"/>
  <c r="BZ345" i="3"/>
  <c r="BY345" i="3"/>
  <c r="BX345" i="3"/>
  <c r="BW345" i="3"/>
  <c r="BV345" i="3"/>
  <c r="BU345" i="3"/>
  <c r="BT345" i="3"/>
  <c r="BS345" i="3"/>
  <c r="BR345" i="3"/>
  <c r="BQ345" i="3"/>
  <c r="BP345" i="3"/>
  <c r="BO345" i="3"/>
  <c r="BN345" i="3"/>
  <c r="DU344" i="3"/>
  <c r="DT344" i="3"/>
  <c r="DS344" i="3"/>
  <c r="DR344" i="3"/>
  <c r="DQ344" i="3"/>
  <c r="DP344" i="3"/>
  <c r="DO344" i="3"/>
  <c r="DN344" i="3"/>
  <c r="DM344" i="3"/>
  <c r="DL344" i="3"/>
  <c r="DK344" i="3"/>
  <c r="DJ344" i="3"/>
  <c r="DI344" i="3"/>
  <c r="DH344" i="3"/>
  <c r="DG344" i="3"/>
  <c r="DF344" i="3"/>
  <c r="DE344" i="3"/>
  <c r="DD344" i="3"/>
  <c r="DC344" i="3"/>
  <c r="DB344" i="3"/>
  <c r="DA344" i="3"/>
  <c r="CZ344" i="3"/>
  <c r="CY344" i="3"/>
  <c r="CX344" i="3"/>
  <c r="CW344" i="3"/>
  <c r="CV344" i="3"/>
  <c r="CU344" i="3"/>
  <c r="CT344" i="3"/>
  <c r="CS344" i="3"/>
  <c r="CR344" i="3"/>
  <c r="CQ344" i="3"/>
  <c r="CP344" i="3"/>
  <c r="CO344" i="3"/>
  <c r="CN344" i="3"/>
  <c r="CM344" i="3"/>
  <c r="CL344" i="3"/>
  <c r="CK344" i="3"/>
  <c r="CJ344" i="3"/>
  <c r="CI344" i="3"/>
  <c r="CH344" i="3"/>
  <c r="CG344" i="3"/>
  <c r="CF344" i="3"/>
  <c r="CE344" i="3"/>
  <c r="CD344" i="3"/>
  <c r="CC344" i="3"/>
  <c r="CB344" i="3"/>
  <c r="CA344" i="3"/>
  <c r="BZ344" i="3"/>
  <c r="BY344" i="3"/>
  <c r="BX344" i="3"/>
  <c r="BW344" i="3"/>
  <c r="BV344" i="3"/>
  <c r="BU344" i="3"/>
  <c r="BT344" i="3"/>
  <c r="BS344" i="3"/>
  <c r="BR344" i="3"/>
  <c r="BQ344" i="3"/>
  <c r="BP344" i="3"/>
  <c r="BO344" i="3"/>
  <c r="BN344" i="3"/>
  <c r="B344" i="3"/>
  <c r="A344" i="3"/>
  <c r="DU343" i="3"/>
  <c r="DT343" i="3"/>
  <c r="DS343" i="3"/>
  <c r="DR343" i="3"/>
  <c r="DQ343" i="3"/>
  <c r="DP343" i="3"/>
  <c r="DO343" i="3"/>
  <c r="DN343" i="3"/>
  <c r="DM343" i="3"/>
  <c r="DL343" i="3"/>
  <c r="DK343" i="3"/>
  <c r="DJ343" i="3"/>
  <c r="DI343" i="3"/>
  <c r="DH343" i="3"/>
  <c r="DG343" i="3"/>
  <c r="DF343" i="3"/>
  <c r="DE343" i="3"/>
  <c r="DD343" i="3"/>
  <c r="DC343" i="3"/>
  <c r="DB343" i="3"/>
  <c r="DA343" i="3"/>
  <c r="CZ343" i="3"/>
  <c r="CY343" i="3"/>
  <c r="CX343" i="3"/>
  <c r="CW343" i="3"/>
  <c r="CV343" i="3"/>
  <c r="CU343" i="3"/>
  <c r="CT343" i="3"/>
  <c r="CS343" i="3"/>
  <c r="CR343" i="3"/>
  <c r="CQ343" i="3"/>
  <c r="CP343" i="3"/>
  <c r="CO343" i="3"/>
  <c r="CN343" i="3"/>
  <c r="CM343" i="3"/>
  <c r="CL343" i="3"/>
  <c r="CK343" i="3"/>
  <c r="CJ343" i="3"/>
  <c r="CI343" i="3"/>
  <c r="CH343" i="3"/>
  <c r="CG343" i="3"/>
  <c r="CF343" i="3"/>
  <c r="CE343" i="3"/>
  <c r="CD343" i="3"/>
  <c r="CC343" i="3"/>
  <c r="CB343" i="3"/>
  <c r="CA343" i="3"/>
  <c r="BZ343" i="3"/>
  <c r="BY343" i="3"/>
  <c r="BX343" i="3"/>
  <c r="BW343" i="3"/>
  <c r="BV343" i="3"/>
  <c r="BU343" i="3"/>
  <c r="BT343" i="3"/>
  <c r="BS343" i="3"/>
  <c r="BR343" i="3"/>
  <c r="BQ343" i="3"/>
  <c r="BP343" i="3"/>
  <c r="BO343" i="3"/>
  <c r="BN343" i="3"/>
  <c r="DU342" i="3"/>
  <c r="DT342" i="3"/>
  <c r="DS342" i="3"/>
  <c r="DR342" i="3"/>
  <c r="DQ342" i="3"/>
  <c r="DP342" i="3"/>
  <c r="DO342" i="3"/>
  <c r="DN342" i="3"/>
  <c r="DM342" i="3"/>
  <c r="DL342" i="3"/>
  <c r="DK342" i="3"/>
  <c r="DJ342" i="3"/>
  <c r="DI342" i="3"/>
  <c r="DH342" i="3"/>
  <c r="DG342" i="3"/>
  <c r="DF342" i="3"/>
  <c r="DE342" i="3"/>
  <c r="DD342" i="3"/>
  <c r="DC342" i="3"/>
  <c r="DB342" i="3"/>
  <c r="DA342" i="3"/>
  <c r="CZ342" i="3"/>
  <c r="CY342" i="3"/>
  <c r="CX342" i="3"/>
  <c r="CW342" i="3"/>
  <c r="CV342" i="3"/>
  <c r="CU342" i="3"/>
  <c r="CT342" i="3"/>
  <c r="CS342" i="3"/>
  <c r="CR342" i="3"/>
  <c r="CQ342" i="3"/>
  <c r="CP342" i="3"/>
  <c r="CO342" i="3"/>
  <c r="CN342" i="3"/>
  <c r="CM342" i="3"/>
  <c r="CL342" i="3"/>
  <c r="CK342" i="3"/>
  <c r="CJ342" i="3"/>
  <c r="CI342" i="3"/>
  <c r="CH342" i="3"/>
  <c r="CG342" i="3"/>
  <c r="CF342" i="3"/>
  <c r="CE342" i="3"/>
  <c r="CD342" i="3"/>
  <c r="CC342" i="3"/>
  <c r="CB342" i="3"/>
  <c r="CA342" i="3"/>
  <c r="BZ342" i="3"/>
  <c r="BY342" i="3"/>
  <c r="BX342" i="3"/>
  <c r="BW342" i="3"/>
  <c r="BV342" i="3"/>
  <c r="BU342" i="3"/>
  <c r="BT342" i="3"/>
  <c r="BS342" i="3"/>
  <c r="BR342" i="3"/>
  <c r="BQ342" i="3"/>
  <c r="BP342" i="3"/>
  <c r="BO342" i="3"/>
  <c r="BN342" i="3"/>
  <c r="DU341" i="3"/>
  <c r="DT341" i="3"/>
  <c r="DS341" i="3"/>
  <c r="DR341" i="3"/>
  <c r="DQ341" i="3"/>
  <c r="DP341" i="3"/>
  <c r="DO341" i="3"/>
  <c r="DN341" i="3"/>
  <c r="DM341" i="3"/>
  <c r="DL341" i="3"/>
  <c r="DK341" i="3"/>
  <c r="DJ341" i="3"/>
  <c r="DI341" i="3"/>
  <c r="DH341" i="3"/>
  <c r="DG341" i="3"/>
  <c r="DF341" i="3"/>
  <c r="DE341" i="3"/>
  <c r="DD341" i="3"/>
  <c r="DC341" i="3"/>
  <c r="DB341" i="3"/>
  <c r="DA341" i="3"/>
  <c r="CZ341" i="3"/>
  <c r="CY341" i="3"/>
  <c r="CX341" i="3"/>
  <c r="CW341" i="3"/>
  <c r="CV341" i="3"/>
  <c r="CU341" i="3"/>
  <c r="CT341" i="3"/>
  <c r="CS341" i="3"/>
  <c r="CR341" i="3"/>
  <c r="CQ341" i="3"/>
  <c r="CP341" i="3"/>
  <c r="CO341" i="3"/>
  <c r="CN341" i="3"/>
  <c r="CM341" i="3"/>
  <c r="CL341" i="3"/>
  <c r="CK341" i="3"/>
  <c r="CJ341" i="3"/>
  <c r="CI341" i="3"/>
  <c r="CH341" i="3"/>
  <c r="CG341" i="3"/>
  <c r="CF341" i="3"/>
  <c r="CE341" i="3"/>
  <c r="CD341" i="3"/>
  <c r="CC341" i="3"/>
  <c r="CB341" i="3"/>
  <c r="CA341" i="3"/>
  <c r="BZ341" i="3"/>
  <c r="BY341" i="3"/>
  <c r="BX341" i="3"/>
  <c r="BW341" i="3"/>
  <c r="BV341" i="3"/>
  <c r="BU341" i="3"/>
  <c r="BT341" i="3"/>
  <c r="BS341" i="3"/>
  <c r="BR341" i="3"/>
  <c r="BQ341" i="3"/>
  <c r="BP341" i="3"/>
  <c r="BO341" i="3"/>
  <c r="BN341" i="3"/>
  <c r="DU340" i="3"/>
  <c r="DT340" i="3"/>
  <c r="DS340" i="3"/>
  <c r="DR340" i="3"/>
  <c r="DQ340" i="3"/>
  <c r="DP340" i="3"/>
  <c r="DO340" i="3"/>
  <c r="DN340" i="3"/>
  <c r="DM340" i="3"/>
  <c r="DL340" i="3"/>
  <c r="DK340" i="3"/>
  <c r="DJ340" i="3"/>
  <c r="DI340" i="3"/>
  <c r="DH340" i="3"/>
  <c r="DG340" i="3"/>
  <c r="DF340" i="3"/>
  <c r="DE340" i="3"/>
  <c r="DD340" i="3"/>
  <c r="DC340" i="3"/>
  <c r="DB340" i="3"/>
  <c r="DA340" i="3"/>
  <c r="CZ340" i="3"/>
  <c r="CY340" i="3"/>
  <c r="CX340" i="3"/>
  <c r="CW340" i="3"/>
  <c r="CV340" i="3"/>
  <c r="CU340" i="3"/>
  <c r="CT340" i="3"/>
  <c r="CS340" i="3"/>
  <c r="CR340" i="3"/>
  <c r="CQ340" i="3"/>
  <c r="CP340" i="3"/>
  <c r="CO340" i="3"/>
  <c r="CN340" i="3"/>
  <c r="CM340" i="3"/>
  <c r="CL340" i="3"/>
  <c r="CK340" i="3"/>
  <c r="CJ340" i="3"/>
  <c r="CI340" i="3"/>
  <c r="CH340" i="3"/>
  <c r="CG340" i="3"/>
  <c r="CF340" i="3"/>
  <c r="CE340" i="3"/>
  <c r="CD340" i="3"/>
  <c r="CC340" i="3"/>
  <c r="CB340" i="3"/>
  <c r="CA340" i="3"/>
  <c r="BZ340" i="3"/>
  <c r="BY340" i="3"/>
  <c r="BX340" i="3"/>
  <c r="BW340" i="3"/>
  <c r="BV340" i="3"/>
  <c r="BU340" i="3"/>
  <c r="BT340" i="3"/>
  <c r="BS340" i="3"/>
  <c r="BR340" i="3"/>
  <c r="BQ340" i="3"/>
  <c r="BP340" i="3"/>
  <c r="BO340" i="3"/>
  <c r="BN340" i="3"/>
  <c r="A340" i="3"/>
  <c r="DU339" i="3"/>
  <c r="DT339" i="3"/>
  <c r="DS339" i="3"/>
  <c r="DR339" i="3"/>
  <c r="DQ339" i="3"/>
  <c r="DP339" i="3"/>
  <c r="DO339" i="3"/>
  <c r="DN339" i="3"/>
  <c r="DM339" i="3"/>
  <c r="DL339" i="3"/>
  <c r="DK339" i="3"/>
  <c r="DJ339" i="3"/>
  <c r="DI339" i="3"/>
  <c r="DH339" i="3"/>
  <c r="DG339" i="3"/>
  <c r="DF339" i="3"/>
  <c r="DE339" i="3"/>
  <c r="DD339" i="3"/>
  <c r="DC339" i="3"/>
  <c r="DB339" i="3"/>
  <c r="DA339" i="3"/>
  <c r="CZ339" i="3"/>
  <c r="CY339" i="3"/>
  <c r="CX339" i="3"/>
  <c r="CW339" i="3"/>
  <c r="CV339" i="3"/>
  <c r="CU339" i="3"/>
  <c r="CT339" i="3"/>
  <c r="CS339" i="3"/>
  <c r="CR339" i="3"/>
  <c r="CQ339" i="3"/>
  <c r="CP339" i="3"/>
  <c r="CO339" i="3"/>
  <c r="CN339" i="3"/>
  <c r="CM339" i="3"/>
  <c r="CL339" i="3"/>
  <c r="CK339" i="3"/>
  <c r="CJ339" i="3"/>
  <c r="CI339" i="3"/>
  <c r="CH339" i="3"/>
  <c r="CG339" i="3"/>
  <c r="CF339" i="3"/>
  <c r="CE339" i="3"/>
  <c r="CD339" i="3"/>
  <c r="CC339" i="3"/>
  <c r="CB339" i="3"/>
  <c r="CA339" i="3"/>
  <c r="BZ339" i="3"/>
  <c r="BY339" i="3"/>
  <c r="BX339" i="3"/>
  <c r="BW339" i="3"/>
  <c r="BV339" i="3"/>
  <c r="BU339" i="3"/>
  <c r="BT339" i="3"/>
  <c r="BS339" i="3"/>
  <c r="BR339" i="3"/>
  <c r="BQ339" i="3"/>
  <c r="BP339" i="3"/>
  <c r="BO339" i="3"/>
  <c r="BN339" i="3"/>
  <c r="C339" i="3"/>
  <c r="B339" i="3"/>
  <c r="DU338" i="3"/>
  <c r="DT338" i="3"/>
  <c r="DS338" i="3"/>
  <c r="DR338" i="3"/>
  <c r="DQ338" i="3"/>
  <c r="DP338" i="3"/>
  <c r="DO338" i="3"/>
  <c r="DN338" i="3"/>
  <c r="DM338" i="3"/>
  <c r="DL338" i="3"/>
  <c r="DK338" i="3"/>
  <c r="DJ338" i="3"/>
  <c r="DI338" i="3"/>
  <c r="DH338" i="3"/>
  <c r="DG338" i="3"/>
  <c r="DF338" i="3"/>
  <c r="DE338" i="3"/>
  <c r="DD338" i="3"/>
  <c r="DC338" i="3"/>
  <c r="DB338" i="3"/>
  <c r="DA338" i="3"/>
  <c r="CZ338" i="3"/>
  <c r="CY338" i="3"/>
  <c r="CX338" i="3"/>
  <c r="CW338" i="3"/>
  <c r="CV338" i="3"/>
  <c r="CU338" i="3"/>
  <c r="CT338" i="3"/>
  <c r="CS338" i="3"/>
  <c r="CR338" i="3"/>
  <c r="CQ338" i="3"/>
  <c r="CP338" i="3"/>
  <c r="CO338" i="3"/>
  <c r="CN338" i="3"/>
  <c r="CM338" i="3"/>
  <c r="CL338" i="3"/>
  <c r="CK338" i="3"/>
  <c r="CJ338" i="3"/>
  <c r="CI338" i="3"/>
  <c r="CH338" i="3"/>
  <c r="CG338" i="3"/>
  <c r="CF338" i="3"/>
  <c r="CE338" i="3"/>
  <c r="CD338" i="3"/>
  <c r="CC338" i="3"/>
  <c r="CB338" i="3"/>
  <c r="CA338" i="3"/>
  <c r="BZ338" i="3"/>
  <c r="BY338" i="3"/>
  <c r="BX338" i="3"/>
  <c r="BW338" i="3"/>
  <c r="BV338" i="3"/>
  <c r="BU338" i="3"/>
  <c r="BT338" i="3"/>
  <c r="BS338" i="3"/>
  <c r="BR338" i="3"/>
  <c r="BQ338" i="3"/>
  <c r="BP338" i="3"/>
  <c r="BO338" i="3"/>
  <c r="BN338" i="3"/>
  <c r="DU337" i="3"/>
  <c r="DT337" i="3"/>
  <c r="DS337" i="3"/>
  <c r="DR337" i="3"/>
  <c r="DQ337" i="3"/>
  <c r="DP337" i="3"/>
  <c r="DO337" i="3"/>
  <c r="DN337" i="3"/>
  <c r="DM337" i="3"/>
  <c r="DL337" i="3"/>
  <c r="DK337" i="3"/>
  <c r="DJ337" i="3"/>
  <c r="DI337" i="3"/>
  <c r="DH337" i="3"/>
  <c r="DG337" i="3"/>
  <c r="DF337" i="3"/>
  <c r="DE337" i="3"/>
  <c r="DD337" i="3"/>
  <c r="DC337" i="3"/>
  <c r="DB337" i="3"/>
  <c r="DA337" i="3"/>
  <c r="CZ337" i="3"/>
  <c r="CY337" i="3"/>
  <c r="CX337" i="3"/>
  <c r="CW337" i="3"/>
  <c r="CV337" i="3"/>
  <c r="CU337" i="3"/>
  <c r="CT337" i="3"/>
  <c r="CS337" i="3"/>
  <c r="CR337" i="3"/>
  <c r="CQ337" i="3"/>
  <c r="CP337" i="3"/>
  <c r="CO337" i="3"/>
  <c r="CN337" i="3"/>
  <c r="CM337" i="3"/>
  <c r="CL337" i="3"/>
  <c r="CK337" i="3"/>
  <c r="CJ337" i="3"/>
  <c r="CI337" i="3"/>
  <c r="CH337" i="3"/>
  <c r="CG337" i="3"/>
  <c r="CF337" i="3"/>
  <c r="CE337" i="3"/>
  <c r="CD337" i="3"/>
  <c r="CC337" i="3"/>
  <c r="CB337" i="3"/>
  <c r="CA337" i="3"/>
  <c r="BZ337" i="3"/>
  <c r="BY337" i="3"/>
  <c r="BX337" i="3"/>
  <c r="BW337" i="3"/>
  <c r="BV337" i="3"/>
  <c r="BU337" i="3"/>
  <c r="BT337" i="3"/>
  <c r="BS337" i="3"/>
  <c r="BR337" i="3"/>
  <c r="BQ337" i="3"/>
  <c r="BP337" i="3"/>
  <c r="BO337" i="3"/>
  <c r="BN337" i="3"/>
  <c r="DU336" i="3"/>
  <c r="DT336" i="3"/>
  <c r="DS336" i="3"/>
  <c r="DR336" i="3"/>
  <c r="DQ336" i="3"/>
  <c r="DP336" i="3"/>
  <c r="DO336" i="3"/>
  <c r="DN336" i="3"/>
  <c r="DM336" i="3"/>
  <c r="DL336" i="3"/>
  <c r="DK336" i="3"/>
  <c r="DJ336" i="3"/>
  <c r="DI336" i="3"/>
  <c r="DH336" i="3"/>
  <c r="DG336" i="3"/>
  <c r="DF336" i="3"/>
  <c r="DE336" i="3"/>
  <c r="DD336" i="3"/>
  <c r="DC336" i="3"/>
  <c r="DB336" i="3"/>
  <c r="DA336" i="3"/>
  <c r="CZ336" i="3"/>
  <c r="CY336" i="3"/>
  <c r="CX336" i="3"/>
  <c r="CW336" i="3"/>
  <c r="CV336" i="3"/>
  <c r="CU336" i="3"/>
  <c r="CT336" i="3"/>
  <c r="CS336" i="3"/>
  <c r="CR336" i="3"/>
  <c r="CQ336" i="3"/>
  <c r="CP336" i="3"/>
  <c r="CO336" i="3"/>
  <c r="CN336" i="3"/>
  <c r="CM336" i="3"/>
  <c r="CL336" i="3"/>
  <c r="CK336" i="3"/>
  <c r="CJ336" i="3"/>
  <c r="CI336" i="3"/>
  <c r="CH336" i="3"/>
  <c r="CG336" i="3"/>
  <c r="CF336" i="3"/>
  <c r="CE336" i="3"/>
  <c r="CD336" i="3"/>
  <c r="CC336" i="3"/>
  <c r="CB336" i="3"/>
  <c r="CA336" i="3"/>
  <c r="BZ336" i="3"/>
  <c r="BY336" i="3"/>
  <c r="BX336" i="3"/>
  <c r="BW336" i="3"/>
  <c r="BV336" i="3"/>
  <c r="BU336" i="3"/>
  <c r="BT336" i="3"/>
  <c r="BS336" i="3"/>
  <c r="BR336" i="3"/>
  <c r="BQ336" i="3"/>
  <c r="BP336" i="3"/>
  <c r="BO336" i="3"/>
  <c r="BN336" i="3"/>
  <c r="DU335" i="3"/>
  <c r="DT335" i="3"/>
  <c r="DS335" i="3"/>
  <c r="DR335" i="3"/>
  <c r="DQ335" i="3"/>
  <c r="DP335" i="3"/>
  <c r="DO335" i="3"/>
  <c r="DN335" i="3"/>
  <c r="DM335" i="3"/>
  <c r="DL335" i="3"/>
  <c r="DK335" i="3"/>
  <c r="DJ335" i="3"/>
  <c r="DI335" i="3"/>
  <c r="DH335" i="3"/>
  <c r="DG335" i="3"/>
  <c r="DF335" i="3"/>
  <c r="DE335" i="3"/>
  <c r="DD335" i="3"/>
  <c r="DC335" i="3"/>
  <c r="DB335" i="3"/>
  <c r="DA335" i="3"/>
  <c r="CZ335" i="3"/>
  <c r="CY335" i="3"/>
  <c r="CX335" i="3"/>
  <c r="CW335" i="3"/>
  <c r="CV335" i="3"/>
  <c r="CU335" i="3"/>
  <c r="CT335" i="3"/>
  <c r="CS335" i="3"/>
  <c r="CR335" i="3"/>
  <c r="CQ335" i="3"/>
  <c r="CP335" i="3"/>
  <c r="CO335" i="3"/>
  <c r="CN335" i="3"/>
  <c r="CM335" i="3"/>
  <c r="CL335" i="3"/>
  <c r="CK335" i="3"/>
  <c r="CJ335" i="3"/>
  <c r="CI335" i="3"/>
  <c r="CH335" i="3"/>
  <c r="CG335" i="3"/>
  <c r="CF335" i="3"/>
  <c r="CE335" i="3"/>
  <c r="CD335" i="3"/>
  <c r="CC335" i="3"/>
  <c r="CB335" i="3"/>
  <c r="CA335" i="3"/>
  <c r="BZ335" i="3"/>
  <c r="BY335" i="3"/>
  <c r="BX335" i="3"/>
  <c r="BW335" i="3"/>
  <c r="BV335" i="3"/>
  <c r="BU335" i="3"/>
  <c r="BT335" i="3"/>
  <c r="BS335" i="3"/>
  <c r="BR335" i="3"/>
  <c r="BQ335" i="3"/>
  <c r="BP335" i="3"/>
  <c r="BO335" i="3"/>
  <c r="BN335" i="3"/>
  <c r="DU334" i="3"/>
  <c r="DT334" i="3"/>
  <c r="DS334" i="3"/>
  <c r="DR334" i="3"/>
  <c r="DQ334" i="3"/>
  <c r="DP334" i="3"/>
  <c r="DO334" i="3"/>
  <c r="DN334" i="3"/>
  <c r="DM334" i="3"/>
  <c r="DL334" i="3"/>
  <c r="DK334" i="3"/>
  <c r="DJ334" i="3"/>
  <c r="DI334" i="3"/>
  <c r="DH334" i="3"/>
  <c r="DG334" i="3"/>
  <c r="DF334" i="3"/>
  <c r="DE334" i="3"/>
  <c r="DD334" i="3"/>
  <c r="DC334" i="3"/>
  <c r="DB334" i="3"/>
  <c r="DA334" i="3"/>
  <c r="CZ334" i="3"/>
  <c r="CY334" i="3"/>
  <c r="CX334" i="3"/>
  <c r="CW334" i="3"/>
  <c r="CV334" i="3"/>
  <c r="CU334" i="3"/>
  <c r="CT334" i="3"/>
  <c r="CS334" i="3"/>
  <c r="CR334" i="3"/>
  <c r="CQ334" i="3"/>
  <c r="CP334" i="3"/>
  <c r="CO334" i="3"/>
  <c r="CN334" i="3"/>
  <c r="CM334" i="3"/>
  <c r="CL334" i="3"/>
  <c r="CK334" i="3"/>
  <c r="CJ334" i="3"/>
  <c r="CI334" i="3"/>
  <c r="CH334" i="3"/>
  <c r="CG334" i="3"/>
  <c r="CF334" i="3"/>
  <c r="CE334" i="3"/>
  <c r="CD334" i="3"/>
  <c r="CC334" i="3"/>
  <c r="CB334" i="3"/>
  <c r="CA334" i="3"/>
  <c r="BZ334" i="3"/>
  <c r="BY334" i="3"/>
  <c r="BX334" i="3"/>
  <c r="BW334" i="3"/>
  <c r="BV334" i="3"/>
  <c r="BU334" i="3"/>
  <c r="BT334" i="3"/>
  <c r="BS334" i="3"/>
  <c r="BR334" i="3"/>
  <c r="BQ334" i="3"/>
  <c r="BP334" i="3"/>
  <c r="BO334" i="3"/>
  <c r="BN334" i="3"/>
  <c r="DU333" i="3"/>
  <c r="DT333" i="3"/>
  <c r="DS333" i="3"/>
  <c r="DR333" i="3"/>
  <c r="DQ333" i="3"/>
  <c r="DP333" i="3"/>
  <c r="DO333" i="3"/>
  <c r="DN333" i="3"/>
  <c r="DM333" i="3"/>
  <c r="DL333" i="3"/>
  <c r="DK333" i="3"/>
  <c r="DJ333" i="3"/>
  <c r="DI333" i="3"/>
  <c r="DH333" i="3"/>
  <c r="DG333" i="3"/>
  <c r="DF333" i="3"/>
  <c r="DE333" i="3"/>
  <c r="DD333" i="3"/>
  <c r="DC333" i="3"/>
  <c r="DB333" i="3"/>
  <c r="DA333" i="3"/>
  <c r="CZ333" i="3"/>
  <c r="CY333" i="3"/>
  <c r="CX333" i="3"/>
  <c r="CW333" i="3"/>
  <c r="CV333" i="3"/>
  <c r="CU333" i="3"/>
  <c r="CT333" i="3"/>
  <c r="CS333" i="3"/>
  <c r="CR333" i="3"/>
  <c r="CQ333" i="3"/>
  <c r="CP333" i="3"/>
  <c r="CO333" i="3"/>
  <c r="CN333" i="3"/>
  <c r="CM333" i="3"/>
  <c r="CL333" i="3"/>
  <c r="CK333" i="3"/>
  <c r="CJ333" i="3"/>
  <c r="CI333" i="3"/>
  <c r="CH333" i="3"/>
  <c r="CG333" i="3"/>
  <c r="CF333" i="3"/>
  <c r="CE333" i="3"/>
  <c r="CD333" i="3"/>
  <c r="CC333" i="3"/>
  <c r="CB333" i="3"/>
  <c r="CA333" i="3"/>
  <c r="BZ333" i="3"/>
  <c r="BY333" i="3"/>
  <c r="BX333" i="3"/>
  <c r="BW333" i="3"/>
  <c r="BV333" i="3"/>
  <c r="BU333" i="3"/>
  <c r="BT333" i="3"/>
  <c r="BS333" i="3"/>
  <c r="BR333" i="3"/>
  <c r="BQ333" i="3"/>
  <c r="BP333" i="3"/>
  <c r="BO333" i="3"/>
  <c r="BN333" i="3"/>
  <c r="DU332" i="3"/>
  <c r="DT332" i="3"/>
  <c r="DS332" i="3"/>
  <c r="DR332" i="3"/>
  <c r="DQ332" i="3"/>
  <c r="DP332" i="3"/>
  <c r="DO332" i="3"/>
  <c r="DN332" i="3"/>
  <c r="DM332" i="3"/>
  <c r="DL332" i="3"/>
  <c r="DK332" i="3"/>
  <c r="DJ332" i="3"/>
  <c r="DI332" i="3"/>
  <c r="DH332" i="3"/>
  <c r="DG332" i="3"/>
  <c r="DF332" i="3"/>
  <c r="DE332" i="3"/>
  <c r="DD332" i="3"/>
  <c r="DC332" i="3"/>
  <c r="DB332" i="3"/>
  <c r="DA332" i="3"/>
  <c r="CZ332" i="3"/>
  <c r="CY332" i="3"/>
  <c r="CX332" i="3"/>
  <c r="CW332" i="3"/>
  <c r="CV332" i="3"/>
  <c r="CU332" i="3"/>
  <c r="CT332" i="3"/>
  <c r="CS332" i="3"/>
  <c r="CR332" i="3"/>
  <c r="CQ332" i="3"/>
  <c r="CP332" i="3"/>
  <c r="CO332" i="3"/>
  <c r="CN332" i="3"/>
  <c r="CM332" i="3"/>
  <c r="CL332" i="3"/>
  <c r="CK332" i="3"/>
  <c r="CJ332" i="3"/>
  <c r="CI332" i="3"/>
  <c r="CH332" i="3"/>
  <c r="CG332" i="3"/>
  <c r="CF332" i="3"/>
  <c r="CE332" i="3"/>
  <c r="CD332" i="3"/>
  <c r="CC332" i="3"/>
  <c r="CB332" i="3"/>
  <c r="CA332" i="3"/>
  <c r="BZ332" i="3"/>
  <c r="BY332" i="3"/>
  <c r="BX332" i="3"/>
  <c r="BW332" i="3"/>
  <c r="BV332" i="3"/>
  <c r="BU332" i="3"/>
  <c r="BT332" i="3"/>
  <c r="BS332" i="3"/>
  <c r="BR332" i="3"/>
  <c r="BQ332" i="3"/>
  <c r="BP332" i="3"/>
  <c r="BO332" i="3"/>
  <c r="BN332" i="3"/>
  <c r="E332" i="3"/>
  <c r="D332" i="3"/>
  <c r="C332" i="3"/>
  <c r="B332" i="3"/>
  <c r="A332" i="3"/>
  <c r="DU331" i="3"/>
  <c r="DT331" i="3"/>
  <c r="DS331" i="3"/>
  <c r="DR331" i="3"/>
  <c r="DQ331" i="3"/>
  <c r="DP331" i="3"/>
  <c r="DO331" i="3"/>
  <c r="DN331" i="3"/>
  <c r="DM331" i="3"/>
  <c r="DL331" i="3"/>
  <c r="DK331" i="3"/>
  <c r="DJ331" i="3"/>
  <c r="DI331" i="3"/>
  <c r="DH331" i="3"/>
  <c r="DG331" i="3"/>
  <c r="DF331" i="3"/>
  <c r="DE331" i="3"/>
  <c r="DD331" i="3"/>
  <c r="DC331" i="3"/>
  <c r="DB331" i="3"/>
  <c r="DA331" i="3"/>
  <c r="CZ331" i="3"/>
  <c r="CY331" i="3"/>
  <c r="CX331" i="3"/>
  <c r="CW331" i="3"/>
  <c r="CV331" i="3"/>
  <c r="CU331" i="3"/>
  <c r="CT331" i="3"/>
  <c r="CS331" i="3"/>
  <c r="CR331" i="3"/>
  <c r="CQ331" i="3"/>
  <c r="CP331" i="3"/>
  <c r="CO331" i="3"/>
  <c r="CN331" i="3"/>
  <c r="CM331" i="3"/>
  <c r="CL331" i="3"/>
  <c r="CK331" i="3"/>
  <c r="CJ331" i="3"/>
  <c r="CI331" i="3"/>
  <c r="CH331" i="3"/>
  <c r="CG331" i="3"/>
  <c r="CF331" i="3"/>
  <c r="CE331" i="3"/>
  <c r="CD331" i="3"/>
  <c r="CC331" i="3"/>
  <c r="CB331" i="3"/>
  <c r="CA331" i="3"/>
  <c r="BZ331" i="3"/>
  <c r="BY331" i="3"/>
  <c r="BX331" i="3"/>
  <c r="BW331" i="3"/>
  <c r="BV331" i="3"/>
  <c r="BU331" i="3"/>
  <c r="BT331" i="3"/>
  <c r="BS331" i="3"/>
  <c r="BR331" i="3"/>
  <c r="BQ331" i="3"/>
  <c r="BP331" i="3"/>
  <c r="BO331" i="3"/>
  <c r="BN331" i="3"/>
  <c r="E331" i="3"/>
  <c r="C331" i="3"/>
  <c r="DU330" i="3"/>
  <c r="DT330" i="3"/>
  <c r="DS330" i="3"/>
  <c r="DR330" i="3"/>
  <c r="DQ330" i="3"/>
  <c r="DP330" i="3"/>
  <c r="DO330" i="3"/>
  <c r="DN330" i="3"/>
  <c r="DM330" i="3"/>
  <c r="DL330" i="3"/>
  <c r="DK330" i="3"/>
  <c r="DJ330" i="3"/>
  <c r="DI330" i="3"/>
  <c r="DH330" i="3"/>
  <c r="DG330" i="3"/>
  <c r="DF330" i="3"/>
  <c r="DE330" i="3"/>
  <c r="DD330" i="3"/>
  <c r="DC330" i="3"/>
  <c r="DB330" i="3"/>
  <c r="DA330" i="3"/>
  <c r="CZ330" i="3"/>
  <c r="CY330" i="3"/>
  <c r="CX330" i="3"/>
  <c r="CW330" i="3"/>
  <c r="CV330" i="3"/>
  <c r="CU330" i="3"/>
  <c r="CT330" i="3"/>
  <c r="CS330" i="3"/>
  <c r="CR330" i="3"/>
  <c r="CQ330" i="3"/>
  <c r="CP330" i="3"/>
  <c r="CO330" i="3"/>
  <c r="CN330" i="3"/>
  <c r="CM330" i="3"/>
  <c r="CL330" i="3"/>
  <c r="CK330" i="3"/>
  <c r="CJ330" i="3"/>
  <c r="CI330" i="3"/>
  <c r="CH330" i="3"/>
  <c r="CG330" i="3"/>
  <c r="CF330" i="3"/>
  <c r="CE330" i="3"/>
  <c r="CD330" i="3"/>
  <c r="CC330" i="3"/>
  <c r="CB330" i="3"/>
  <c r="CA330" i="3"/>
  <c r="BZ330" i="3"/>
  <c r="BY330" i="3"/>
  <c r="BX330" i="3"/>
  <c r="BW330" i="3"/>
  <c r="BV330" i="3"/>
  <c r="BU330" i="3"/>
  <c r="BT330" i="3"/>
  <c r="BS330" i="3"/>
  <c r="BR330" i="3"/>
  <c r="BQ330" i="3"/>
  <c r="BP330" i="3"/>
  <c r="BO330" i="3"/>
  <c r="BN330" i="3"/>
  <c r="DU329" i="3"/>
  <c r="DT329" i="3"/>
  <c r="DS329" i="3"/>
  <c r="DR329" i="3"/>
  <c r="DQ329" i="3"/>
  <c r="DP329" i="3"/>
  <c r="DO329" i="3"/>
  <c r="DN329" i="3"/>
  <c r="DM329" i="3"/>
  <c r="DL329" i="3"/>
  <c r="DK329" i="3"/>
  <c r="DJ329" i="3"/>
  <c r="DI329" i="3"/>
  <c r="DH329" i="3"/>
  <c r="DG329" i="3"/>
  <c r="DF329" i="3"/>
  <c r="DE329" i="3"/>
  <c r="DD329" i="3"/>
  <c r="DC329" i="3"/>
  <c r="DB329" i="3"/>
  <c r="DA329" i="3"/>
  <c r="CZ329" i="3"/>
  <c r="CY329" i="3"/>
  <c r="CX329" i="3"/>
  <c r="CW329" i="3"/>
  <c r="CV329" i="3"/>
  <c r="CU329" i="3"/>
  <c r="CT329" i="3"/>
  <c r="CS329" i="3"/>
  <c r="CR329" i="3"/>
  <c r="CQ329" i="3"/>
  <c r="CP329" i="3"/>
  <c r="CO329" i="3"/>
  <c r="CN329" i="3"/>
  <c r="CM329" i="3"/>
  <c r="CL329" i="3"/>
  <c r="CK329" i="3"/>
  <c r="CJ329" i="3"/>
  <c r="CI329" i="3"/>
  <c r="CH329" i="3"/>
  <c r="CG329" i="3"/>
  <c r="CF329" i="3"/>
  <c r="CE329" i="3"/>
  <c r="CD329" i="3"/>
  <c r="CC329" i="3"/>
  <c r="CB329" i="3"/>
  <c r="CA329" i="3"/>
  <c r="BZ329" i="3"/>
  <c r="BY329" i="3"/>
  <c r="BX329" i="3"/>
  <c r="BW329" i="3"/>
  <c r="BV329" i="3"/>
  <c r="BU329" i="3"/>
  <c r="BT329" i="3"/>
  <c r="BS329" i="3"/>
  <c r="BR329" i="3"/>
  <c r="BQ329" i="3"/>
  <c r="BP329" i="3"/>
  <c r="BO329" i="3"/>
  <c r="BN329" i="3"/>
  <c r="DU328" i="3"/>
  <c r="DT328" i="3"/>
  <c r="DS328" i="3"/>
  <c r="DR328" i="3"/>
  <c r="DQ328" i="3"/>
  <c r="DP328" i="3"/>
  <c r="DO328" i="3"/>
  <c r="DN328" i="3"/>
  <c r="DM328" i="3"/>
  <c r="DL328" i="3"/>
  <c r="DK328" i="3"/>
  <c r="DJ328" i="3"/>
  <c r="DI328" i="3"/>
  <c r="DH328" i="3"/>
  <c r="DG328" i="3"/>
  <c r="DF328" i="3"/>
  <c r="DE328" i="3"/>
  <c r="DD328" i="3"/>
  <c r="DC328" i="3"/>
  <c r="DB328" i="3"/>
  <c r="DA328" i="3"/>
  <c r="CZ328" i="3"/>
  <c r="CY328" i="3"/>
  <c r="CX328" i="3"/>
  <c r="CW328" i="3"/>
  <c r="CV328" i="3"/>
  <c r="CU328" i="3"/>
  <c r="CT328" i="3"/>
  <c r="CS328" i="3"/>
  <c r="CR328" i="3"/>
  <c r="CQ328" i="3"/>
  <c r="CP328" i="3"/>
  <c r="CO328" i="3"/>
  <c r="CN328" i="3"/>
  <c r="CM328" i="3"/>
  <c r="CL328" i="3"/>
  <c r="CK328" i="3"/>
  <c r="CJ328" i="3"/>
  <c r="CI328" i="3"/>
  <c r="CH328" i="3"/>
  <c r="CG328" i="3"/>
  <c r="CF328" i="3"/>
  <c r="CE328" i="3"/>
  <c r="CD328" i="3"/>
  <c r="CC328" i="3"/>
  <c r="CB328" i="3"/>
  <c r="CA328" i="3"/>
  <c r="BZ328" i="3"/>
  <c r="BY328" i="3"/>
  <c r="BX328" i="3"/>
  <c r="BW328" i="3"/>
  <c r="BV328" i="3"/>
  <c r="BU328" i="3"/>
  <c r="BT328" i="3"/>
  <c r="BS328" i="3"/>
  <c r="BR328" i="3"/>
  <c r="BQ328" i="3"/>
  <c r="BP328" i="3"/>
  <c r="BO328" i="3"/>
  <c r="BN328" i="3"/>
  <c r="DU327" i="3"/>
  <c r="DT327" i="3"/>
  <c r="DS327" i="3"/>
  <c r="DR327" i="3"/>
  <c r="DQ327" i="3"/>
  <c r="DP327" i="3"/>
  <c r="DO327" i="3"/>
  <c r="DN327" i="3"/>
  <c r="DM327" i="3"/>
  <c r="DL327" i="3"/>
  <c r="DK327" i="3"/>
  <c r="DJ327" i="3"/>
  <c r="DI327" i="3"/>
  <c r="DH327" i="3"/>
  <c r="DG327" i="3"/>
  <c r="DF327" i="3"/>
  <c r="DE327" i="3"/>
  <c r="DD327" i="3"/>
  <c r="DC327" i="3"/>
  <c r="DB327" i="3"/>
  <c r="DA327" i="3"/>
  <c r="CZ327" i="3"/>
  <c r="CY327" i="3"/>
  <c r="CX327" i="3"/>
  <c r="CW327" i="3"/>
  <c r="CV327" i="3"/>
  <c r="CU327" i="3"/>
  <c r="CT327" i="3"/>
  <c r="CS327" i="3"/>
  <c r="CR327" i="3"/>
  <c r="CQ327" i="3"/>
  <c r="CP327" i="3"/>
  <c r="CO327" i="3"/>
  <c r="CN327" i="3"/>
  <c r="CM327" i="3"/>
  <c r="CL327" i="3"/>
  <c r="CK327" i="3"/>
  <c r="CJ327" i="3"/>
  <c r="CI327" i="3"/>
  <c r="CH327" i="3"/>
  <c r="CG327" i="3"/>
  <c r="CF327" i="3"/>
  <c r="CE327" i="3"/>
  <c r="CD327" i="3"/>
  <c r="CC327" i="3"/>
  <c r="CB327" i="3"/>
  <c r="CA327" i="3"/>
  <c r="BZ327" i="3"/>
  <c r="BY327" i="3"/>
  <c r="BX327" i="3"/>
  <c r="BW327" i="3"/>
  <c r="BV327" i="3"/>
  <c r="BU327" i="3"/>
  <c r="BT327" i="3"/>
  <c r="BS327" i="3"/>
  <c r="BR327" i="3"/>
  <c r="BQ327" i="3"/>
  <c r="BP327" i="3"/>
  <c r="BO327" i="3"/>
  <c r="BN327" i="3"/>
  <c r="DU326" i="3"/>
  <c r="DT326" i="3"/>
  <c r="DS326" i="3"/>
  <c r="DR326" i="3"/>
  <c r="DQ326" i="3"/>
  <c r="DP326" i="3"/>
  <c r="DO326" i="3"/>
  <c r="DN326" i="3"/>
  <c r="DM326" i="3"/>
  <c r="DL326" i="3"/>
  <c r="DK326" i="3"/>
  <c r="DJ326" i="3"/>
  <c r="DI326" i="3"/>
  <c r="DH326" i="3"/>
  <c r="DG326" i="3"/>
  <c r="DF326" i="3"/>
  <c r="DE326" i="3"/>
  <c r="DD326" i="3"/>
  <c r="DC326" i="3"/>
  <c r="DB326" i="3"/>
  <c r="DA326" i="3"/>
  <c r="CZ326" i="3"/>
  <c r="CY326" i="3"/>
  <c r="CX326" i="3"/>
  <c r="CW326" i="3"/>
  <c r="CV326" i="3"/>
  <c r="CU326" i="3"/>
  <c r="CT326" i="3"/>
  <c r="CS326" i="3"/>
  <c r="CR326" i="3"/>
  <c r="CQ326" i="3"/>
  <c r="CP326" i="3"/>
  <c r="CO326" i="3"/>
  <c r="CN326" i="3"/>
  <c r="CM326" i="3"/>
  <c r="CL326" i="3"/>
  <c r="CK326" i="3"/>
  <c r="CJ326" i="3"/>
  <c r="CI326" i="3"/>
  <c r="CH326" i="3"/>
  <c r="CG326" i="3"/>
  <c r="CF326" i="3"/>
  <c r="CE326" i="3"/>
  <c r="CD326" i="3"/>
  <c r="CC326" i="3"/>
  <c r="CB326" i="3"/>
  <c r="CA326" i="3"/>
  <c r="BZ326" i="3"/>
  <c r="BY326" i="3"/>
  <c r="BX326" i="3"/>
  <c r="BW326" i="3"/>
  <c r="BV326" i="3"/>
  <c r="BU326" i="3"/>
  <c r="BT326" i="3"/>
  <c r="BS326" i="3"/>
  <c r="BR326" i="3"/>
  <c r="BQ326" i="3"/>
  <c r="BP326" i="3"/>
  <c r="BO326" i="3"/>
  <c r="BN326" i="3"/>
  <c r="DU325" i="3"/>
  <c r="DT325" i="3"/>
  <c r="DS325" i="3"/>
  <c r="DR325" i="3"/>
  <c r="DQ325" i="3"/>
  <c r="DP325" i="3"/>
  <c r="DO325" i="3"/>
  <c r="DN325" i="3"/>
  <c r="DM325" i="3"/>
  <c r="DL325" i="3"/>
  <c r="DK325" i="3"/>
  <c r="DJ325" i="3"/>
  <c r="DI325" i="3"/>
  <c r="DH325" i="3"/>
  <c r="DG325" i="3"/>
  <c r="DF325" i="3"/>
  <c r="DE325" i="3"/>
  <c r="DD325" i="3"/>
  <c r="DC325" i="3"/>
  <c r="DB325" i="3"/>
  <c r="DA325" i="3"/>
  <c r="CZ325" i="3"/>
  <c r="CY325" i="3"/>
  <c r="CX325" i="3"/>
  <c r="CW325" i="3"/>
  <c r="CV325" i="3"/>
  <c r="CU325" i="3"/>
  <c r="CT325" i="3"/>
  <c r="CS325" i="3"/>
  <c r="CR325" i="3"/>
  <c r="CQ325" i="3"/>
  <c r="CP325" i="3"/>
  <c r="CO325" i="3"/>
  <c r="CN325" i="3"/>
  <c r="CM325" i="3"/>
  <c r="CL325" i="3"/>
  <c r="CK325" i="3"/>
  <c r="CJ325" i="3"/>
  <c r="CI325" i="3"/>
  <c r="CH325" i="3"/>
  <c r="CG325" i="3"/>
  <c r="CF325" i="3"/>
  <c r="CE325" i="3"/>
  <c r="CD325" i="3"/>
  <c r="CC325" i="3"/>
  <c r="CB325" i="3"/>
  <c r="CA325" i="3"/>
  <c r="BZ325" i="3"/>
  <c r="BY325" i="3"/>
  <c r="BX325" i="3"/>
  <c r="BW325" i="3"/>
  <c r="BV325" i="3"/>
  <c r="BU325" i="3"/>
  <c r="BT325" i="3"/>
  <c r="BS325" i="3"/>
  <c r="BR325" i="3"/>
  <c r="BQ325" i="3"/>
  <c r="BP325" i="3"/>
  <c r="BO325" i="3"/>
  <c r="BN325" i="3"/>
  <c r="DU324" i="3"/>
  <c r="DT324" i="3"/>
  <c r="DS324" i="3"/>
  <c r="DR324" i="3"/>
  <c r="DQ324" i="3"/>
  <c r="DP324" i="3"/>
  <c r="DO324" i="3"/>
  <c r="DN324" i="3"/>
  <c r="DM324" i="3"/>
  <c r="DL324" i="3"/>
  <c r="DK324" i="3"/>
  <c r="DJ324" i="3"/>
  <c r="DI324" i="3"/>
  <c r="DH324" i="3"/>
  <c r="DG324" i="3"/>
  <c r="DF324" i="3"/>
  <c r="DE324" i="3"/>
  <c r="DD324" i="3"/>
  <c r="DC324" i="3"/>
  <c r="DB324" i="3"/>
  <c r="DA324" i="3"/>
  <c r="CZ324" i="3"/>
  <c r="CY324" i="3"/>
  <c r="CX324" i="3"/>
  <c r="CW324" i="3"/>
  <c r="CV324" i="3"/>
  <c r="CU324" i="3"/>
  <c r="CT324" i="3"/>
  <c r="CS324" i="3"/>
  <c r="CR324" i="3"/>
  <c r="CQ324" i="3"/>
  <c r="CP324" i="3"/>
  <c r="CO324" i="3"/>
  <c r="CN324" i="3"/>
  <c r="CM324" i="3"/>
  <c r="CL324" i="3"/>
  <c r="CK324" i="3"/>
  <c r="CJ324" i="3"/>
  <c r="CI324" i="3"/>
  <c r="CH324" i="3"/>
  <c r="CG324" i="3"/>
  <c r="CF324" i="3"/>
  <c r="CE324" i="3"/>
  <c r="CD324" i="3"/>
  <c r="CC324" i="3"/>
  <c r="CB324" i="3"/>
  <c r="CA324" i="3"/>
  <c r="BZ324" i="3"/>
  <c r="BY324" i="3"/>
  <c r="BX324" i="3"/>
  <c r="BW324" i="3"/>
  <c r="BV324" i="3"/>
  <c r="BU324" i="3"/>
  <c r="BT324" i="3"/>
  <c r="BS324" i="3"/>
  <c r="BR324" i="3"/>
  <c r="BQ324" i="3"/>
  <c r="BP324" i="3"/>
  <c r="BO324" i="3"/>
  <c r="BN324" i="3"/>
  <c r="E324" i="3"/>
  <c r="D324" i="3"/>
  <c r="C324" i="3"/>
  <c r="DU323" i="3"/>
  <c r="DT323" i="3"/>
  <c r="DS323" i="3"/>
  <c r="DR323" i="3"/>
  <c r="DQ323" i="3"/>
  <c r="DP323" i="3"/>
  <c r="DO323" i="3"/>
  <c r="DN323" i="3"/>
  <c r="DM323" i="3"/>
  <c r="DL323" i="3"/>
  <c r="DK323" i="3"/>
  <c r="DJ323" i="3"/>
  <c r="DI323" i="3"/>
  <c r="DH323" i="3"/>
  <c r="DG323" i="3"/>
  <c r="DF323" i="3"/>
  <c r="DE323" i="3"/>
  <c r="DD323" i="3"/>
  <c r="DC323" i="3"/>
  <c r="DB323" i="3"/>
  <c r="DA323" i="3"/>
  <c r="CZ323" i="3"/>
  <c r="CY323" i="3"/>
  <c r="CX323" i="3"/>
  <c r="CW323" i="3"/>
  <c r="CV323" i="3"/>
  <c r="CU323" i="3"/>
  <c r="CT323" i="3"/>
  <c r="CS323" i="3"/>
  <c r="CR323" i="3"/>
  <c r="CQ323" i="3"/>
  <c r="CP323" i="3"/>
  <c r="CO323" i="3"/>
  <c r="CN323" i="3"/>
  <c r="CM323" i="3"/>
  <c r="CL323" i="3"/>
  <c r="CK323" i="3"/>
  <c r="CJ323" i="3"/>
  <c r="CI323" i="3"/>
  <c r="CH323" i="3"/>
  <c r="CG323" i="3"/>
  <c r="CF323" i="3"/>
  <c r="CE323" i="3"/>
  <c r="CD323" i="3"/>
  <c r="CC323" i="3"/>
  <c r="CB323" i="3"/>
  <c r="CA323" i="3"/>
  <c r="BZ323" i="3"/>
  <c r="BY323" i="3"/>
  <c r="BX323" i="3"/>
  <c r="BW323" i="3"/>
  <c r="BV323" i="3"/>
  <c r="BU323" i="3"/>
  <c r="BT323" i="3"/>
  <c r="BS323" i="3"/>
  <c r="BR323" i="3"/>
  <c r="BQ323" i="3"/>
  <c r="BP323" i="3"/>
  <c r="BO323" i="3"/>
  <c r="BN323" i="3"/>
  <c r="DU322" i="3"/>
  <c r="DT322" i="3"/>
  <c r="DS322" i="3"/>
  <c r="DR322" i="3"/>
  <c r="DQ322" i="3"/>
  <c r="DP322" i="3"/>
  <c r="DO322" i="3"/>
  <c r="DN322" i="3"/>
  <c r="DM322" i="3"/>
  <c r="DL322" i="3"/>
  <c r="DK322" i="3"/>
  <c r="DJ322" i="3"/>
  <c r="DI322" i="3"/>
  <c r="DH322" i="3"/>
  <c r="DG322" i="3"/>
  <c r="DF322" i="3"/>
  <c r="DE322" i="3"/>
  <c r="DD322" i="3"/>
  <c r="DC322" i="3"/>
  <c r="DB322" i="3"/>
  <c r="DA322" i="3"/>
  <c r="CZ322" i="3"/>
  <c r="CY322" i="3"/>
  <c r="CX322" i="3"/>
  <c r="CW322" i="3"/>
  <c r="CV322" i="3"/>
  <c r="CU322" i="3"/>
  <c r="CT322" i="3"/>
  <c r="CS322" i="3"/>
  <c r="CR322" i="3"/>
  <c r="CQ322" i="3"/>
  <c r="CP322" i="3"/>
  <c r="CO322" i="3"/>
  <c r="CN322" i="3"/>
  <c r="CM322" i="3"/>
  <c r="CL322" i="3"/>
  <c r="CK322" i="3"/>
  <c r="CJ322" i="3"/>
  <c r="CI322" i="3"/>
  <c r="CH322" i="3"/>
  <c r="CG322" i="3"/>
  <c r="CF322" i="3"/>
  <c r="CE322" i="3"/>
  <c r="CD322" i="3"/>
  <c r="CC322" i="3"/>
  <c r="CB322" i="3"/>
  <c r="CA322" i="3"/>
  <c r="BZ322" i="3"/>
  <c r="BY322" i="3"/>
  <c r="BX322" i="3"/>
  <c r="BW322" i="3"/>
  <c r="BV322" i="3"/>
  <c r="BU322" i="3"/>
  <c r="BT322" i="3"/>
  <c r="BS322" i="3"/>
  <c r="BR322" i="3"/>
  <c r="BQ322" i="3"/>
  <c r="BP322" i="3"/>
  <c r="BO322" i="3"/>
  <c r="BN322" i="3"/>
  <c r="DU321" i="3"/>
  <c r="DT321" i="3"/>
  <c r="DS321" i="3"/>
  <c r="DR321" i="3"/>
  <c r="DQ321" i="3"/>
  <c r="DP321" i="3"/>
  <c r="DO321" i="3"/>
  <c r="DN321" i="3"/>
  <c r="DM321" i="3"/>
  <c r="DL321" i="3"/>
  <c r="DK321" i="3"/>
  <c r="DJ321" i="3"/>
  <c r="DI321" i="3"/>
  <c r="DH321" i="3"/>
  <c r="DG321" i="3"/>
  <c r="DF321" i="3"/>
  <c r="DE321" i="3"/>
  <c r="DD321" i="3"/>
  <c r="DC321" i="3"/>
  <c r="DB321" i="3"/>
  <c r="DA321" i="3"/>
  <c r="CZ321" i="3"/>
  <c r="CY321" i="3"/>
  <c r="CX321" i="3"/>
  <c r="CW321" i="3"/>
  <c r="CV321" i="3"/>
  <c r="CU321" i="3"/>
  <c r="CT321" i="3"/>
  <c r="CS321" i="3"/>
  <c r="CR321" i="3"/>
  <c r="CQ321" i="3"/>
  <c r="CP321" i="3"/>
  <c r="CO321" i="3"/>
  <c r="CN321" i="3"/>
  <c r="CM321" i="3"/>
  <c r="CL321" i="3"/>
  <c r="CK321" i="3"/>
  <c r="CJ321" i="3"/>
  <c r="CI321" i="3"/>
  <c r="CH321" i="3"/>
  <c r="CG321" i="3"/>
  <c r="CF321" i="3"/>
  <c r="CE321" i="3"/>
  <c r="CD321" i="3"/>
  <c r="CC321" i="3"/>
  <c r="CB321" i="3"/>
  <c r="CA321" i="3"/>
  <c r="BZ321" i="3"/>
  <c r="BY321" i="3"/>
  <c r="BX321" i="3"/>
  <c r="BW321" i="3"/>
  <c r="BV321" i="3"/>
  <c r="BU321" i="3"/>
  <c r="BT321" i="3"/>
  <c r="BS321" i="3"/>
  <c r="BR321" i="3"/>
  <c r="BQ321" i="3"/>
  <c r="BP321" i="3"/>
  <c r="BO321" i="3"/>
  <c r="BN321" i="3"/>
  <c r="DU320" i="3"/>
  <c r="DT320" i="3"/>
  <c r="DS320" i="3"/>
  <c r="DR320" i="3"/>
  <c r="DQ320" i="3"/>
  <c r="DP320" i="3"/>
  <c r="DO320" i="3"/>
  <c r="DN320" i="3"/>
  <c r="DM320" i="3"/>
  <c r="DL320" i="3"/>
  <c r="DK320" i="3"/>
  <c r="DJ320" i="3"/>
  <c r="DI320" i="3"/>
  <c r="DH320" i="3"/>
  <c r="DG320" i="3"/>
  <c r="DF320" i="3"/>
  <c r="DE320" i="3"/>
  <c r="DD320" i="3"/>
  <c r="DC320" i="3"/>
  <c r="DB320" i="3"/>
  <c r="DA320" i="3"/>
  <c r="CZ320" i="3"/>
  <c r="CY320" i="3"/>
  <c r="CX320" i="3"/>
  <c r="CW320" i="3"/>
  <c r="CV320" i="3"/>
  <c r="CU320" i="3"/>
  <c r="CT320" i="3"/>
  <c r="CS320" i="3"/>
  <c r="CR320" i="3"/>
  <c r="CQ320" i="3"/>
  <c r="CP320" i="3"/>
  <c r="CO320" i="3"/>
  <c r="CN320" i="3"/>
  <c r="CM320" i="3"/>
  <c r="CL320" i="3"/>
  <c r="CK320" i="3"/>
  <c r="CJ320" i="3"/>
  <c r="CI320" i="3"/>
  <c r="CH320" i="3"/>
  <c r="CG320" i="3"/>
  <c r="CF320" i="3"/>
  <c r="CE320" i="3"/>
  <c r="CD320" i="3"/>
  <c r="CC320" i="3"/>
  <c r="CB320" i="3"/>
  <c r="CA320" i="3"/>
  <c r="BZ320" i="3"/>
  <c r="BY320" i="3"/>
  <c r="BX320" i="3"/>
  <c r="BW320" i="3"/>
  <c r="BV320" i="3"/>
  <c r="BU320" i="3"/>
  <c r="BT320" i="3"/>
  <c r="BS320" i="3"/>
  <c r="BR320" i="3"/>
  <c r="BQ320" i="3"/>
  <c r="BP320" i="3"/>
  <c r="BO320" i="3"/>
  <c r="BN320" i="3"/>
  <c r="DU319" i="3"/>
  <c r="DT319" i="3"/>
  <c r="DS319" i="3"/>
  <c r="DR319" i="3"/>
  <c r="DQ319" i="3"/>
  <c r="DP319" i="3"/>
  <c r="DO319" i="3"/>
  <c r="DN319" i="3"/>
  <c r="DM319" i="3"/>
  <c r="DL319" i="3"/>
  <c r="DK319" i="3"/>
  <c r="DJ319" i="3"/>
  <c r="DI319" i="3"/>
  <c r="DH319" i="3"/>
  <c r="DG319" i="3"/>
  <c r="DF319" i="3"/>
  <c r="DE319" i="3"/>
  <c r="DD319" i="3"/>
  <c r="DC319" i="3"/>
  <c r="DB319" i="3"/>
  <c r="DA319" i="3"/>
  <c r="CZ319" i="3"/>
  <c r="CY319" i="3"/>
  <c r="CX319" i="3"/>
  <c r="CW319" i="3"/>
  <c r="CV319" i="3"/>
  <c r="CU319" i="3"/>
  <c r="CT319" i="3"/>
  <c r="CS319" i="3"/>
  <c r="CR319" i="3"/>
  <c r="CQ319" i="3"/>
  <c r="CP319" i="3"/>
  <c r="CO319" i="3"/>
  <c r="CN319" i="3"/>
  <c r="CM319" i="3"/>
  <c r="CL319" i="3"/>
  <c r="CK319" i="3"/>
  <c r="CJ319" i="3"/>
  <c r="CI319" i="3"/>
  <c r="CH319" i="3"/>
  <c r="CG319" i="3"/>
  <c r="CF319" i="3"/>
  <c r="CE319" i="3"/>
  <c r="CD319" i="3"/>
  <c r="CC319" i="3"/>
  <c r="CB319" i="3"/>
  <c r="CA319" i="3"/>
  <c r="BZ319" i="3"/>
  <c r="BY319" i="3"/>
  <c r="BX319" i="3"/>
  <c r="BW319" i="3"/>
  <c r="BV319" i="3"/>
  <c r="BU319" i="3"/>
  <c r="BT319" i="3"/>
  <c r="BS319" i="3"/>
  <c r="BR319" i="3"/>
  <c r="BQ319" i="3"/>
  <c r="BP319" i="3"/>
  <c r="BO319" i="3"/>
  <c r="BN319" i="3"/>
  <c r="C319" i="3"/>
  <c r="B319" i="3"/>
  <c r="A319" i="3"/>
  <c r="DU318" i="3"/>
  <c r="DT318" i="3"/>
  <c r="DS318" i="3"/>
  <c r="DR318" i="3"/>
  <c r="DQ318" i="3"/>
  <c r="DP318" i="3"/>
  <c r="DO318" i="3"/>
  <c r="DN318" i="3"/>
  <c r="DM318" i="3"/>
  <c r="DL318" i="3"/>
  <c r="DK318" i="3"/>
  <c r="DJ318" i="3"/>
  <c r="DI318" i="3"/>
  <c r="DH318" i="3"/>
  <c r="DG318" i="3"/>
  <c r="DF318" i="3"/>
  <c r="DE318" i="3"/>
  <c r="DD318" i="3"/>
  <c r="DC318" i="3"/>
  <c r="DB318" i="3"/>
  <c r="DA318" i="3"/>
  <c r="CZ318" i="3"/>
  <c r="CY318" i="3"/>
  <c r="CX318" i="3"/>
  <c r="CW318" i="3"/>
  <c r="CV318" i="3"/>
  <c r="CU318" i="3"/>
  <c r="CT318" i="3"/>
  <c r="CS318" i="3"/>
  <c r="CR318" i="3"/>
  <c r="CQ318" i="3"/>
  <c r="CP318" i="3"/>
  <c r="CO318" i="3"/>
  <c r="CN318" i="3"/>
  <c r="CM318" i="3"/>
  <c r="CL318" i="3"/>
  <c r="CK318" i="3"/>
  <c r="CJ318" i="3"/>
  <c r="CI318" i="3"/>
  <c r="CH318" i="3"/>
  <c r="CG318" i="3"/>
  <c r="CF318" i="3"/>
  <c r="CE318" i="3"/>
  <c r="CD318" i="3"/>
  <c r="CC318" i="3"/>
  <c r="CB318" i="3"/>
  <c r="CA318" i="3"/>
  <c r="BZ318" i="3"/>
  <c r="BY318" i="3"/>
  <c r="BX318" i="3"/>
  <c r="BW318" i="3"/>
  <c r="BV318" i="3"/>
  <c r="BU318" i="3"/>
  <c r="BT318" i="3"/>
  <c r="BS318" i="3"/>
  <c r="BR318" i="3"/>
  <c r="BQ318" i="3"/>
  <c r="BP318" i="3"/>
  <c r="BO318" i="3"/>
  <c r="BN318" i="3"/>
  <c r="DU317" i="3"/>
  <c r="DT317" i="3"/>
  <c r="DS317" i="3"/>
  <c r="DR317" i="3"/>
  <c r="DQ317" i="3"/>
  <c r="DP317" i="3"/>
  <c r="DO317" i="3"/>
  <c r="DN317" i="3"/>
  <c r="DM317" i="3"/>
  <c r="DL317" i="3"/>
  <c r="DK317" i="3"/>
  <c r="DJ317" i="3"/>
  <c r="DI317" i="3"/>
  <c r="DH317" i="3"/>
  <c r="DG317" i="3"/>
  <c r="DF317" i="3"/>
  <c r="DE317" i="3"/>
  <c r="DD317" i="3"/>
  <c r="DC317" i="3"/>
  <c r="DB317" i="3"/>
  <c r="DA317" i="3"/>
  <c r="CZ317" i="3"/>
  <c r="CY317" i="3"/>
  <c r="CX317" i="3"/>
  <c r="CW317" i="3"/>
  <c r="CV317" i="3"/>
  <c r="CU317" i="3"/>
  <c r="CT317" i="3"/>
  <c r="CS317" i="3"/>
  <c r="CR317" i="3"/>
  <c r="CQ317" i="3"/>
  <c r="CP317" i="3"/>
  <c r="CO317" i="3"/>
  <c r="CN317" i="3"/>
  <c r="CM317" i="3"/>
  <c r="CL317" i="3"/>
  <c r="CK317" i="3"/>
  <c r="CJ317" i="3"/>
  <c r="CI317" i="3"/>
  <c r="CH317" i="3"/>
  <c r="CG317" i="3"/>
  <c r="CF317" i="3"/>
  <c r="CE317" i="3"/>
  <c r="CD317" i="3"/>
  <c r="CC317" i="3"/>
  <c r="CB317" i="3"/>
  <c r="CA317" i="3"/>
  <c r="BZ317" i="3"/>
  <c r="BY317" i="3"/>
  <c r="BX317" i="3"/>
  <c r="BW317" i="3"/>
  <c r="BV317" i="3"/>
  <c r="BU317" i="3"/>
  <c r="BT317" i="3"/>
  <c r="BS317" i="3"/>
  <c r="BR317" i="3"/>
  <c r="BQ317" i="3"/>
  <c r="BP317" i="3"/>
  <c r="BO317" i="3"/>
  <c r="BN317" i="3"/>
  <c r="DU316" i="3"/>
  <c r="DT316" i="3"/>
  <c r="DS316" i="3"/>
  <c r="DR316" i="3"/>
  <c r="DQ316" i="3"/>
  <c r="DP316" i="3"/>
  <c r="DO316" i="3"/>
  <c r="DN316" i="3"/>
  <c r="DM316" i="3"/>
  <c r="DL316" i="3"/>
  <c r="DK316" i="3"/>
  <c r="DJ316" i="3"/>
  <c r="DI316" i="3"/>
  <c r="DH316" i="3"/>
  <c r="DG316" i="3"/>
  <c r="DF316" i="3"/>
  <c r="DE316" i="3"/>
  <c r="DD316" i="3"/>
  <c r="DC316" i="3"/>
  <c r="DB316" i="3"/>
  <c r="DA316" i="3"/>
  <c r="CZ316" i="3"/>
  <c r="CY316" i="3"/>
  <c r="CX316" i="3"/>
  <c r="CW316" i="3"/>
  <c r="CV316" i="3"/>
  <c r="CU316" i="3"/>
  <c r="CT316" i="3"/>
  <c r="CS316" i="3"/>
  <c r="CR316" i="3"/>
  <c r="CQ316" i="3"/>
  <c r="CP316" i="3"/>
  <c r="CO316" i="3"/>
  <c r="CN316" i="3"/>
  <c r="CM316" i="3"/>
  <c r="CL316" i="3"/>
  <c r="CK316" i="3"/>
  <c r="CJ316" i="3"/>
  <c r="CI316" i="3"/>
  <c r="CH316" i="3"/>
  <c r="CG316" i="3"/>
  <c r="CF316" i="3"/>
  <c r="CE316" i="3"/>
  <c r="CD316" i="3"/>
  <c r="CC316" i="3"/>
  <c r="CB316" i="3"/>
  <c r="CA316" i="3"/>
  <c r="BZ316" i="3"/>
  <c r="BY316" i="3"/>
  <c r="BX316" i="3"/>
  <c r="BW316" i="3"/>
  <c r="BV316" i="3"/>
  <c r="BU316" i="3"/>
  <c r="BT316" i="3"/>
  <c r="BS316" i="3"/>
  <c r="BR316" i="3"/>
  <c r="BQ316" i="3"/>
  <c r="BP316" i="3"/>
  <c r="BO316" i="3"/>
  <c r="BN316" i="3"/>
  <c r="DU315" i="3"/>
  <c r="DT315" i="3"/>
  <c r="DS315" i="3"/>
  <c r="DR315" i="3"/>
  <c r="DQ315" i="3"/>
  <c r="DP315" i="3"/>
  <c r="DO315" i="3"/>
  <c r="DN315" i="3"/>
  <c r="DM315" i="3"/>
  <c r="DL315" i="3"/>
  <c r="DK315" i="3"/>
  <c r="DJ315" i="3"/>
  <c r="DI315" i="3"/>
  <c r="DH315" i="3"/>
  <c r="DG315" i="3"/>
  <c r="DF315" i="3"/>
  <c r="DE315" i="3"/>
  <c r="DD315" i="3"/>
  <c r="DC315" i="3"/>
  <c r="DB315" i="3"/>
  <c r="DA315" i="3"/>
  <c r="CZ315" i="3"/>
  <c r="CY315" i="3"/>
  <c r="CX315" i="3"/>
  <c r="CW315" i="3"/>
  <c r="CV315" i="3"/>
  <c r="CU315" i="3"/>
  <c r="CT315" i="3"/>
  <c r="CS315" i="3"/>
  <c r="CR315" i="3"/>
  <c r="CQ315" i="3"/>
  <c r="CP315" i="3"/>
  <c r="CO315" i="3"/>
  <c r="CN315" i="3"/>
  <c r="CM315" i="3"/>
  <c r="CL315" i="3"/>
  <c r="CK315" i="3"/>
  <c r="CJ315" i="3"/>
  <c r="CI315" i="3"/>
  <c r="CH315" i="3"/>
  <c r="CG315" i="3"/>
  <c r="CF315" i="3"/>
  <c r="CE315" i="3"/>
  <c r="CD315" i="3"/>
  <c r="CC315" i="3"/>
  <c r="CB315" i="3"/>
  <c r="CA315" i="3"/>
  <c r="BZ315" i="3"/>
  <c r="BY315" i="3"/>
  <c r="BX315" i="3"/>
  <c r="BW315" i="3"/>
  <c r="BV315" i="3"/>
  <c r="BU315" i="3"/>
  <c r="BT315" i="3"/>
  <c r="BS315" i="3"/>
  <c r="BR315" i="3"/>
  <c r="BQ315" i="3"/>
  <c r="BP315" i="3"/>
  <c r="BO315" i="3"/>
  <c r="BN315" i="3"/>
  <c r="DU314" i="3"/>
  <c r="DT314" i="3"/>
  <c r="DS314" i="3"/>
  <c r="DR314" i="3"/>
  <c r="DQ314" i="3"/>
  <c r="DP314" i="3"/>
  <c r="DO314" i="3"/>
  <c r="DN314" i="3"/>
  <c r="DM314" i="3"/>
  <c r="DL314" i="3"/>
  <c r="DK314" i="3"/>
  <c r="DJ314" i="3"/>
  <c r="DI314" i="3"/>
  <c r="DH314" i="3"/>
  <c r="DG314" i="3"/>
  <c r="DF314" i="3"/>
  <c r="DE314" i="3"/>
  <c r="DD314" i="3"/>
  <c r="DC314" i="3"/>
  <c r="DB314" i="3"/>
  <c r="DA314" i="3"/>
  <c r="CZ314" i="3"/>
  <c r="CY314" i="3"/>
  <c r="CX314" i="3"/>
  <c r="CW314" i="3"/>
  <c r="CV314" i="3"/>
  <c r="CU314" i="3"/>
  <c r="CT314" i="3"/>
  <c r="CS314" i="3"/>
  <c r="CR314" i="3"/>
  <c r="CQ314" i="3"/>
  <c r="CP314" i="3"/>
  <c r="CO314" i="3"/>
  <c r="CN314" i="3"/>
  <c r="CM314" i="3"/>
  <c r="CL314" i="3"/>
  <c r="CK314" i="3"/>
  <c r="CJ314" i="3"/>
  <c r="CI314" i="3"/>
  <c r="CH314" i="3"/>
  <c r="CG314" i="3"/>
  <c r="CF314" i="3"/>
  <c r="CE314" i="3"/>
  <c r="CD314" i="3"/>
  <c r="CC314" i="3"/>
  <c r="CB314" i="3"/>
  <c r="CA314" i="3"/>
  <c r="BZ314" i="3"/>
  <c r="BY314" i="3"/>
  <c r="BX314" i="3"/>
  <c r="BW314" i="3"/>
  <c r="BV314" i="3"/>
  <c r="BU314" i="3"/>
  <c r="BT314" i="3"/>
  <c r="BS314" i="3"/>
  <c r="BR314" i="3"/>
  <c r="BQ314" i="3"/>
  <c r="BP314" i="3"/>
  <c r="BO314" i="3"/>
  <c r="BN314" i="3"/>
  <c r="A314" i="3"/>
  <c r="DU313" i="3"/>
  <c r="DT313" i="3"/>
  <c r="DS313" i="3"/>
  <c r="DR313" i="3"/>
  <c r="DQ313" i="3"/>
  <c r="DP313" i="3"/>
  <c r="DO313" i="3"/>
  <c r="DN313" i="3"/>
  <c r="DM313" i="3"/>
  <c r="DL313" i="3"/>
  <c r="DK313" i="3"/>
  <c r="DJ313" i="3"/>
  <c r="DI313" i="3"/>
  <c r="DH313" i="3"/>
  <c r="DG313" i="3"/>
  <c r="DF313" i="3"/>
  <c r="DE313" i="3"/>
  <c r="DD313" i="3"/>
  <c r="DC313" i="3"/>
  <c r="DB313" i="3"/>
  <c r="DA313" i="3"/>
  <c r="CZ313" i="3"/>
  <c r="CY313" i="3"/>
  <c r="CX313" i="3"/>
  <c r="CW313" i="3"/>
  <c r="CV313" i="3"/>
  <c r="CU313" i="3"/>
  <c r="CT313" i="3"/>
  <c r="CS313" i="3"/>
  <c r="CR313" i="3"/>
  <c r="CQ313" i="3"/>
  <c r="CP313" i="3"/>
  <c r="CO313" i="3"/>
  <c r="CN313" i="3"/>
  <c r="CM313" i="3"/>
  <c r="CL313" i="3"/>
  <c r="CK313" i="3"/>
  <c r="CJ313" i="3"/>
  <c r="CI313" i="3"/>
  <c r="CH313" i="3"/>
  <c r="CG313" i="3"/>
  <c r="CF313" i="3"/>
  <c r="CE313" i="3"/>
  <c r="CD313" i="3"/>
  <c r="CC313" i="3"/>
  <c r="CB313" i="3"/>
  <c r="CA313" i="3"/>
  <c r="BZ313" i="3"/>
  <c r="BY313" i="3"/>
  <c r="BX313" i="3"/>
  <c r="BW313" i="3"/>
  <c r="BV313" i="3"/>
  <c r="BU313" i="3"/>
  <c r="BT313" i="3"/>
  <c r="BS313" i="3"/>
  <c r="BR313" i="3"/>
  <c r="BQ313" i="3"/>
  <c r="BP313" i="3"/>
  <c r="BO313" i="3"/>
  <c r="BN313" i="3"/>
  <c r="DU312" i="3"/>
  <c r="DT312" i="3"/>
  <c r="DS312" i="3"/>
  <c r="DR312" i="3"/>
  <c r="DQ312" i="3"/>
  <c r="DP312" i="3"/>
  <c r="DO312" i="3"/>
  <c r="DN312" i="3"/>
  <c r="DM312" i="3"/>
  <c r="DL312" i="3"/>
  <c r="DK312" i="3"/>
  <c r="DJ312" i="3"/>
  <c r="DI312" i="3"/>
  <c r="DH312" i="3"/>
  <c r="DG312" i="3"/>
  <c r="DF312" i="3"/>
  <c r="DE312" i="3"/>
  <c r="DD312" i="3"/>
  <c r="DC312" i="3"/>
  <c r="DB312" i="3"/>
  <c r="DA312" i="3"/>
  <c r="CZ312" i="3"/>
  <c r="CY312" i="3"/>
  <c r="CX312" i="3"/>
  <c r="CW312" i="3"/>
  <c r="CV312" i="3"/>
  <c r="CU312" i="3"/>
  <c r="CT312" i="3"/>
  <c r="CS312" i="3"/>
  <c r="CR312" i="3"/>
  <c r="CQ312" i="3"/>
  <c r="CP312" i="3"/>
  <c r="CO312" i="3"/>
  <c r="CN312" i="3"/>
  <c r="CM312" i="3"/>
  <c r="CL312" i="3"/>
  <c r="CK312" i="3"/>
  <c r="CJ312" i="3"/>
  <c r="CI312" i="3"/>
  <c r="CH312" i="3"/>
  <c r="CG312" i="3"/>
  <c r="CF312" i="3"/>
  <c r="CE312" i="3"/>
  <c r="CD312" i="3"/>
  <c r="CC312" i="3"/>
  <c r="CB312" i="3"/>
  <c r="CA312" i="3"/>
  <c r="BZ312" i="3"/>
  <c r="BY312" i="3"/>
  <c r="BX312" i="3"/>
  <c r="BW312" i="3"/>
  <c r="BV312" i="3"/>
  <c r="BU312" i="3"/>
  <c r="BT312" i="3"/>
  <c r="BS312" i="3"/>
  <c r="BR312" i="3"/>
  <c r="BQ312" i="3"/>
  <c r="BP312" i="3"/>
  <c r="BO312" i="3"/>
  <c r="BN312" i="3"/>
  <c r="C312" i="3"/>
  <c r="B312" i="3"/>
  <c r="A312" i="3"/>
  <c r="DU311" i="3"/>
  <c r="DT311" i="3"/>
  <c r="DS311" i="3"/>
  <c r="DR311" i="3"/>
  <c r="DQ311" i="3"/>
  <c r="DP311" i="3"/>
  <c r="DO311" i="3"/>
  <c r="DN311" i="3"/>
  <c r="DM311" i="3"/>
  <c r="DL311" i="3"/>
  <c r="DK311" i="3"/>
  <c r="DJ311" i="3"/>
  <c r="DI311" i="3"/>
  <c r="DH311" i="3"/>
  <c r="DG311" i="3"/>
  <c r="DF311" i="3"/>
  <c r="DE311" i="3"/>
  <c r="DD311" i="3"/>
  <c r="DC311" i="3"/>
  <c r="DB311" i="3"/>
  <c r="DA311" i="3"/>
  <c r="CZ311" i="3"/>
  <c r="CY311" i="3"/>
  <c r="CX311" i="3"/>
  <c r="CW311" i="3"/>
  <c r="CV311" i="3"/>
  <c r="CU311" i="3"/>
  <c r="CT311" i="3"/>
  <c r="CS311" i="3"/>
  <c r="CR311" i="3"/>
  <c r="CQ311" i="3"/>
  <c r="CP311" i="3"/>
  <c r="CO311" i="3"/>
  <c r="CN311" i="3"/>
  <c r="CM311" i="3"/>
  <c r="CL311" i="3"/>
  <c r="CK311" i="3"/>
  <c r="CJ311" i="3"/>
  <c r="CI311" i="3"/>
  <c r="CH311" i="3"/>
  <c r="CG311" i="3"/>
  <c r="CF311" i="3"/>
  <c r="CE311" i="3"/>
  <c r="CD311" i="3"/>
  <c r="CC311" i="3"/>
  <c r="CB311" i="3"/>
  <c r="CA311" i="3"/>
  <c r="BZ311" i="3"/>
  <c r="BY311" i="3"/>
  <c r="BX311" i="3"/>
  <c r="BW311" i="3"/>
  <c r="BV311" i="3"/>
  <c r="BU311" i="3"/>
  <c r="BT311" i="3"/>
  <c r="BS311" i="3"/>
  <c r="BR311" i="3"/>
  <c r="BQ311" i="3"/>
  <c r="BP311" i="3"/>
  <c r="BO311" i="3"/>
  <c r="BN311" i="3"/>
  <c r="DU310" i="3"/>
  <c r="DT310" i="3"/>
  <c r="DS310" i="3"/>
  <c r="DR310" i="3"/>
  <c r="DQ310" i="3"/>
  <c r="DP310" i="3"/>
  <c r="DO310" i="3"/>
  <c r="DN310" i="3"/>
  <c r="DM310" i="3"/>
  <c r="DL310" i="3"/>
  <c r="DK310" i="3"/>
  <c r="DJ310" i="3"/>
  <c r="DI310" i="3"/>
  <c r="DH310" i="3"/>
  <c r="DG310" i="3"/>
  <c r="DF310" i="3"/>
  <c r="DE310" i="3"/>
  <c r="DD310" i="3"/>
  <c r="DC310" i="3"/>
  <c r="DB310" i="3"/>
  <c r="DA310" i="3"/>
  <c r="CZ310" i="3"/>
  <c r="CY310" i="3"/>
  <c r="CX310" i="3"/>
  <c r="CW310" i="3"/>
  <c r="CV310" i="3"/>
  <c r="CU310" i="3"/>
  <c r="CT310" i="3"/>
  <c r="CS310" i="3"/>
  <c r="CR310" i="3"/>
  <c r="CQ310" i="3"/>
  <c r="CP310" i="3"/>
  <c r="CO310" i="3"/>
  <c r="CN310" i="3"/>
  <c r="CM310" i="3"/>
  <c r="CL310" i="3"/>
  <c r="CK310" i="3"/>
  <c r="CJ310" i="3"/>
  <c r="CI310" i="3"/>
  <c r="CH310" i="3"/>
  <c r="CG310" i="3"/>
  <c r="CF310" i="3"/>
  <c r="CE310" i="3"/>
  <c r="CD310" i="3"/>
  <c r="CC310" i="3"/>
  <c r="CB310" i="3"/>
  <c r="CA310" i="3"/>
  <c r="BZ310" i="3"/>
  <c r="BY310" i="3"/>
  <c r="BX310" i="3"/>
  <c r="BW310" i="3"/>
  <c r="BV310" i="3"/>
  <c r="BU310" i="3"/>
  <c r="BT310" i="3"/>
  <c r="BS310" i="3"/>
  <c r="BR310" i="3"/>
  <c r="BQ310" i="3"/>
  <c r="BP310" i="3"/>
  <c r="BO310" i="3"/>
  <c r="BN310" i="3"/>
  <c r="DU309" i="3"/>
  <c r="DT309" i="3"/>
  <c r="DS309" i="3"/>
  <c r="DR309" i="3"/>
  <c r="DQ309" i="3"/>
  <c r="DP309" i="3"/>
  <c r="DO309" i="3"/>
  <c r="DN309" i="3"/>
  <c r="DM309" i="3"/>
  <c r="DL309" i="3"/>
  <c r="DK309" i="3"/>
  <c r="DJ309" i="3"/>
  <c r="DI309" i="3"/>
  <c r="DH309" i="3"/>
  <c r="DG309" i="3"/>
  <c r="DF309" i="3"/>
  <c r="DE309" i="3"/>
  <c r="DD309" i="3"/>
  <c r="DC309" i="3"/>
  <c r="DB309" i="3"/>
  <c r="DA309" i="3"/>
  <c r="CZ309" i="3"/>
  <c r="CY309" i="3"/>
  <c r="CX309" i="3"/>
  <c r="CW309" i="3"/>
  <c r="CV309" i="3"/>
  <c r="CU309" i="3"/>
  <c r="CT309" i="3"/>
  <c r="CS309" i="3"/>
  <c r="CR309" i="3"/>
  <c r="CQ309" i="3"/>
  <c r="CP309" i="3"/>
  <c r="CO309" i="3"/>
  <c r="CN309" i="3"/>
  <c r="CM309" i="3"/>
  <c r="CL309" i="3"/>
  <c r="CK309" i="3"/>
  <c r="CJ309" i="3"/>
  <c r="CI309" i="3"/>
  <c r="CH309" i="3"/>
  <c r="CG309" i="3"/>
  <c r="CF309" i="3"/>
  <c r="CE309" i="3"/>
  <c r="CD309" i="3"/>
  <c r="CC309" i="3"/>
  <c r="CB309" i="3"/>
  <c r="CA309" i="3"/>
  <c r="BZ309" i="3"/>
  <c r="BY309" i="3"/>
  <c r="BX309" i="3"/>
  <c r="BW309" i="3"/>
  <c r="BV309" i="3"/>
  <c r="BU309" i="3"/>
  <c r="BT309" i="3"/>
  <c r="BS309" i="3"/>
  <c r="BR309" i="3"/>
  <c r="BQ309" i="3"/>
  <c r="BP309" i="3"/>
  <c r="BO309" i="3"/>
  <c r="BN309" i="3"/>
  <c r="B309" i="3"/>
  <c r="A309" i="3"/>
  <c r="DU308" i="3"/>
  <c r="DT308" i="3"/>
  <c r="DS308" i="3"/>
  <c r="DR308" i="3"/>
  <c r="DQ308" i="3"/>
  <c r="DP308" i="3"/>
  <c r="DO308" i="3"/>
  <c r="DN308" i="3"/>
  <c r="DM308" i="3"/>
  <c r="DL308" i="3"/>
  <c r="DK308" i="3"/>
  <c r="DJ308" i="3"/>
  <c r="DI308" i="3"/>
  <c r="DH308" i="3"/>
  <c r="DG308" i="3"/>
  <c r="DF308" i="3"/>
  <c r="DE308" i="3"/>
  <c r="DD308" i="3"/>
  <c r="DC308" i="3"/>
  <c r="DB308" i="3"/>
  <c r="DA308" i="3"/>
  <c r="CZ308" i="3"/>
  <c r="CY308" i="3"/>
  <c r="CX308" i="3"/>
  <c r="CW308" i="3"/>
  <c r="CV308" i="3"/>
  <c r="CU308" i="3"/>
  <c r="CT308" i="3"/>
  <c r="CS308" i="3"/>
  <c r="CR308" i="3"/>
  <c r="CQ308" i="3"/>
  <c r="CP308" i="3"/>
  <c r="CO308" i="3"/>
  <c r="CN308" i="3"/>
  <c r="CM308" i="3"/>
  <c r="CL308" i="3"/>
  <c r="CK308" i="3"/>
  <c r="CJ308" i="3"/>
  <c r="CI308" i="3"/>
  <c r="CH308" i="3"/>
  <c r="CG308" i="3"/>
  <c r="CF308" i="3"/>
  <c r="CE308" i="3"/>
  <c r="CD308" i="3"/>
  <c r="CC308" i="3"/>
  <c r="CB308" i="3"/>
  <c r="CA308" i="3"/>
  <c r="BZ308" i="3"/>
  <c r="BY308" i="3"/>
  <c r="BX308" i="3"/>
  <c r="BW308" i="3"/>
  <c r="BV308" i="3"/>
  <c r="BU308" i="3"/>
  <c r="BT308" i="3"/>
  <c r="BS308" i="3"/>
  <c r="BR308" i="3"/>
  <c r="BQ308" i="3"/>
  <c r="BP308" i="3"/>
  <c r="BO308" i="3"/>
  <c r="BN308" i="3"/>
  <c r="DU307" i="3"/>
  <c r="DT307" i="3"/>
  <c r="DS307" i="3"/>
  <c r="DR307" i="3"/>
  <c r="DQ307" i="3"/>
  <c r="DP307" i="3"/>
  <c r="DO307" i="3"/>
  <c r="DN307" i="3"/>
  <c r="DM307" i="3"/>
  <c r="DL307" i="3"/>
  <c r="DK307" i="3"/>
  <c r="DJ307" i="3"/>
  <c r="DI307" i="3"/>
  <c r="DH307" i="3"/>
  <c r="DG307" i="3"/>
  <c r="DF307" i="3"/>
  <c r="DE307" i="3"/>
  <c r="DD307" i="3"/>
  <c r="DC307" i="3"/>
  <c r="DB307" i="3"/>
  <c r="DA307" i="3"/>
  <c r="CZ307" i="3"/>
  <c r="CY307" i="3"/>
  <c r="CX307" i="3"/>
  <c r="CW307" i="3"/>
  <c r="CV307" i="3"/>
  <c r="CU307" i="3"/>
  <c r="CT307" i="3"/>
  <c r="CS307" i="3"/>
  <c r="CR307" i="3"/>
  <c r="CQ307" i="3"/>
  <c r="CP307" i="3"/>
  <c r="CO307" i="3"/>
  <c r="CN307" i="3"/>
  <c r="CM307" i="3"/>
  <c r="CL307" i="3"/>
  <c r="CK307" i="3"/>
  <c r="CJ307" i="3"/>
  <c r="CI307" i="3"/>
  <c r="CH307" i="3"/>
  <c r="CG307" i="3"/>
  <c r="CF307" i="3"/>
  <c r="CE307" i="3"/>
  <c r="CD307" i="3"/>
  <c r="CC307" i="3"/>
  <c r="CB307" i="3"/>
  <c r="CA307" i="3"/>
  <c r="BZ307" i="3"/>
  <c r="BY307" i="3"/>
  <c r="BX307" i="3"/>
  <c r="BW307" i="3"/>
  <c r="BV307" i="3"/>
  <c r="BU307" i="3"/>
  <c r="BT307" i="3"/>
  <c r="BS307" i="3"/>
  <c r="BR307" i="3"/>
  <c r="BQ307" i="3"/>
  <c r="BP307" i="3"/>
  <c r="BO307" i="3"/>
  <c r="BN307" i="3"/>
  <c r="DU306" i="3"/>
  <c r="DT306" i="3"/>
  <c r="DS306" i="3"/>
  <c r="DR306" i="3"/>
  <c r="DQ306" i="3"/>
  <c r="DP306" i="3"/>
  <c r="DO306" i="3"/>
  <c r="DN306" i="3"/>
  <c r="DM306" i="3"/>
  <c r="DL306" i="3"/>
  <c r="DK306" i="3"/>
  <c r="DJ306" i="3"/>
  <c r="DI306" i="3"/>
  <c r="DH306" i="3"/>
  <c r="DG306" i="3"/>
  <c r="DF306" i="3"/>
  <c r="DE306" i="3"/>
  <c r="DD306" i="3"/>
  <c r="DC306" i="3"/>
  <c r="DB306" i="3"/>
  <c r="DA306" i="3"/>
  <c r="CZ306" i="3"/>
  <c r="CY306" i="3"/>
  <c r="CX306" i="3"/>
  <c r="CW306" i="3"/>
  <c r="CV306" i="3"/>
  <c r="CU306" i="3"/>
  <c r="CT306" i="3"/>
  <c r="CS306" i="3"/>
  <c r="CR306" i="3"/>
  <c r="CQ306" i="3"/>
  <c r="CP306" i="3"/>
  <c r="CO306" i="3"/>
  <c r="CN306" i="3"/>
  <c r="CM306" i="3"/>
  <c r="CL306" i="3"/>
  <c r="CK306" i="3"/>
  <c r="CJ306" i="3"/>
  <c r="CI306" i="3"/>
  <c r="CH306" i="3"/>
  <c r="CG306" i="3"/>
  <c r="CF306" i="3"/>
  <c r="CE306" i="3"/>
  <c r="CD306" i="3"/>
  <c r="CC306" i="3"/>
  <c r="CB306" i="3"/>
  <c r="CA306" i="3"/>
  <c r="BZ306" i="3"/>
  <c r="BY306" i="3"/>
  <c r="BX306" i="3"/>
  <c r="BW306" i="3"/>
  <c r="BV306" i="3"/>
  <c r="BU306" i="3"/>
  <c r="BT306" i="3"/>
  <c r="BS306" i="3"/>
  <c r="BR306" i="3"/>
  <c r="BQ306" i="3"/>
  <c r="BP306" i="3"/>
  <c r="BO306" i="3"/>
  <c r="BN306" i="3"/>
  <c r="DU305" i="3"/>
  <c r="DT305" i="3"/>
  <c r="DS305" i="3"/>
  <c r="DR305" i="3"/>
  <c r="DQ305" i="3"/>
  <c r="DP305" i="3"/>
  <c r="DO305" i="3"/>
  <c r="DN305" i="3"/>
  <c r="DM305" i="3"/>
  <c r="DL305" i="3"/>
  <c r="DK305" i="3"/>
  <c r="DJ305" i="3"/>
  <c r="DI305" i="3"/>
  <c r="DH305" i="3"/>
  <c r="DG305" i="3"/>
  <c r="DF305" i="3"/>
  <c r="DE305" i="3"/>
  <c r="DD305" i="3"/>
  <c r="DC305" i="3"/>
  <c r="DB305" i="3"/>
  <c r="DA305" i="3"/>
  <c r="CZ305" i="3"/>
  <c r="CY305" i="3"/>
  <c r="CX305" i="3"/>
  <c r="CW305" i="3"/>
  <c r="CV305" i="3"/>
  <c r="CU305" i="3"/>
  <c r="CT305" i="3"/>
  <c r="CS305" i="3"/>
  <c r="CR305" i="3"/>
  <c r="CQ305" i="3"/>
  <c r="CP305" i="3"/>
  <c r="CO305" i="3"/>
  <c r="CN305" i="3"/>
  <c r="CM305" i="3"/>
  <c r="CL305" i="3"/>
  <c r="CK305" i="3"/>
  <c r="CJ305" i="3"/>
  <c r="CI305" i="3"/>
  <c r="CH305" i="3"/>
  <c r="CG305" i="3"/>
  <c r="CF305" i="3"/>
  <c r="CE305" i="3"/>
  <c r="CD305" i="3"/>
  <c r="CC305" i="3"/>
  <c r="CB305" i="3"/>
  <c r="CA305" i="3"/>
  <c r="BZ305" i="3"/>
  <c r="BY305" i="3"/>
  <c r="BX305" i="3"/>
  <c r="BW305" i="3"/>
  <c r="BV305" i="3"/>
  <c r="BU305" i="3"/>
  <c r="BT305" i="3"/>
  <c r="BS305" i="3"/>
  <c r="BR305" i="3"/>
  <c r="BQ305" i="3"/>
  <c r="BP305" i="3"/>
  <c r="BO305" i="3"/>
  <c r="BN305" i="3"/>
  <c r="DU304" i="3"/>
  <c r="DT304" i="3"/>
  <c r="DS304" i="3"/>
  <c r="DR304" i="3"/>
  <c r="DQ304" i="3"/>
  <c r="DP304" i="3"/>
  <c r="DO304" i="3"/>
  <c r="DN304" i="3"/>
  <c r="DM304" i="3"/>
  <c r="DL304" i="3"/>
  <c r="DK304" i="3"/>
  <c r="DJ304" i="3"/>
  <c r="DI304" i="3"/>
  <c r="DH304" i="3"/>
  <c r="DG304" i="3"/>
  <c r="DF304" i="3"/>
  <c r="DE304" i="3"/>
  <c r="DD304" i="3"/>
  <c r="DC304" i="3"/>
  <c r="DB304" i="3"/>
  <c r="DA304" i="3"/>
  <c r="CZ304" i="3"/>
  <c r="CY304" i="3"/>
  <c r="CX304" i="3"/>
  <c r="CW304" i="3"/>
  <c r="CV304" i="3"/>
  <c r="CU304" i="3"/>
  <c r="CT304" i="3"/>
  <c r="CS304" i="3"/>
  <c r="CR304" i="3"/>
  <c r="CQ304" i="3"/>
  <c r="CP304" i="3"/>
  <c r="CO304" i="3"/>
  <c r="CN304" i="3"/>
  <c r="CM304" i="3"/>
  <c r="CL304" i="3"/>
  <c r="CK304" i="3"/>
  <c r="CJ304" i="3"/>
  <c r="CI304" i="3"/>
  <c r="CH304" i="3"/>
  <c r="CG304" i="3"/>
  <c r="CF304" i="3"/>
  <c r="CE304" i="3"/>
  <c r="CD304" i="3"/>
  <c r="CC304" i="3"/>
  <c r="CB304" i="3"/>
  <c r="CA304" i="3"/>
  <c r="BZ304" i="3"/>
  <c r="BY304" i="3"/>
  <c r="BX304" i="3"/>
  <c r="BW304" i="3"/>
  <c r="BV304" i="3"/>
  <c r="BU304" i="3"/>
  <c r="BT304" i="3"/>
  <c r="BS304" i="3"/>
  <c r="BR304" i="3"/>
  <c r="BQ304" i="3"/>
  <c r="BP304" i="3"/>
  <c r="BO304" i="3"/>
  <c r="BN304" i="3"/>
  <c r="DU303" i="3"/>
  <c r="DT303" i="3"/>
  <c r="DS303" i="3"/>
  <c r="DR303" i="3"/>
  <c r="DQ303" i="3"/>
  <c r="DP303" i="3"/>
  <c r="DO303" i="3"/>
  <c r="DN303" i="3"/>
  <c r="DM303" i="3"/>
  <c r="DL303" i="3"/>
  <c r="DK303" i="3"/>
  <c r="DJ303" i="3"/>
  <c r="DI303" i="3"/>
  <c r="DH303" i="3"/>
  <c r="DG303" i="3"/>
  <c r="DF303" i="3"/>
  <c r="DE303" i="3"/>
  <c r="DD303" i="3"/>
  <c r="DC303" i="3"/>
  <c r="DB303" i="3"/>
  <c r="DA303" i="3"/>
  <c r="CZ303" i="3"/>
  <c r="CY303" i="3"/>
  <c r="CX303" i="3"/>
  <c r="CW303" i="3"/>
  <c r="CV303" i="3"/>
  <c r="CU303" i="3"/>
  <c r="CT303" i="3"/>
  <c r="CS303" i="3"/>
  <c r="CR303" i="3"/>
  <c r="CQ303" i="3"/>
  <c r="CP303" i="3"/>
  <c r="CO303" i="3"/>
  <c r="CN303" i="3"/>
  <c r="CM303" i="3"/>
  <c r="CL303" i="3"/>
  <c r="CK303" i="3"/>
  <c r="CJ303" i="3"/>
  <c r="CI303" i="3"/>
  <c r="CH303" i="3"/>
  <c r="CG303" i="3"/>
  <c r="CF303" i="3"/>
  <c r="CE303" i="3"/>
  <c r="CD303" i="3"/>
  <c r="CC303" i="3"/>
  <c r="CB303" i="3"/>
  <c r="CA303" i="3"/>
  <c r="BZ303" i="3"/>
  <c r="BY303" i="3"/>
  <c r="BX303" i="3"/>
  <c r="BW303" i="3"/>
  <c r="BV303" i="3"/>
  <c r="BU303" i="3"/>
  <c r="BT303" i="3"/>
  <c r="BS303" i="3"/>
  <c r="BR303" i="3"/>
  <c r="BQ303" i="3"/>
  <c r="BP303" i="3"/>
  <c r="BO303" i="3"/>
  <c r="BN303" i="3"/>
  <c r="DU302" i="3"/>
  <c r="DT302" i="3"/>
  <c r="DS302" i="3"/>
  <c r="DR302" i="3"/>
  <c r="DQ302" i="3"/>
  <c r="DP302" i="3"/>
  <c r="DO302" i="3"/>
  <c r="DN302" i="3"/>
  <c r="DM302" i="3"/>
  <c r="DL302" i="3"/>
  <c r="DK302" i="3"/>
  <c r="DJ302" i="3"/>
  <c r="DI302" i="3"/>
  <c r="DH302" i="3"/>
  <c r="DG302" i="3"/>
  <c r="DF302" i="3"/>
  <c r="DE302" i="3"/>
  <c r="DD302" i="3"/>
  <c r="DC302" i="3"/>
  <c r="DB302" i="3"/>
  <c r="DA302" i="3"/>
  <c r="CZ302" i="3"/>
  <c r="CY302" i="3"/>
  <c r="CX302" i="3"/>
  <c r="CW302" i="3"/>
  <c r="CV302" i="3"/>
  <c r="CU302" i="3"/>
  <c r="CT302" i="3"/>
  <c r="CS302" i="3"/>
  <c r="CR302" i="3"/>
  <c r="CQ302" i="3"/>
  <c r="CP302" i="3"/>
  <c r="CO302" i="3"/>
  <c r="CN302" i="3"/>
  <c r="CM302" i="3"/>
  <c r="CL302" i="3"/>
  <c r="CK302" i="3"/>
  <c r="CJ302" i="3"/>
  <c r="CI302" i="3"/>
  <c r="CH302" i="3"/>
  <c r="CG302" i="3"/>
  <c r="CF302" i="3"/>
  <c r="CE302" i="3"/>
  <c r="CD302" i="3"/>
  <c r="CC302" i="3"/>
  <c r="CB302" i="3"/>
  <c r="CA302" i="3"/>
  <c r="BZ302" i="3"/>
  <c r="BY302" i="3"/>
  <c r="BX302" i="3"/>
  <c r="BW302" i="3"/>
  <c r="BV302" i="3"/>
  <c r="BU302" i="3"/>
  <c r="BT302" i="3"/>
  <c r="BS302" i="3"/>
  <c r="BR302" i="3"/>
  <c r="BQ302" i="3"/>
  <c r="BP302" i="3"/>
  <c r="BO302" i="3"/>
  <c r="BN302" i="3"/>
  <c r="DU301" i="3"/>
  <c r="DT301" i="3"/>
  <c r="DS301" i="3"/>
  <c r="DR301" i="3"/>
  <c r="DQ301" i="3"/>
  <c r="DP301" i="3"/>
  <c r="DO301" i="3"/>
  <c r="DN301" i="3"/>
  <c r="DM301" i="3"/>
  <c r="DL301" i="3"/>
  <c r="DK301" i="3"/>
  <c r="DJ301" i="3"/>
  <c r="DI301" i="3"/>
  <c r="DH301" i="3"/>
  <c r="DG301" i="3"/>
  <c r="DF301" i="3"/>
  <c r="DE301" i="3"/>
  <c r="DD301" i="3"/>
  <c r="DC301" i="3"/>
  <c r="DB301" i="3"/>
  <c r="DA301" i="3"/>
  <c r="CZ301" i="3"/>
  <c r="CY301" i="3"/>
  <c r="CX301" i="3"/>
  <c r="CW301" i="3"/>
  <c r="CV301" i="3"/>
  <c r="CU301" i="3"/>
  <c r="CT301" i="3"/>
  <c r="CS301" i="3"/>
  <c r="CR301" i="3"/>
  <c r="CQ301" i="3"/>
  <c r="CP301" i="3"/>
  <c r="CO301" i="3"/>
  <c r="CN301" i="3"/>
  <c r="CM301" i="3"/>
  <c r="CL301" i="3"/>
  <c r="CK301" i="3"/>
  <c r="CJ301" i="3"/>
  <c r="CI301" i="3"/>
  <c r="CH301" i="3"/>
  <c r="CG301" i="3"/>
  <c r="CF301" i="3"/>
  <c r="CE301" i="3"/>
  <c r="CD301" i="3"/>
  <c r="CC301" i="3"/>
  <c r="CB301" i="3"/>
  <c r="CA301" i="3"/>
  <c r="BZ301" i="3"/>
  <c r="BY301" i="3"/>
  <c r="BX301" i="3"/>
  <c r="BW301" i="3"/>
  <c r="BV301" i="3"/>
  <c r="BU301" i="3"/>
  <c r="BT301" i="3"/>
  <c r="BS301" i="3"/>
  <c r="BR301" i="3"/>
  <c r="BQ301" i="3"/>
  <c r="BP301" i="3"/>
  <c r="BO301" i="3"/>
  <c r="BN301" i="3"/>
  <c r="A301" i="3"/>
  <c r="DU300" i="3"/>
  <c r="DT300" i="3"/>
  <c r="DS300" i="3"/>
  <c r="DR300" i="3"/>
  <c r="DQ300" i="3"/>
  <c r="DP300" i="3"/>
  <c r="DO300" i="3"/>
  <c r="DN300" i="3"/>
  <c r="DM300" i="3"/>
  <c r="DL300" i="3"/>
  <c r="DK300" i="3"/>
  <c r="DJ300" i="3"/>
  <c r="DI300" i="3"/>
  <c r="DH300" i="3"/>
  <c r="DG300" i="3"/>
  <c r="DF300" i="3"/>
  <c r="DE300" i="3"/>
  <c r="DD300" i="3"/>
  <c r="DC300" i="3"/>
  <c r="DB300" i="3"/>
  <c r="DA300" i="3"/>
  <c r="CZ300" i="3"/>
  <c r="CY300" i="3"/>
  <c r="CX300" i="3"/>
  <c r="CW300" i="3"/>
  <c r="CV300" i="3"/>
  <c r="CU300" i="3"/>
  <c r="CT300" i="3"/>
  <c r="CS300" i="3"/>
  <c r="CR300" i="3"/>
  <c r="CQ300" i="3"/>
  <c r="CP300" i="3"/>
  <c r="CO300" i="3"/>
  <c r="CN300" i="3"/>
  <c r="CM300" i="3"/>
  <c r="CL300" i="3"/>
  <c r="CK300" i="3"/>
  <c r="CJ300" i="3"/>
  <c r="CI300" i="3"/>
  <c r="CH300" i="3"/>
  <c r="CG300" i="3"/>
  <c r="CF300" i="3"/>
  <c r="CE300" i="3"/>
  <c r="CD300" i="3"/>
  <c r="CC300" i="3"/>
  <c r="CB300" i="3"/>
  <c r="CA300" i="3"/>
  <c r="BZ300" i="3"/>
  <c r="BY300" i="3"/>
  <c r="BX300" i="3"/>
  <c r="BW300" i="3"/>
  <c r="BV300" i="3"/>
  <c r="BU300" i="3"/>
  <c r="BT300" i="3"/>
  <c r="BS300" i="3"/>
  <c r="BR300" i="3"/>
  <c r="BQ300" i="3"/>
  <c r="BP300" i="3"/>
  <c r="BO300" i="3"/>
  <c r="BN300" i="3"/>
  <c r="DU299" i="3"/>
  <c r="DT299" i="3"/>
  <c r="DS299" i="3"/>
  <c r="DR299" i="3"/>
  <c r="DQ299" i="3"/>
  <c r="DP299" i="3"/>
  <c r="DO299" i="3"/>
  <c r="DN299" i="3"/>
  <c r="DM299" i="3"/>
  <c r="DL299" i="3"/>
  <c r="DK299" i="3"/>
  <c r="DJ299" i="3"/>
  <c r="DI299" i="3"/>
  <c r="DH299" i="3"/>
  <c r="DG299" i="3"/>
  <c r="DF299" i="3"/>
  <c r="DE299" i="3"/>
  <c r="DD299" i="3"/>
  <c r="DC299" i="3"/>
  <c r="DB299" i="3"/>
  <c r="DA299" i="3"/>
  <c r="CZ299" i="3"/>
  <c r="CY299" i="3"/>
  <c r="CX299" i="3"/>
  <c r="CW299" i="3"/>
  <c r="CV299" i="3"/>
  <c r="CU299" i="3"/>
  <c r="CT299" i="3"/>
  <c r="CS299" i="3"/>
  <c r="CR299" i="3"/>
  <c r="CQ299" i="3"/>
  <c r="CP299" i="3"/>
  <c r="CO299" i="3"/>
  <c r="CN299" i="3"/>
  <c r="CM299" i="3"/>
  <c r="CL299" i="3"/>
  <c r="CK299" i="3"/>
  <c r="CJ299" i="3"/>
  <c r="CI299" i="3"/>
  <c r="CH299" i="3"/>
  <c r="CG299" i="3"/>
  <c r="CF299" i="3"/>
  <c r="CE299" i="3"/>
  <c r="CD299" i="3"/>
  <c r="CC299" i="3"/>
  <c r="CB299" i="3"/>
  <c r="CA299" i="3"/>
  <c r="BZ299" i="3"/>
  <c r="BY299" i="3"/>
  <c r="BX299" i="3"/>
  <c r="BW299" i="3"/>
  <c r="BV299" i="3"/>
  <c r="BU299" i="3"/>
  <c r="BT299" i="3"/>
  <c r="BS299" i="3"/>
  <c r="BR299" i="3"/>
  <c r="BQ299" i="3"/>
  <c r="BP299" i="3"/>
  <c r="BO299" i="3"/>
  <c r="BN299" i="3"/>
  <c r="DU298" i="3"/>
  <c r="DT298" i="3"/>
  <c r="DS298" i="3"/>
  <c r="DR298" i="3"/>
  <c r="DQ298" i="3"/>
  <c r="DP298" i="3"/>
  <c r="DO298" i="3"/>
  <c r="DN298" i="3"/>
  <c r="DM298" i="3"/>
  <c r="DL298" i="3"/>
  <c r="DK298" i="3"/>
  <c r="DJ298" i="3"/>
  <c r="DI298" i="3"/>
  <c r="DH298" i="3"/>
  <c r="DG298" i="3"/>
  <c r="DF298" i="3"/>
  <c r="DE298" i="3"/>
  <c r="DD298" i="3"/>
  <c r="DC298" i="3"/>
  <c r="DB298" i="3"/>
  <c r="DA298" i="3"/>
  <c r="CZ298" i="3"/>
  <c r="CY298" i="3"/>
  <c r="CX298" i="3"/>
  <c r="CW298" i="3"/>
  <c r="CV298" i="3"/>
  <c r="CU298" i="3"/>
  <c r="CT298" i="3"/>
  <c r="CS298" i="3"/>
  <c r="CR298" i="3"/>
  <c r="CQ298" i="3"/>
  <c r="CP298" i="3"/>
  <c r="CO298" i="3"/>
  <c r="CN298" i="3"/>
  <c r="CM298" i="3"/>
  <c r="CL298" i="3"/>
  <c r="CK298" i="3"/>
  <c r="CJ298" i="3"/>
  <c r="CI298" i="3"/>
  <c r="CH298" i="3"/>
  <c r="CG298" i="3"/>
  <c r="CF298" i="3"/>
  <c r="CE298" i="3"/>
  <c r="CD298" i="3"/>
  <c r="CC298" i="3"/>
  <c r="CB298" i="3"/>
  <c r="CA298" i="3"/>
  <c r="BZ298" i="3"/>
  <c r="BY298" i="3"/>
  <c r="BX298" i="3"/>
  <c r="BW298" i="3"/>
  <c r="BV298" i="3"/>
  <c r="BU298" i="3"/>
  <c r="BT298" i="3"/>
  <c r="BS298" i="3"/>
  <c r="BR298" i="3"/>
  <c r="BQ298" i="3"/>
  <c r="BP298" i="3"/>
  <c r="BO298" i="3"/>
  <c r="BN298" i="3"/>
  <c r="DU297" i="3"/>
  <c r="DT297" i="3"/>
  <c r="DS297" i="3"/>
  <c r="DR297" i="3"/>
  <c r="DQ297" i="3"/>
  <c r="DP297" i="3"/>
  <c r="DO297" i="3"/>
  <c r="DN297" i="3"/>
  <c r="DM297" i="3"/>
  <c r="DL297" i="3"/>
  <c r="DK297" i="3"/>
  <c r="DJ297" i="3"/>
  <c r="DI297" i="3"/>
  <c r="DH297" i="3"/>
  <c r="DG297" i="3"/>
  <c r="DF297" i="3"/>
  <c r="DE297" i="3"/>
  <c r="DD297" i="3"/>
  <c r="DC297" i="3"/>
  <c r="DB297" i="3"/>
  <c r="DA297" i="3"/>
  <c r="CZ297" i="3"/>
  <c r="CY297" i="3"/>
  <c r="CX297" i="3"/>
  <c r="CW297" i="3"/>
  <c r="CV297" i="3"/>
  <c r="CU297" i="3"/>
  <c r="CT297" i="3"/>
  <c r="CS297" i="3"/>
  <c r="CR297" i="3"/>
  <c r="CQ297" i="3"/>
  <c r="CP297" i="3"/>
  <c r="CO297" i="3"/>
  <c r="CN297" i="3"/>
  <c r="CM297" i="3"/>
  <c r="CL297" i="3"/>
  <c r="CK297" i="3"/>
  <c r="CJ297" i="3"/>
  <c r="CI297" i="3"/>
  <c r="CH297" i="3"/>
  <c r="CG297" i="3"/>
  <c r="CF297" i="3"/>
  <c r="CE297" i="3"/>
  <c r="CD297" i="3"/>
  <c r="CC297" i="3"/>
  <c r="CB297" i="3"/>
  <c r="CA297" i="3"/>
  <c r="BZ297" i="3"/>
  <c r="BY297" i="3"/>
  <c r="BX297" i="3"/>
  <c r="BW297" i="3"/>
  <c r="BV297" i="3"/>
  <c r="BU297" i="3"/>
  <c r="BT297" i="3"/>
  <c r="BS297" i="3"/>
  <c r="BR297" i="3"/>
  <c r="BQ297" i="3"/>
  <c r="BP297" i="3"/>
  <c r="BO297" i="3"/>
  <c r="BN297" i="3"/>
  <c r="D297" i="3"/>
  <c r="B297" i="3"/>
  <c r="A297" i="3"/>
  <c r="DU296" i="3"/>
  <c r="DT296" i="3"/>
  <c r="DS296" i="3"/>
  <c r="DR296" i="3"/>
  <c r="DQ296" i="3"/>
  <c r="DP296" i="3"/>
  <c r="DO296" i="3"/>
  <c r="DN296" i="3"/>
  <c r="DM296" i="3"/>
  <c r="DL296" i="3"/>
  <c r="DK296" i="3"/>
  <c r="DJ296" i="3"/>
  <c r="DI296" i="3"/>
  <c r="DH296" i="3"/>
  <c r="DG296" i="3"/>
  <c r="DF296" i="3"/>
  <c r="DE296" i="3"/>
  <c r="DD296" i="3"/>
  <c r="DC296" i="3"/>
  <c r="DB296" i="3"/>
  <c r="DA296" i="3"/>
  <c r="CZ296" i="3"/>
  <c r="CY296" i="3"/>
  <c r="CX296" i="3"/>
  <c r="CW296" i="3"/>
  <c r="CV296" i="3"/>
  <c r="CU296" i="3"/>
  <c r="CT296" i="3"/>
  <c r="CS296" i="3"/>
  <c r="CR296" i="3"/>
  <c r="CQ296" i="3"/>
  <c r="CP296" i="3"/>
  <c r="CO296" i="3"/>
  <c r="CN296" i="3"/>
  <c r="CM296" i="3"/>
  <c r="CL296" i="3"/>
  <c r="CK296" i="3"/>
  <c r="CJ296" i="3"/>
  <c r="CI296" i="3"/>
  <c r="CH296" i="3"/>
  <c r="CG296" i="3"/>
  <c r="CF296" i="3"/>
  <c r="CE296" i="3"/>
  <c r="CD296" i="3"/>
  <c r="CC296" i="3"/>
  <c r="CB296" i="3"/>
  <c r="CA296" i="3"/>
  <c r="BZ296" i="3"/>
  <c r="BY296" i="3"/>
  <c r="BX296" i="3"/>
  <c r="BW296" i="3"/>
  <c r="BV296" i="3"/>
  <c r="BU296" i="3"/>
  <c r="BT296" i="3"/>
  <c r="BS296" i="3"/>
  <c r="BR296" i="3"/>
  <c r="BQ296" i="3"/>
  <c r="BP296" i="3"/>
  <c r="BO296" i="3"/>
  <c r="BN296" i="3"/>
  <c r="DU295" i="3"/>
  <c r="DT295" i="3"/>
  <c r="DS295" i="3"/>
  <c r="DR295" i="3"/>
  <c r="DQ295" i="3"/>
  <c r="DP295" i="3"/>
  <c r="DO295" i="3"/>
  <c r="DN295" i="3"/>
  <c r="DM295" i="3"/>
  <c r="DL295" i="3"/>
  <c r="DK295" i="3"/>
  <c r="DJ295" i="3"/>
  <c r="DI295" i="3"/>
  <c r="DH295" i="3"/>
  <c r="DG295" i="3"/>
  <c r="DF295" i="3"/>
  <c r="DE295" i="3"/>
  <c r="DD295" i="3"/>
  <c r="DC295" i="3"/>
  <c r="DB295" i="3"/>
  <c r="DA295" i="3"/>
  <c r="CZ295" i="3"/>
  <c r="CY295" i="3"/>
  <c r="CX295" i="3"/>
  <c r="CW295" i="3"/>
  <c r="CV295" i="3"/>
  <c r="CU295" i="3"/>
  <c r="CT295" i="3"/>
  <c r="CS295" i="3"/>
  <c r="CR295" i="3"/>
  <c r="CQ295" i="3"/>
  <c r="CP295" i="3"/>
  <c r="CO295" i="3"/>
  <c r="CN295" i="3"/>
  <c r="CM295" i="3"/>
  <c r="CL295" i="3"/>
  <c r="CK295" i="3"/>
  <c r="CJ295" i="3"/>
  <c r="CI295" i="3"/>
  <c r="CH295" i="3"/>
  <c r="CG295" i="3"/>
  <c r="CF295" i="3"/>
  <c r="CE295" i="3"/>
  <c r="CD295" i="3"/>
  <c r="CC295" i="3"/>
  <c r="CB295" i="3"/>
  <c r="CA295" i="3"/>
  <c r="BZ295" i="3"/>
  <c r="BY295" i="3"/>
  <c r="BX295" i="3"/>
  <c r="BW295" i="3"/>
  <c r="BV295" i="3"/>
  <c r="BU295" i="3"/>
  <c r="BT295" i="3"/>
  <c r="BS295" i="3"/>
  <c r="BR295" i="3"/>
  <c r="BQ295" i="3"/>
  <c r="BP295" i="3"/>
  <c r="BO295" i="3"/>
  <c r="BN295" i="3"/>
  <c r="DU294" i="3"/>
  <c r="DT294" i="3"/>
  <c r="DS294" i="3"/>
  <c r="DR294" i="3"/>
  <c r="DQ294" i="3"/>
  <c r="DP294" i="3"/>
  <c r="DO294" i="3"/>
  <c r="DN294" i="3"/>
  <c r="DM294" i="3"/>
  <c r="DL294" i="3"/>
  <c r="DK294" i="3"/>
  <c r="DJ294" i="3"/>
  <c r="DI294" i="3"/>
  <c r="DH294" i="3"/>
  <c r="DG294" i="3"/>
  <c r="DF294" i="3"/>
  <c r="DE294" i="3"/>
  <c r="DD294" i="3"/>
  <c r="DC294" i="3"/>
  <c r="DB294" i="3"/>
  <c r="DA294" i="3"/>
  <c r="CZ294" i="3"/>
  <c r="CY294" i="3"/>
  <c r="CX294" i="3"/>
  <c r="CW294" i="3"/>
  <c r="CV294" i="3"/>
  <c r="CU294" i="3"/>
  <c r="CT294" i="3"/>
  <c r="CS294" i="3"/>
  <c r="CR294" i="3"/>
  <c r="CQ294" i="3"/>
  <c r="CP294" i="3"/>
  <c r="CO294" i="3"/>
  <c r="CN294" i="3"/>
  <c r="CM294" i="3"/>
  <c r="CL294" i="3"/>
  <c r="CK294" i="3"/>
  <c r="CJ294" i="3"/>
  <c r="CI294" i="3"/>
  <c r="CH294" i="3"/>
  <c r="CG294" i="3"/>
  <c r="CF294" i="3"/>
  <c r="CE294" i="3"/>
  <c r="CD294" i="3"/>
  <c r="CC294" i="3"/>
  <c r="CB294" i="3"/>
  <c r="CA294" i="3"/>
  <c r="BZ294" i="3"/>
  <c r="BY294" i="3"/>
  <c r="BX294" i="3"/>
  <c r="BW294" i="3"/>
  <c r="BV294" i="3"/>
  <c r="BU294" i="3"/>
  <c r="BT294" i="3"/>
  <c r="BS294" i="3"/>
  <c r="BR294" i="3"/>
  <c r="BQ294" i="3"/>
  <c r="BP294" i="3"/>
  <c r="BO294" i="3"/>
  <c r="BN294" i="3"/>
  <c r="DU293" i="3"/>
  <c r="DT293" i="3"/>
  <c r="DS293" i="3"/>
  <c r="DR293" i="3"/>
  <c r="DQ293" i="3"/>
  <c r="DP293" i="3"/>
  <c r="DO293" i="3"/>
  <c r="DN293" i="3"/>
  <c r="DM293" i="3"/>
  <c r="DL293" i="3"/>
  <c r="DK293" i="3"/>
  <c r="DJ293" i="3"/>
  <c r="DI293" i="3"/>
  <c r="DH293" i="3"/>
  <c r="DG293" i="3"/>
  <c r="DF293" i="3"/>
  <c r="DE293" i="3"/>
  <c r="DD293" i="3"/>
  <c r="DC293" i="3"/>
  <c r="DB293" i="3"/>
  <c r="DA293" i="3"/>
  <c r="CZ293" i="3"/>
  <c r="CY293" i="3"/>
  <c r="CX293" i="3"/>
  <c r="CW293" i="3"/>
  <c r="CV293" i="3"/>
  <c r="CU293" i="3"/>
  <c r="CT293" i="3"/>
  <c r="CS293" i="3"/>
  <c r="CR293" i="3"/>
  <c r="CQ293" i="3"/>
  <c r="CP293" i="3"/>
  <c r="CO293" i="3"/>
  <c r="CN293" i="3"/>
  <c r="CM293" i="3"/>
  <c r="CL293" i="3"/>
  <c r="CK293" i="3"/>
  <c r="CJ293" i="3"/>
  <c r="CI293" i="3"/>
  <c r="CH293" i="3"/>
  <c r="CG293" i="3"/>
  <c r="CF293" i="3"/>
  <c r="CE293" i="3"/>
  <c r="CD293" i="3"/>
  <c r="CC293" i="3"/>
  <c r="CB293" i="3"/>
  <c r="CA293" i="3"/>
  <c r="BZ293" i="3"/>
  <c r="BY293" i="3"/>
  <c r="BX293" i="3"/>
  <c r="BW293" i="3"/>
  <c r="BV293" i="3"/>
  <c r="BU293" i="3"/>
  <c r="BT293" i="3"/>
  <c r="BS293" i="3"/>
  <c r="BR293" i="3"/>
  <c r="BQ293" i="3"/>
  <c r="BP293" i="3"/>
  <c r="BO293" i="3"/>
  <c r="BN293" i="3"/>
  <c r="DU292" i="3"/>
  <c r="DT292" i="3"/>
  <c r="DS292" i="3"/>
  <c r="DR292" i="3"/>
  <c r="DQ292" i="3"/>
  <c r="DP292" i="3"/>
  <c r="DO292" i="3"/>
  <c r="DN292" i="3"/>
  <c r="DM292" i="3"/>
  <c r="DL292" i="3"/>
  <c r="DK292" i="3"/>
  <c r="DJ292" i="3"/>
  <c r="DI292" i="3"/>
  <c r="DH292" i="3"/>
  <c r="DG292" i="3"/>
  <c r="DF292" i="3"/>
  <c r="DE292" i="3"/>
  <c r="DD292" i="3"/>
  <c r="DC292" i="3"/>
  <c r="DB292" i="3"/>
  <c r="DA292" i="3"/>
  <c r="CZ292" i="3"/>
  <c r="CY292" i="3"/>
  <c r="CX292" i="3"/>
  <c r="CW292" i="3"/>
  <c r="CV292" i="3"/>
  <c r="CU292" i="3"/>
  <c r="CT292" i="3"/>
  <c r="CS292" i="3"/>
  <c r="CR292" i="3"/>
  <c r="CQ292" i="3"/>
  <c r="CP292" i="3"/>
  <c r="CO292" i="3"/>
  <c r="CN292" i="3"/>
  <c r="CM292" i="3"/>
  <c r="CL292" i="3"/>
  <c r="CK292" i="3"/>
  <c r="CJ292" i="3"/>
  <c r="CI292" i="3"/>
  <c r="CH292" i="3"/>
  <c r="CG292" i="3"/>
  <c r="CF292" i="3"/>
  <c r="CE292" i="3"/>
  <c r="CD292" i="3"/>
  <c r="CC292" i="3"/>
  <c r="CB292" i="3"/>
  <c r="CA292" i="3"/>
  <c r="BZ292" i="3"/>
  <c r="BY292" i="3"/>
  <c r="BX292" i="3"/>
  <c r="BW292" i="3"/>
  <c r="BV292" i="3"/>
  <c r="BU292" i="3"/>
  <c r="BT292" i="3"/>
  <c r="BS292" i="3"/>
  <c r="BR292" i="3"/>
  <c r="BQ292" i="3"/>
  <c r="BP292" i="3"/>
  <c r="BO292" i="3"/>
  <c r="BN292" i="3"/>
  <c r="DU291" i="3"/>
  <c r="DT291" i="3"/>
  <c r="DS291" i="3"/>
  <c r="DR291" i="3"/>
  <c r="DQ291" i="3"/>
  <c r="DP291" i="3"/>
  <c r="DO291" i="3"/>
  <c r="DN291" i="3"/>
  <c r="DM291" i="3"/>
  <c r="DL291" i="3"/>
  <c r="DK291" i="3"/>
  <c r="DJ291" i="3"/>
  <c r="DI291" i="3"/>
  <c r="DH291" i="3"/>
  <c r="DG291" i="3"/>
  <c r="DF291" i="3"/>
  <c r="DE291" i="3"/>
  <c r="DD291" i="3"/>
  <c r="DC291" i="3"/>
  <c r="DB291" i="3"/>
  <c r="DA291" i="3"/>
  <c r="CZ291" i="3"/>
  <c r="CY291" i="3"/>
  <c r="CX291" i="3"/>
  <c r="CW291" i="3"/>
  <c r="CV291" i="3"/>
  <c r="CU291" i="3"/>
  <c r="CT291" i="3"/>
  <c r="CS291" i="3"/>
  <c r="CR291" i="3"/>
  <c r="CQ291" i="3"/>
  <c r="CP291" i="3"/>
  <c r="CO291" i="3"/>
  <c r="CN291" i="3"/>
  <c r="CM291" i="3"/>
  <c r="CL291" i="3"/>
  <c r="CK291" i="3"/>
  <c r="CJ291" i="3"/>
  <c r="CI291" i="3"/>
  <c r="CH291" i="3"/>
  <c r="CG291" i="3"/>
  <c r="CF291" i="3"/>
  <c r="CE291" i="3"/>
  <c r="CD291" i="3"/>
  <c r="CC291" i="3"/>
  <c r="CB291" i="3"/>
  <c r="CA291" i="3"/>
  <c r="BZ291" i="3"/>
  <c r="BY291" i="3"/>
  <c r="BX291" i="3"/>
  <c r="BW291" i="3"/>
  <c r="BV291" i="3"/>
  <c r="BU291" i="3"/>
  <c r="BT291" i="3"/>
  <c r="BS291" i="3"/>
  <c r="BR291" i="3"/>
  <c r="BQ291" i="3"/>
  <c r="BP291" i="3"/>
  <c r="BO291" i="3"/>
  <c r="BN291" i="3"/>
  <c r="DU290" i="3"/>
  <c r="DT290" i="3"/>
  <c r="DS290" i="3"/>
  <c r="DR290" i="3"/>
  <c r="DQ290" i="3"/>
  <c r="DP290" i="3"/>
  <c r="DO290" i="3"/>
  <c r="DN290" i="3"/>
  <c r="DM290" i="3"/>
  <c r="DL290" i="3"/>
  <c r="DK290" i="3"/>
  <c r="DJ290" i="3"/>
  <c r="DI290" i="3"/>
  <c r="DH290" i="3"/>
  <c r="DG290" i="3"/>
  <c r="DF290" i="3"/>
  <c r="DE290" i="3"/>
  <c r="DD290" i="3"/>
  <c r="DC290" i="3"/>
  <c r="DB290" i="3"/>
  <c r="DA290" i="3"/>
  <c r="CZ290" i="3"/>
  <c r="CY290" i="3"/>
  <c r="CX290" i="3"/>
  <c r="CW290" i="3"/>
  <c r="CV290" i="3"/>
  <c r="CU290" i="3"/>
  <c r="CT290" i="3"/>
  <c r="CS290" i="3"/>
  <c r="CR290" i="3"/>
  <c r="CQ290" i="3"/>
  <c r="CP290" i="3"/>
  <c r="CO290" i="3"/>
  <c r="CN290" i="3"/>
  <c r="CM290" i="3"/>
  <c r="CL290" i="3"/>
  <c r="CK290" i="3"/>
  <c r="CJ290" i="3"/>
  <c r="CI290" i="3"/>
  <c r="CH290" i="3"/>
  <c r="CG290" i="3"/>
  <c r="CF290" i="3"/>
  <c r="CE290" i="3"/>
  <c r="CD290" i="3"/>
  <c r="CC290" i="3"/>
  <c r="CB290" i="3"/>
  <c r="CA290" i="3"/>
  <c r="BZ290" i="3"/>
  <c r="BY290" i="3"/>
  <c r="BX290" i="3"/>
  <c r="BW290" i="3"/>
  <c r="BV290" i="3"/>
  <c r="BU290" i="3"/>
  <c r="BT290" i="3"/>
  <c r="BS290" i="3"/>
  <c r="BR290" i="3"/>
  <c r="BQ290" i="3"/>
  <c r="BP290" i="3"/>
  <c r="BO290" i="3"/>
  <c r="BN290" i="3"/>
  <c r="B290" i="3"/>
  <c r="A290" i="3"/>
  <c r="DU289" i="3"/>
  <c r="DT289" i="3"/>
  <c r="DS289" i="3"/>
  <c r="DR289" i="3"/>
  <c r="DQ289" i="3"/>
  <c r="DP289" i="3"/>
  <c r="DO289" i="3"/>
  <c r="DN289" i="3"/>
  <c r="DM289" i="3"/>
  <c r="DL289" i="3"/>
  <c r="DK289" i="3"/>
  <c r="DJ289" i="3"/>
  <c r="DI289" i="3"/>
  <c r="DH289" i="3"/>
  <c r="DG289" i="3"/>
  <c r="DF289" i="3"/>
  <c r="DE289" i="3"/>
  <c r="DD289" i="3"/>
  <c r="DC289" i="3"/>
  <c r="DB289" i="3"/>
  <c r="DA289" i="3"/>
  <c r="CZ289" i="3"/>
  <c r="CY289" i="3"/>
  <c r="CX289" i="3"/>
  <c r="CW289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CA289" i="3"/>
  <c r="BZ289" i="3"/>
  <c r="BY289" i="3"/>
  <c r="BX289" i="3"/>
  <c r="BW289" i="3"/>
  <c r="BV289" i="3"/>
  <c r="BU289" i="3"/>
  <c r="BT289" i="3"/>
  <c r="BS289" i="3"/>
  <c r="BR289" i="3"/>
  <c r="BQ289" i="3"/>
  <c r="BP289" i="3"/>
  <c r="BO289" i="3"/>
  <c r="BN289" i="3"/>
  <c r="C289" i="3"/>
  <c r="B289" i="3"/>
  <c r="DU288" i="3"/>
  <c r="DT288" i="3"/>
  <c r="DS288" i="3"/>
  <c r="DR288" i="3"/>
  <c r="DQ288" i="3"/>
  <c r="DP288" i="3"/>
  <c r="DO288" i="3"/>
  <c r="DN288" i="3"/>
  <c r="DM288" i="3"/>
  <c r="DL288" i="3"/>
  <c r="DK288" i="3"/>
  <c r="DJ288" i="3"/>
  <c r="DI288" i="3"/>
  <c r="DH288" i="3"/>
  <c r="DG288" i="3"/>
  <c r="DF288" i="3"/>
  <c r="DE288" i="3"/>
  <c r="DD288" i="3"/>
  <c r="DC288" i="3"/>
  <c r="DB288" i="3"/>
  <c r="DA288" i="3"/>
  <c r="CZ288" i="3"/>
  <c r="CY288" i="3"/>
  <c r="CX288" i="3"/>
  <c r="CW288" i="3"/>
  <c r="CV288" i="3"/>
  <c r="CU288" i="3"/>
  <c r="CT288" i="3"/>
  <c r="CS288" i="3"/>
  <c r="CR288" i="3"/>
  <c r="CQ288" i="3"/>
  <c r="CP288" i="3"/>
  <c r="CO288" i="3"/>
  <c r="CN288" i="3"/>
  <c r="CM288" i="3"/>
  <c r="CL288" i="3"/>
  <c r="CK288" i="3"/>
  <c r="CJ288" i="3"/>
  <c r="CI288" i="3"/>
  <c r="CH288" i="3"/>
  <c r="CG288" i="3"/>
  <c r="CF288" i="3"/>
  <c r="CE288" i="3"/>
  <c r="CD288" i="3"/>
  <c r="CC288" i="3"/>
  <c r="CB288" i="3"/>
  <c r="CA288" i="3"/>
  <c r="BZ288" i="3"/>
  <c r="BY288" i="3"/>
  <c r="BX288" i="3"/>
  <c r="BW288" i="3"/>
  <c r="BV288" i="3"/>
  <c r="BU288" i="3"/>
  <c r="BT288" i="3"/>
  <c r="BS288" i="3"/>
  <c r="BR288" i="3"/>
  <c r="BQ288" i="3"/>
  <c r="BP288" i="3"/>
  <c r="BO288" i="3"/>
  <c r="BN288" i="3"/>
  <c r="DU287" i="3"/>
  <c r="DT287" i="3"/>
  <c r="DS287" i="3"/>
  <c r="DR287" i="3"/>
  <c r="DQ287" i="3"/>
  <c r="DP287" i="3"/>
  <c r="DO287" i="3"/>
  <c r="DN287" i="3"/>
  <c r="DM287" i="3"/>
  <c r="DL287" i="3"/>
  <c r="DK287" i="3"/>
  <c r="DJ287" i="3"/>
  <c r="DI287" i="3"/>
  <c r="DH287" i="3"/>
  <c r="DG287" i="3"/>
  <c r="DF287" i="3"/>
  <c r="DE287" i="3"/>
  <c r="DD287" i="3"/>
  <c r="DC287" i="3"/>
  <c r="DB287" i="3"/>
  <c r="DA287" i="3"/>
  <c r="CZ287" i="3"/>
  <c r="CY287" i="3"/>
  <c r="CX287" i="3"/>
  <c r="CW287" i="3"/>
  <c r="CV287" i="3"/>
  <c r="CU287" i="3"/>
  <c r="CT287" i="3"/>
  <c r="CS287" i="3"/>
  <c r="CR287" i="3"/>
  <c r="CQ287" i="3"/>
  <c r="CP287" i="3"/>
  <c r="CO287" i="3"/>
  <c r="CN287" i="3"/>
  <c r="CM287" i="3"/>
  <c r="CL287" i="3"/>
  <c r="CK287" i="3"/>
  <c r="CJ287" i="3"/>
  <c r="CI287" i="3"/>
  <c r="CH287" i="3"/>
  <c r="CG287" i="3"/>
  <c r="CF287" i="3"/>
  <c r="CE287" i="3"/>
  <c r="CD287" i="3"/>
  <c r="CC287" i="3"/>
  <c r="CB287" i="3"/>
  <c r="CA287" i="3"/>
  <c r="BZ287" i="3"/>
  <c r="BY287" i="3"/>
  <c r="BX287" i="3"/>
  <c r="BW287" i="3"/>
  <c r="BV287" i="3"/>
  <c r="BU287" i="3"/>
  <c r="BT287" i="3"/>
  <c r="BS287" i="3"/>
  <c r="BR287" i="3"/>
  <c r="BQ287" i="3"/>
  <c r="BP287" i="3"/>
  <c r="BO287" i="3"/>
  <c r="BN287" i="3"/>
  <c r="DU286" i="3"/>
  <c r="DT286" i="3"/>
  <c r="DS286" i="3"/>
  <c r="DR286" i="3"/>
  <c r="DQ286" i="3"/>
  <c r="DP286" i="3"/>
  <c r="DO286" i="3"/>
  <c r="DN286" i="3"/>
  <c r="DM286" i="3"/>
  <c r="DL286" i="3"/>
  <c r="DK286" i="3"/>
  <c r="DJ286" i="3"/>
  <c r="DI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CA286" i="3"/>
  <c r="BZ286" i="3"/>
  <c r="BY286" i="3"/>
  <c r="BX286" i="3"/>
  <c r="BW286" i="3"/>
  <c r="BV286" i="3"/>
  <c r="BU286" i="3"/>
  <c r="BT286" i="3"/>
  <c r="BS286" i="3"/>
  <c r="BR286" i="3"/>
  <c r="BQ286" i="3"/>
  <c r="BP286" i="3"/>
  <c r="BO286" i="3"/>
  <c r="BN286" i="3"/>
  <c r="E286" i="3"/>
  <c r="DU285" i="3"/>
  <c r="DT285" i="3"/>
  <c r="DS285" i="3"/>
  <c r="DR285" i="3"/>
  <c r="DQ285" i="3"/>
  <c r="DP285" i="3"/>
  <c r="DO285" i="3"/>
  <c r="DN285" i="3"/>
  <c r="DM285" i="3"/>
  <c r="DL285" i="3"/>
  <c r="DK285" i="3"/>
  <c r="DJ285" i="3"/>
  <c r="DI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CA285" i="3"/>
  <c r="BZ285" i="3"/>
  <c r="BY285" i="3"/>
  <c r="BX285" i="3"/>
  <c r="BW285" i="3"/>
  <c r="BV285" i="3"/>
  <c r="BU285" i="3"/>
  <c r="BT285" i="3"/>
  <c r="BS285" i="3"/>
  <c r="BR285" i="3"/>
  <c r="BQ285" i="3"/>
  <c r="BP285" i="3"/>
  <c r="BO285" i="3"/>
  <c r="BN285" i="3"/>
  <c r="DU284" i="3"/>
  <c r="DT284" i="3"/>
  <c r="DS284" i="3"/>
  <c r="DR284" i="3"/>
  <c r="DQ284" i="3"/>
  <c r="DP284" i="3"/>
  <c r="DO284" i="3"/>
  <c r="DN284" i="3"/>
  <c r="DM284" i="3"/>
  <c r="DL284" i="3"/>
  <c r="DK284" i="3"/>
  <c r="DJ284" i="3"/>
  <c r="DI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CA284" i="3"/>
  <c r="BZ284" i="3"/>
  <c r="BY284" i="3"/>
  <c r="BX284" i="3"/>
  <c r="BW284" i="3"/>
  <c r="BV284" i="3"/>
  <c r="BU284" i="3"/>
  <c r="BT284" i="3"/>
  <c r="BS284" i="3"/>
  <c r="BR284" i="3"/>
  <c r="BQ284" i="3"/>
  <c r="BP284" i="3"/>
  <c r="BO284" i="3"/>
  <c r="BN284" i="3"/>
  <c r="DU283" i="3"/>
  <c r="DT283" i="3"/>
  <c r="DS283" i="3"/>
  <c r="DR283" i="3"/>
  <c r="DQ283" i="3"/>
  <c r="DP283" i="3"/>
  <c r="DO283" i="3"/>
  <c r="DN283" i="3"/>
  <c r="DM283" i="3"/>
  <c r="DL283" i="3"/>
  <c r="DK283" i="3"/>
  <c r="DJ283" i="3"/>
  <c r="DI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CA283" i="3"/>
  <c r="BZ283" i="3"/>
  <c r="BY283" i="3"/>
  <c r="BX283" i="3"/>
  <c r="BW283" i="3"/>
  <c r="BV283" i="3"/>
  <c r="BU283" i="3"/>
  <c r="BT283" i="3"/>
  <c r="BS283" i="3"/>
  <c r="BR283" i="3"/>
  <c r="BQ283" i="3"/>
  <c r="BP283" i="3"/>
  <c r="BO283" i="3"/>
  <c r="BN283" i="3"/>
  <c r="DU282" i="3"/>
  <c r="DT282" i="3"/>
  <c r="DS282" i="3"/>
  <c r="DR282" i="3"/>
  <c r="DQ282" i="3"/>
  <c r="DP282" i="3"/>
  <c r="DO282" i="3"/>
  <c r="DN282" i="3"/>
  <c r="DM282" i="3"/>
  <c r="DL282" i="3"/>
  <c r="DK282" i="3"/>
  <c r="DJ282" i="3"/>
  <c r="DI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CA282" i="3"/>
  <c r="BZ282" i="3"/>
  <c r="BY282" i="3"/>
  <c r="BX282" i="3"/>
  <c r="BW282" i="3"/>
  <c r="BV282" i="3"/>
  <c r="BU282" i="3"/>
  <c r="BT282" i="3"/>
  <c r="BS282" i="3"/>
  <c r="BR282" i="3"/>
  <c r="BQ282" i="3"/>
  <c r="BP282" i="3"/>
  <c r="BO282" i="3"/>
  <c r="BN282" i="3"/>
  <c r="DU281" i="3"/>
  <c r="DT281" i="3"/>
  <c r="DS281" i="3"/>
  <c r="DR281" i="3"/>
  <c r="DQ281" i="3"/>
  <c r="DP281" i="3"/>
  <c r="DO281" i="3"/>
  <c r="DN281" i="3"/>
  <c r="DM281" i="3"/>
  <c r="DL281" i="3"/>
  <c r="DK281" i="3"/>
  <c r="DJ281" i="3"/>
  <c r="DI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CA281" i="3"/>
  <c r="BZ281" i="3"/>
  <c r="BY281" i="3"/>
  <c r="BX281" i="3"/>
  <c r="BW281" i="3"/>
  <c r="BV281" i="3"/>
  <c r="BU281" i="3"/>
  <c r="BT281" i="3"/>
  <c r="BS281" i="3"/>
  <c r="BR281" i="3"/>
  <c r="BQ281" i="3"/>
  <c r="BP281" i="3"/>
  <c r="BO281" i="3"/>
  <c r="BN281" i="3"/>
  <c r="DU280" i="3"/>
  <c r="DT280" i="3"/>
  <c r="DS280" i="3"/>
  <c r="DR280" i="3"/>
  <c r="DQ280" i="3"/>
  <c r="DP280" i="3"/>
  <c r="DO280" i="3"/>
  <c r="DN280" i="3"/>
  <c r="DM280" i="3"/>
  <c r="DL280" i="3"/>
  <c r="DK280" i="3"/>
  <c r="DJ280" i="3"/>
  <c r="DI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CA280" i="3"/>
  <c r="BZ280" i="3"/>
  <c r="BY280" i="3"/>
  <c r="BX280" i="3"/>
  <c r="BW280" i="3"/>
  <c r="BV280" i="3"/>
  <c r="BU280" i="3"/>
  <c r="BT280" i="3"/>
  <c r="BS280" i="3"/>
  <c r="BR280" i="3"/>
  <c r="BQ280" i="3"/>
  <c r="BP280" i="3"/>
  <c r="BO280" i="3"/>
  <c r="BN280" i="3"/>
  <c r="DU279" i="3"/>
  <c r="DT279" i="3"/>
  <c r="DS279" i="3"/>
  <c r="DR279" i="3"/>
  <c r="DQ279" i="3"/>
  <c r="DP279" i="3"/>
  <c r="DO279" i="3"/>
  <c r="DN279" i="3"/>
  <c r="DM279" i="3"/>
  <c r="DL279" i="3"/>
  <c r="DK279" i="3"/>
  <c r="DJ279" i="3"/>
  <c r="DI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CA279" i="3"/>
  <c r="BZ279" i="3"/>
  <c r="BY279" i="3"/>
  <c r="BX279" i="3"/>
  <c r="BW279" i="3"/>
  <c r="BV279" i="3"/>
  <c r="BU279" i="3"/>
  <c r="BT279" i="3"/>
  <c r="BS279" i="3"/>
  <c r="BR279" i="3"/>
  <c r="BQ279" i="3"/>
  <c r="BP279" i="3"/>
  <c r="BO279" i="3"/>
  <c r="BN279" i="3"/>
  <c r="DU278" i="3"/>
  <c r="DT278" i="3"/>
  <c r="DS278" i="3"/>
  <c r="DR278" i="3"/>
  <c r="DQ278" i="3"/>
  <c r="DP278" i="3"/>
  <c r="DO278" i="3"/>
  <c r="DN278" i="3"/>
  <c r="DM278" i="3"/>
  <c r="DL278" i="3"/>
  <c r="DK278" i="3"/>
  <c r="DJ278" i="3"/>
  <c r="DI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CA278" i="3"/>
  <c r="BZ278" i="3"/>
  <c r="BY278" i="3"/>
  <c r="BX278" i="3"/>
  <c r="BW278" i="3"/>
  <c r="BV278" i="3"/>
  <c r="BU278" i="3"/>
  <c r="BT278" i="3"/>
  <c r="BS278" i="3"/>
  <c r="BR278" i="3"/>
  <c r="BQ278" i="3"/>
  <c r="BP278" i="3"/>
  <c r="BO278" i="3"/>
  <c r="BN278" i="3"/>
  <c r="DU277" i="3"/>
  <c r="DT277" i="3"/>
  <c r="DS277" i="3"/>
  <c r="DR277" i="3"/>
  <c r="DQ277" i="3"/>
  <c r="DP277" i="3"/>
  <c r="DO277" i="3"/>
  <c r="DN277" i="3"/>
  <c r="DM277" i="3"/>
  <c r="DL277" i="3"/>
  <c r="DK277" i="3"/>
  <c r="DJ277" i="3"/>
  <c r="DI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CA277" i="3"/>
  <c r="BZ277" i="3"/>
  <c r="BY277" i="3"/>
  <c r="BX277" i="3"/>
  <c r="BW277" i="3"/>
  <c r="BV277" i="3"/>
  <c r="BU277" i="3"/>
  <c r="BT277" i="3"/>
  <c r="BS277" i="3"/>
  <c r="BR277" i="3"/>
  <c r="BQ277" i="3"/>
  <c r="BP277" i="3"/>
  <c r="BO277" i="3"/>
  <c r="BN277" i="3"/>
  <c r="D277" i="3"/>
  <c r="C277" i="3"/>
  <c r="B277" i="3"/>
  <c r="A277" i="3"/>
  <c r="DU276" i="3"/>
  <c r="DT276" i="3"/>
  <c r="DS276" i="3"/>
  <c r="DR276" i="3"/>
  <c r="DQ276" i="3"/>
  <c r="DP276" i="3"/>
  <c r="DO276" i="3"/>
  <c r="DN276" i="3"/>
  <c r="DM276" i="3"/>
  <c r="DL276" i="3"/>
  <c r="DK276" i="3"/>
  <c r="DJ276" i="3"/>
  <c r="DI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CA276" i="3"/>
  <c r="BZ276" i="3"/>
  <c r="BY276" i="3"/>
  <c r="BX276" i="3"/>
  <c r="BW276" i="3"/>
  <c r="BV276" i="3"/>
  <c r="BU276" i="3"/>
  <c r="BT276" i="3"/>
  <c r="BS276" i="3"/>
  <c r="BR276" i="3"/>
  <c r="BQ276" i="3"/>
  <c r="BP276" i="3"/>
  <c r="BO276" i="3"/>
  <c r="BN276" i="3"/>
  <c r="A276" i="3"/>
  <c r="DU275" i="3"/>
  <c r="DT275" i="3"/>
  <c r="DS275" i="3"/>
  <c r="DR275" i="3"/>
  <c r="DQ275" i="3"/>
  <c r="DP275" i="3"/>
  <c r="DO275" i="3"/>
  <c r="DN275" i="3"/>
  <c r="DM275" i="3"/>
  <c r="DL275" i="3"/>
  <c r="DK275" i="3"/>
  <c r="DJ275" i="3"/>
  <c r="DI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CA275" i="3"/>
  <c r="BZ275" i="3"/>
  <c r="BY275" i="3"/>
  <c r="BX275" i="3"/>
  <c r="BW275" i="3"/>
  <c r="BV275" i="3"/>
  <c r="BU275" i="3"/>
  <c r="BT275" i="3"/>
  <c r="BS275" i="3"/>
  <c r="BR275" i="3"/>
  <c r="BQ275" i="3"/>
  <c r="BP275" i="3"/>
  <c r="BO275" i="3"/>
  <c r="BN275" i="3"/>
  <c r="DU274" i="3"/>
  <c r="DT274" i="3"/>
  <c r="DS274" i="3"/>
  <c r="DR274" i="3"/>
  <c r="DQ274" i="3"/>
  <c r="DP274" i="3"/>
  <c r="DO274" i="3"/>
  <c r="DN274" i="3"/>
  <c r="DM274" i="3"/>
  <c r="DL274" i="3"/>
  <c r="DK274" i="3"/>
  <c r="DJ274" i="3"/>
  <c r="DI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CA274" i="3"/>
  <c r="BZ274" i="3"/>
  <c r="BY274" i="3"/>
  <c r="BX274" i="3"/>
  <c r="BW274" i="3"/>
  <c r="BV274" i="3"/>
  <c r="BU274" i="3"/>
  <c r="BT274" i="3"/>
  <c r="BS274" i="3"/>
  <c r="BR274" i="3"/>
  <c r="BQ274" i="3"/>
  <c r="BP274" i="3"/>
  <c r="BO274" i="3"/>
  <c r="BN274" i="3"/>
  <c r="DU273" i="3"/>
  <c r="DT273" i="3"/>
  <c r="DS273" i="3"/>
  <c r="DR273" i="3"/>
  <c r="DQ273" i="3"/>
  <c r="DP273" i="3"/>
  <c r="DO273" i="3"/>
  <c r="DN273" i="3"/>
  <c r="DM273" i="3"/>
  <c r="DL273" i="3"/>
  <c r="DK273" i="3"/>
  <c r="DJ273" i="3"/>
  <c r="DI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CA273" i="3"/>
  <c r="BZ273" i="3"/>
  <c r="BY273" i="3"/>
  <c r="BX273" i="3"/>
  <c r="BW273" i="3"/>
  <c r="BV273" i="3"/>
  <c r="BU273" i="3"/>
  <c r="BT273" i="3"/>
  <c r="BS273" i="3"/>
  <c r="BR273" i="3"/>
  <c r="BQ273" i="3"/>
  <c r="BP273" i="3"/>
  <c r="BO273" i="3"/>
  <c r="BN273" i="3"/>
  <c r="DU272" i="3"/>
  <c r="DT272" i="3"/>
  <c r="DS272" i="3"/>
  <c r="DR272" i="3"/>
  <c r="DQ272" i="3"/>
  <c r="DP272" i="3"/>
  <c r="DO272" i="3"/>
  <c r="DN272" i="3"/>
  <c r="DM272" i="3"/>
  <c r="DL272" i="3"/>
  <c r="DK272" i="3"/>
  <c r="DJ272" i="3"/>
  <c r="DI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CA272" i="3"/>
  <c r="BZ272" i="3"/>
  <c r="BY272" i="3"/>
  <c r="BX272" i="3"/>
  <c r="BW272" i="3"/>
  <c r="BV272" i="3"/>
  <c r="BU272" i="3"/>
  <c r="BT272" i="3"/>
  <c r="BS272" i="3"/>
  <c r="BR272" i="3"/>
  <c r="BQ272" i="3"/>
  <c r="BP272" i="3"/>
  <c r="BO272" i="3"/>
  <c r="BN272" i="3"/>
  <c r="DU271" i="3"/>
  <c r="DT271" i="3"/>
  <c r="DS271" i="3"/>
  <c r="DR271" i="3"/>
  <c r="DQ271" i="3"/>
  <c r="DP271" i="3"/>
  <c r="DO271" i="3"/>
  <c r="DN271" i="3"/>
  <c r="DM271" i="3"/>
  <c r="DL271" i="3"/>
  <c r="DK271" i="3"/>
  <c r="DJ271" i="3"/>
  <c r="DI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CA271" i="3"/>
  <c r="BZ271" i="3"/>
  <c r="BY271" i="3"/>
  <c r="BX271" i="3"/>
  <c r="BW271" i="3"/>
  <c r="BV271" i="3"/>
  <c r="BU271" i="3"/>
  <c r="BT271" i="3"/>
  <c r="BS271" i="3"/>
  <c r="BR271" i="3"/>
  <c r="BQ271" i="3"/>
  <c r="BP271" i="3"/>
  <c r="BO271" i="3"/>
  <c r="BN271" i="3"/>
  <c r="DU270" i="3"/>
  <c r="DT270" i="3"/>
  <c r="DS270" i="3"/>
  <c r="DR270" i="3"/>
  <c r="DQ270" i="3"/>
  <c r="DP270" i="3"/>
  <c r="DO270" i="3"/>
  <c r="DN270" i="3"/>
  <c r="DM270" i="3"/>
  <c r="DL270" i="3"/>
  <c r="DK270" i="3"/>
  <c r="DJ270" i="3"/>
  <c r="DI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CA270" i="3"/>
  <c r="BZ270" i="3"/>
  <c r="BY270" i="3"/>
  <c r="BX270" i="3"/>
  <c r="BW270" i="3"/>
  <c r="BV270" i="3"/>
  <c r="BU270" i="3"/>
  <c r="BT270" i="3"/>
  <c r="BS270" i="3"/>
  <c r="BR270" i="3"/>
  <c r="BQ270" i="3"/>
  <c r="BP270" i="3"/>
  <c r="BO270" i="3"/>
  <c r="BN270" i="3"/>
  <c r="B270" i="3"/>
  <c r="DU269" i="3"/>
  <c r="DT269" i="3"/>
  <c r="DS269" i="3"/>
  <c r="DR269" i="3"/>
  <c r="DQ269" i="3"/>
  <c r="DP269" i="3"/>
  <c r="DO269" i="3"/>
  <c r="DN269" i="3"/>
  <c r="DM269" i="3"/>
  <c r="DL269" i="3"/>
  <c r="DK269" i="3"/>
  <c r="DJ269" i="3"/>
  <c r="DI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CA269" i="3"/>
  <c r="BZ269" i="3"/>
  <c r="BY269" i="3"/>
  <c r="BX269" i="3"/>
  <c r="BW269" i="3"/>
  <c r="BV269" i="3"/>
  <c r="BU269" i="3"/>
  <c r="BT269" i="3"/>
  <c r="BS269" i="3"/>
  <c r="BR269" i="3"/>
  <c r="BQ269" i="3"/>
  <c r="BP269" i="3"/>
  <c r="BO269" i="3"/>
  <c r="BN269" i="3"/>
  <c r="DU268" i="3"/>
  <c r="DT268" i="3"/>
  <c r="DS268" i="3"/>
  <c r="DR268" i="3"/>
  <c r="DQ268" i="3"/>
  <c r="DP268" i="3"/>
  <c r="DO268" i="3"/>
  <c r="DN268" i="3"/>
  <c r="DM268" i="3"/>
  <c r="DL268" i="3"/>
  <c r="DK268" i="3"/>
  <c r="DJ268" i="3"/>
  <c r="DI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CA268" i="3"/>
  <c r="BZ268" i="3"/>
  <c r="BY268" i="3"/>
  <c r="BX268" i="3"/>
  <c r="BW268" i="3"/>
  <c r="BV268" i="3"/>
  <c r="BU268" i="3"/>
  <c r="BT268" i="3"/>
  <c r="BS268" i="3"/>
  <c r="BR268" i="3"/>
  <c r="BQ268" i="3"/>
  <c r="BP268" i="3"/>
  <c r="BO268" i="3"/>
  <c r="BN268" i="3"/>
  <c r="DU267" i="3"/>
  <c r="DT267" i="3"/>
  <c r="DS267" i="3"/>
  <c r="DR267" i="3"/>
  <c r="DQ267" i="3"/>
  <c r="DP267" i="3"/>
  <c r="DO267" i="3"/>
  <c r="DN267" i="3"/>
  <c r="DM267" i="3"/>
  <c r="DL267" i="3"/>
  <c r="DK267" i="3"/>
  <c r="DJ267" i="3"/>
  <c r="DI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CA267" i="3"/>
  <c r="BZ267" i="3"/>
  <c r="BY267" i="3"/>
  <c r="BX267" i="3"/>
  <c r="BW267" i="3"/>
  <c r="BV267" i="3"/>
  <c r="BU267" i="3"/>
  <c r="BT267" i="3"/>
  <c r="BS267" i="3"/>
  <c r="BR267" i="3"/>
  <c r="BQ267" i="3"/>
  <c r="BP267" i="3"/>
  <c r="BO267" i="3"/>
  <c r="BN267" i="3"/>
  <c r="DU266" i="3"/>
  <c r="DT266" i="3"/>
  <c r="DS266" i="3"/>
  <c r="DR266" i="3"/>
  <c r="DQ266" i="3"/>
  <c r="DP266" i="3"/>
  <c r="DO266" i="3"/>
  <c r="DN266" i="3"/>
  <c r="DM266" i="3"/>
  <c r="DL266" i="3"/>
  <c r="DK266" i="3"/>
  <c r="DJ266" i="3"/>
  <c r="DI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CA266" i="3"/>
  <c r="BZ266" i="3"/>
  <c r="BY266" i="3"/>
  <c r="BX266" i="3"/>
  <c r="BW266" i="3"/>
  <c r="BV266" i="3"/>
  <c r="BU266" i="3"/>
  <c r="BT266" i="3"/>
  <c r="BS266" i="3"/>
  <c r="BR266" i="3"/>
  <c r="BQ266" i="3"/>
  <c r="BP266" i="3"/>
  <c r="BO266" i="3"/>
  <c r="BN266" i="3"/>
  <c r="DU265" i="3"/>
  <c r="DT265" i="3"/>
  <c r="DS265" i="3"/>
  <c r="DR265" i="3"/>
  <c r="DQ265" i="3"/>
  <c r="DP265" i="3"/>
  <c r="DO265" i="3"/>
  <c r="DN265" i="3"/>
  <c r="DM265" i="3"/>
  <c r="DL265" i="3"/>
  <c r="DK265" i="3"/>
  <c r="DJ265" i="3"/>
  <c r="DI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CA265" i="3"/>
  <c r="BZ265" i="3"/>
  <c r="BY265" i="3"/>
  <c r="BX265" i="3"/>
  <c r="BW265" i="3"/>
  <c r="BV265" i="3"/>
  <c r="BU265" i="3"/>
  <c r="BT265" i="3"/>
  <c r="BS265" i="3"/>
  <c r="BR265" i="3"/>
  <c r="BQ265" i="3"/>
  <c r="BP265" i="3"/>
  <c r="BO265" i="3"/>
  <c r="BN265" i="3"/>
  <c r="E265" i="3"/>
  <c r="D265" i="3"/>
  <c r="DU264" i="3"/>
  <c r="DT264" i="3"/>
  <c r="DS264" i="3"/>
  <c r="DR264" i="3"/>
  <c r="DQ264" i="3"/>
  <c r="DP264" i="3"/>
  <c r="DO264" i="3"/>
  <c r="DN264" i="3"/>
  <c r="DM264" i="3"/>
  <c r="DL264" i="3"/>
  <c r="DK264" i="3"/>
  <c r="DJ264" i="3"/>
  <c r="DI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CA264" i="3"/>
  <c r="BZ264" i="3"/>
  <c r="BY264" i="3"/>
  <c r="BX264" i="3"/>
  <c r="BW264" i="3"/>
  <c r="BV264" i="3"/>
  <c r="BU264" i="3"/>
  <c r="BT264" i="3"/>
  <c r="BS264" i="3"/>
  <c r="BR264" i="3"/>
  <c r="BQ264" i="3"/>
  <c r="BP264" i="3"/>
  <c r="BO264" i="3"/>
  <c r="BN264" i="3"/>
  <c r="DU263" i="3"/>
  <c r="DT263" i="3"/>
  <c r="DS263" i="3"/>
  <c r="DR263" i="3"/>
  <c r="DQ263" i="3"/>
  <c r="DP263" i="3"/>
  <c r="DO263" i="3"/>
  <c r="DN263" i="3"/>
  <c r="DM263" i="3"/>
  <c r="DL263" i="3"/>
  <c r="DK263" i="3"/>
  <c r="DJ263" i="3"/>
  <c r="DI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CA263" i="3"/>
  <c r="BZ263" i="3"/>
  <c r="BY263" i="3"/>
  <c r="BX263" i="3"/>
  <c r="BW263" i="3"/>
  <c r="BV263" i="3"/>
  <c r="BU263" i="3"/>
  <c r="BT263" i="3"/>
  <c r="BS263" i="3"/>
  <c r="BR263" i="3"/>
  <c r="BQ263" i="3"/>
  <c r="BP263" i="3"/>
  <c r="BO263" i="3"/>
  <c r="BN263" i="3"/>
  <c r="DU262" i="3"/>
  <c r="DT262" i="3"/>
  <c r="DS262" i="3"/>
  <c r="DR262" i="3"/>
  <c r="DQ262" i="3"/>
  <c r="DP262" i="3"/>
  <c r="DO262" i="3"/>
  <c r="DN262" i="3"/>
  <c r="DM262" i="3"/>
  <c r="DL262" i="3"/>
  <c r="DK262" i="3"/>
  <c r="DJ262" i="3"/>
  <c r="DI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CA262" i="3"/>
  <c r="BZ262" i="3"/>
  <c r="BY262" i="3"/>
  <c r="BX262" i="3"/>
  <c r="BW262" i="3"/>
  <c r="BV262" i="3"/>
  <c r="BU262" i="3"/>
  <c r="BT262" i="3"/>
  <c r="BS262" i="3"/>
  <c r="BR262" i="3"/>
  <c r="BQ262" i="3"/>
  <c r="BP262" i="3"/>
  <c r="BO262" i="3"/>
  <c r="BN262" i="3"/>
  <c r="A262" i="3"/>
  <c r="DU261" i="3"/>
  <c r="DT261" i="3"/>
  <c r="DS261" i="3"/>
  <c r="DR261" i="3"/>
  <c r="DQ261" i="3"/>
  <c r="DP261" i="3"/>
  <c r="DO261" i="3"/>
  <c r="DN261" i="3"/>
  <c r="DM261" i="3"/>
  <c r="DL261" i="3"/>
  <c r="DK261" i="3"/>
  <c r="DJ261" i="3"/>
  <c r="DI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DU260" i="3"/>
  <c r="DT260" i="3"/>
  <c r="DS260" i="3"/>
  <c r="DR260" i="3"/>
  <c r="DQ260" i="3"/>
  <c r="DP260" i="3"/>
  <c r="DO260" i="3"/>
  <c r="DN260" i="3"/>
  <c r="DM260" i="3"/>
  <c r="DL260" i="3"/>
  <c r="DK260" i="3"/>
  <c r="DJ260" i="3"/>
  <c r="DI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DU259" i="3"/>
  <c r="DT259" i="3"/>
  <c r="DS259" i="3"/>
  <c r="DR259" i="3"/>
  <c r="DQ259" i="3"/>
  <c r="DP259" i="3"/>
  <c r="DO259" i="3"/>
  <c r="DN259" i="3"/>
  <c r="DM259" i="3"/>
  <c r="DL259" i="3"/>
  <c r="DK259" i="3"/>
  <c r="DJ259" i="3"/>
  <c r="DI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DU258" i="3"/>
  <c r="DT258" i="3"/>
  <c r="DS258" i="3"/>
  <c r="DR258" i="3"/>
  <c r="DQ258" i="3"/>
  <c r="DP258" i="3"/>
  <c r="DO258" i="3"/>
  <c r="DN258" i="3"/>
  <c r="DM258" i="3"/>
  <c r="DL258" i="3"/>
  <c r="DK258" i="3"/>
  <c r="DJ258" i="3"/>
  <c r="DI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DU257" i="3"/>
  <c r="DT257" i="3"/>
  <c r="DS257" i="3"/>
  <c r="DR257" i="3"/>
  <c r="DQ257" i="3"/>
  <c r="DP257" i="3"/>
  <c r="DO257" i="3"/>
  <c r="DN257" i="3"/>
  <c r="DM257" i="3"/>
  <c r="DL257" i="3"/>
  <c r="DK257" i="3"/>
  <c r="DJ257" i="3"/>
  <c r="DI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DU256" i="3"/>
  <c r="DT256" i="3"/>
  <c r="DS256" i="3"/>
  <c r="DR256" i="3"/>
  <c r="DQ256" i="3"/>
  <c r="DP256" i="3"/>
  <c r="DO256" i="3"/>
  <c r="DN256" i="3"/>
  <c r="DM256" i="3"/>
  <c r="DL256" i="3"/>
  <c r="DK256" i="3"/>
  <c r="DJ256" i="3"/>
  <c r="DI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DU255" i="3"/>
  <c r="DT255" i="3"/>
  <c r="DS255" i="3"/>
  <c r="DR255" i="3"/>
  <c r="DQ255" i="3"/>
  <c r="DP255" i="3"/>
  <c r="DO255" i="3"/>
  <c r="DN255" i="3"/>
  <c r="DM255" i="3"/>
  <c r="DL255" i="3"/>
  <c r="DK255" i="3"/>
  <c r="DJ255" i="3"/>
  <c r="DI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DU254" i="3"/>
  <c r="DT254" i="3"/>
  <c r="DS254" i="3"/>
  <c r="DR254" i="3"/>
  <c r="DQ254" i="3"/>
  <c r="DP254" i="3"/>
  <c r="DO254" i="3"/>
  <c r="DN254" i="3"/>
  <c r="DM254" i="3"/>
  <c r="DL254" i="3"/>
  <c r="DK254" i="3"/>
  <c r="DJ254" i="3"/>
  <c r="DI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DU253" i="3"/>
  <c r="DT253" i="3"/>
  <c r="DS253" i="3"/>
  <c r="DR253" i="3"/>
  <c r="DQ253" i="3"/>
  <c r="DP253" i="3"/>
  <c r="DO253" i="3"/>
  <c r="DN253" i="3"/>
  <c r="DM253" i="3"/>
  <c r="DL253" i="3"/>
  <c r="DK253" i="3"/>
  <c r="DJ253" i="3"/>
  <c r="DI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DU252" i="3"/>
  <c r="DT252" i="3"/>
  <c r="DS252" i="3"/>
  <c r="DR252" i="3"/>
  <c r="DQ252" i="3"/>
  <c r="DP252" i="3"/>
  <c r="DO252" i="3"/>
  <c r="DN252" i="3"/>
  <c r="DM252" i="3"/>
  <c r="DL252" i="3"/>
  <c r="DK252" i="3"/>
  <c r="DJ252" i="3"/>
  <c r="DI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C252" i="3"/>
  <c r="DU251" i="3"/>
  <c r="DT251" i="3"/>
  <c r="DS251" i="3"/>
  <c r="DR251" i="3"/>
  <c r="DQ251" i="3"/>
  <c r="DP251" i="3"/>
  <c r="DO251" i="3"/>
  <c r="DN251" i="3"/>
  <c r="DM251" i="3"/>
  <c r="DL251" i="3"/>
  <c r="DK251" i="3"/>
  <c r="DJ251" i="3"/>
  <c r="DI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E251" i="3"/>
  <c r="D251" i="3"/>
  <c r="C251" i="3"/>
  <c r="DU250" i="3"/>
  <c r="DT250" i="3"/>
  <c r="DS250" i="3"/>
  <c r="DR250" i="3"/>
  <c r="DQ250" i="3"/>
  <c r="DP250" i="3"/>
  <c r="DO250" i="3"/>
  <c r="DN250" i="3"/>
  <c r="DM250" i="3"/>
  <c r="DL250" i="3"/>
  <c r="DK250" i="3"/>
  <c r="DJ250" i="3"/>
  <c r="DI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DU249" i="3"/>
  <c r="DT249" i="3"/>
  <c r="DS249" i="3"/>
  <c r="DR249" i="3"/>
  <c r="DQ249" i="3"/>
  <c r="DP249" i="3"/>
  <c r="DO249" i="3"/>
  <c r="DN249" i="3"/>
  <c r="DM249" i="3"/>
  <c r="DL249" i="3"/>
  <c r="DK249" i="3"/>
  <c r="DJ249" i="3"/>
  <c r="DI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C249" i="3"/>
  <c r="DU248" i="3"/>
  <c r="DT248" i="3"/>
  <c r="DS248" i="3"/>
  <c r="DR248" i="3"/>
  <c r="DQ248" i="3"/>
  <c r="DP248" i="3"/>
  <c r="DO248" i="3"/>
  <c r="DN248" i="3"/>
  <c r="DM248" i="3"/>
  <c r="DL248" i="3"/>
  <c r="DK248" i="3"/>
  <c r="DJ248" i="3"/>
  <c r="DI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DU247" i="3"/>
  <c r="DT247" i="3"/>
  <c r="DS247" i="3"/>
  <c r="DR247" i="3"/>
  <c r="DQ247" i="3"/>
  <c r="DP247" i="3"/>
  <c r="DO247" i="3"/>
  <c r="DN247" i="3"/>
  <c r="DM247" i="3"/>
  <c r="DL247" i="3"/>
  <c r="DK247" i="3"/>
  <c r="DJ247" i="3"/>
  <c r="DI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DU246" i="3"/>
  <c r="DT246" i="3"/>
  <c r="DS246" i="3"/>
  <c r="DR246" i="3"/>
  <c r="DQ246" i="3"/>
  <c r="DP246" i="3"/>
  <c r="DO246" i="3"/>
  <c r="DN246" i="3"/>
  <c r="DM246" i="3"/>
  <c r="DL246" i="3"/>
  <c r="DK246" i="3"/>
  <c r="DJ246" i="3"/>
  <c r="DI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DU245" i="3"/>
  <c r="DT245" i="3"/>
  <c r="DS245" i="3"/>
  <c r="DR245" i="3"/>
  <c r="DQ245" i="3"/>
  <c r="DP245" i="3"/>
  <c r="DO245" i="3"/>
  <c r="DN245" i="3"/>
  <c r="DM245" i="3"/>
  <c r="DL245" i="3"/>
  <c r="DK245" i="3"/>
  <c r="DJ245" i="3"/>
  <c r="DI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DU244" i="3"/>
  <c r="DT244" i="3"/>
  <c r="DS244" i="3"/>
  <c r="DR244" i="3"/>
  <c r="DQ244" i="3"/>
  <c r="DP244" i="3"/>
  <c r="DO244" i="3"/>
  <c r="DN244" i="3"/>
  <c r="DM244" i="3"/>
  <c r="DL244" i="3"/>
  <c r="DK244" i="3"/>
  <c r="DJ244" i="3"/>
  <c r="DI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D244" i="3"/>
  <c r="DU243" i="3"/>
  <c r="DT243" i="3"/>
  <c r="DS243" i="3"/>
  <c r="DR243" i="3"/>
  <c r="DQ243" i="3"/>
  <c r="DP243" i="3"/>
  <c r="DO243" i="3"/>
  <c r="DN243" i="3"/>
  <c r="DM243" i="3"/>
  <c r="DL243" i="3"/>
  <c r="DK243" i="3"/>
  <c r="DJ243" i="3"/>
  <c r="DI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C243" i="3"/>
  <c r="DU242" i="3"/>
  <c r="DT242" i="3"/>
  <c r="DS242" i="3"/>
  <c r="DR242" i="3"/>
  <c r="DQ242" i="3"/>
  <c r="DP242" i="3"/>
  <c r="DO242" i="3"/>
  <c r="DN242" i="3"/>
  <c r="DM242" i="3"/>
  <c r="DL242" i="3"/>
  <c r="DK242" i="3"/>
  <c r="DJ242" i="3"/>
  <c r="DI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E242" i="3"/>
  <c r="D242" i="3"/>
  <c r="DU241" i="3"/>
  <c r="DT241" i="3"/>
  <c r="DS241" i="3"/>
  <c r="DR241" i="3"/>
  <c r="DQ241" i="3"/>
  <c r="DP241" i="3"/>
  <c r="DO241" i="3"/>
  <c r="DN241" i="3"/>
  <c r="DM241" i="3"/>
  <c r="DL241" i="3"/>
  <c r="DK241" i="3"/>
  <c r="DJ241" i="3"/>
  <c r="DI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DU240" i="3"/>
  <c r="DT240" i="3"/>
  <c r="DS240" i="3"/>
  <c r="DR240" i="3"/>
  <c r="DQ240" i="3"/>
  <c r="DP240" i="3"/>
  <c r="DO240" i="3"/>
  <c r="DN240" i="3"/>
  <c r="DM240" i="3"/>
  <c r="DL240" i="3"/>
  <c r="DK240" i="3"/>
  <c r="DJ240" i="3"/>
  <c r="DI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DU239" i="3"/>
  <c r="DT239" i="3"/>
  <c r="DS239" i="3"/>
  <c r="DR239" i="3"/>
  <c r="DQ239" i="3"/>
  <c r="DP239" i="3"/>
  <c r="DO239" i="3"/>
  <c r="DN239" i="3"/>
  <c r="DM239" i="3"/>
  <c r="DL239" i="3"/>
  <c r="DK239" i="3"/>
  <c r="DJ239" i="3"/>
  <c r="DI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DU238" i="3"/>
  <c r="DT238" i="3"/>
  <c r="DS238" i="3"/>
  <c r="DR238" i="3"/>
  <c r="DQ238" i="3"/>
  <c r="DP238" i="3"/>
  <c r="DO238" i="3"/>
  <c r="DN238" i="3"/>
  <c r="DM238" i="3"/>
  <c r="DL238" i="3"/>
  <c r="DK238" i="3"/>
  <c r="DJ238" i="3"/>
  <c r="DI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DU237" i="3"/>
  <c r="DT237" i="3"/>
  <c r="DS237" i="3"/>
  <c r="DR237" i="3"/>
  <c r="DQ237" i="3"/>
  <c r="DP237" i="3"/>
  <c r="DO237" i="3"/>
  <c r="DN237" i="3"/>
  <c r="DM237" i="3"/>
  <c r="DL237" i="3"/>
  <c r="DK237" i="3"/>
  <c r="DJ237" i="3"/>
  <c r="DI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237" i="3"/>
  <c r="DU236" i="3"/>
  <c r="DT236" i="3"/>
  <c r="DS236" i="3"/>
  <c r="DR236" i="3"/>
  <c r="DQ236" i="3"/>
  <c r="DP236" i="3"/>
  <c r="DO236" i="3"/>
  <c r="DN236" i="3"/>
  <c r="DM236" i="3"/>
  <c r="DL236" i="3"/>
  <c r="DK236" i="3"/>
  <c r="DJ236" i="3"/>
  <c r="DI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DU235" i="3"/>
  <c r="DT235" i="3"/>
  <c r="DS235" i="3"/>
  <c r="DR235" i="3"/>
  <c r="DQ235" i="3"/>
  <c r="DP235" i="3"/>
  <c r="DO235" i="3"/>
  <c r="DN235" i="3"/>
  <c r="DM235" i="3"/>
  <c r="DL235" i="3"/>
  <c r="DK235" i="3"/>
  <c r="DJ235" i="3"/>
  <c r="DI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D235" i="3"/>
  <c r="DU234" i="3"/>
  <c r="DT234" i="3"/>
  <c r="DS234" i="3"/>
  <c r="DR234" i="3"/>
  <c r="DQ234" i="3"/>
  <c r="DP234" i="3"/>
  <c r="DO234" i="3"/>
  <c r="DN234" i="3"/>
  <c r="DM234" i="3"/>
  <c r="DL234" i="3"/>
  <c r="DK234" i="3"/>
  <c r="DJ234" i="3"/>
  <c r="DI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DU233" i="3"/>
  <c r="DT233" i="3"/>
  <c r="DS233" i="3"/>
  <c r="DR233" i="3"/>
  <c r="DQ233" i="3"/>
  <c r="DP233" i="3"/>
  <c r="DO233" i="3"/>
  <c r="DN233" i="3"/>
  <c r="DM233" i="3"/>
  <c r="DL233" i="3"/>
  <c r="DK233" i="3"/>
  <c r="DJ233" i="3"/>
  <c r="DI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DU232" i="3"/>
  <c r="DT232" i="3"/>
  <c r="DS232" i="3"/>
  <c r="DR232" i="3"/>
  <c r="DQ232" i="3"/>
  <c r="DP232" i="3"/>
  <c r="DO232" i="3"/>
  <c r="DN232" i="3"/>
  <c r="DM232" i="3"/>
  <c r="DL232" i="3"/>
  <c r="DK232" i="3"/>
  <c r="DJ232" i="3"/>
  <c r="DI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DU231" i="3"/>
  <c r="DT231" i="3"/>
  <c r="DS231" i="3"/>
  <c r="DR231" i="3"/>
  <c r="DQ231" i="3"/>
  <c r="DP231" i="3"/>
  <c r="DO231" i="3"/>
  <c r="DN231" i="3"/>
  <c r="DM231" i="3"/>
  <c r="DL231" i="3"/>
  <c r="DK231" i="3"/>
  <c r="DJ231" i="3"/>
  <c r="DI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DU230" i="3"/>
  <c r="DT230" i="3"/>
  <c r="DS230" i="3"/>
  <c r="DR230" i="3"/>
  <c r="DQ230" i="3"/>
  <c r="DP230" i="3"/>
  <c r="DO230" i="3"/>
  <c r="DN230" i="3"/>
  <c r="DM230" i="3"/>
  <c r="DL230" i="3"/>
  <c r="DK230" i="3"/>
  <c r="DJ230" i="3"/>
  <c r="DI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A230" i="3"/>
  <c r="DU229" i="3"/>
  <c r="DT229" i="3"/>
  <c r="DS229" i="3"/>
  <c r="DR229" i="3"/>
  <c r="DQ229" i="3"/>
  <c r="DP229" i="3"/>
  <c r="DO229" i="3"/>
  <c r="DN229" i="3"/>
  <c r="DM229" i="3"/>
  <c r="DL229" i="3"/>
  <c r="DK229" i="3"/>
  <c r="DJ229" i="3"/>
  <c r="DI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DU228" i="3"/>
  <c r="DT228" i="3"/>
  <c r="DS228" i="3"/>
  <c r="DR228" i="3"/>
  <c r="DQ228" i="3"/>
  <c r="DP228" i="3"/>
  <c r="DO228" i="3"/>
  <c r="DN228" i="3"/>
  <c r="DM228" i="3"/>
  <c r="DL228" i="3"/>
  <c r="DK228" i="3"/>
  <c r="DJ228" i="3"/>
  <c r="DI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DU227" i="3"/>
  <c r="DT227" i="3"/>
  <c r="DS227" i="3"/>
  <c r="DR227" i="3"/>
  <c r="DQ227" i="3"/>
  <c r="DP227" i="3"/>
  <c r="DO227" i="3"/>
  <c r="DN227" i="3"/>
  <c r="DM227" i="3"/>
  <c r="DL227" i="3"/>
  <c r="DK227" i="3"/>
  <c r="DJ227" i="3"/>
  <c r="DI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CA227" i="3"/>
  <c r="BZ227" i="3"/>
  <c r="BY227" i="3"/>
  <c r="BX227" i="3"/>
  <c r="BW227" i="3"/>
  <c r="BV227" i="3"/>
  <c r="BU227" i="3"/>
  <c r="BT227" i="3"/>
  <c r="BS227" i="3"/>
  <c r="BR227" i="3"/>
  <c r="BQ227" i="3"/>
  <c r="BP227" i="3"/>
  <c r="BO227" i="3"/>
  <c r="BN227" i="3"/>
  <c r="E227" i="3"/>
  <c r="DU226" i="3"/>
  <c r="DT226" i="3"/>
  <c r="DS226" i="3"/>
  <c r="DR226" i="3"/>
  <c r="DQ226" i="3"/>
  <c r="DP226" i="3"/>
  <c r="DO226" i="3"/>
  <c r="DN226" i="3"/>
  <c r="DM226" i="3"/>
  <c r="DL226" i="3"/>
  <c r="DK226" i="3"/>
  <c r="DJ226" i="3"/>
  <c r="DI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CA226" i="3"/>
  <c r="BZ226" i="3"/>
  <c r="BY226" i="3"/>
  <c r="BX226" i="3"/>
  <c r="BW226" i="3"/>
  <c r="BV226" i="3"/>
  <c r="BU226" i="3"/>
  <c r="BT226" i="3"/>
  <c r="BS226" i="3"/>
  <c r="BR226" i="3"/>
  <c r="BQ226" i="3"/>
  <c r="BP226" i="3"/>
  <c r="BO226" i="3"/>
  <c r="BN226" i="3"/>
  <c r="DU225" i="3"/>
  <c r="DT225" i="3"/>
  <c r="DS225" i="3"/>
  <c r="DR225" i="3"/>
  <c r="DQ225" i="3"/>
  <c r="DP225" i="3"/>
  <c r="DO225" i="3"/>
  <c r="DN225" i="3"/>
  <c r="DM225" i="3"/>
  <c r="DL225" i="3"/>
  <c r="DK225" i="3"/>
  <c r="DJ225" i="3"/>
  <c r="DI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CA225" i="3"/>
  <c r="BZ225" i="3"/>
  <c r="BY225" i="3"/>
  <c r="BX225" i="3"/>
  <c r="BW225" i="3"/>
  <c r="BV225" i="3"/>
  <c r="BU225" i="3"/>
  <c r="BT225" i="3"/>
  <c r="BS225" i="3"/>
  <c r="BR225" i="3"/>
  <c r="BQ225" i="3"/>
  <c r="BP225" i="3"/>
  <c r="BO225" i="3"/>
  <c r="BN225" i="3"/>
  <c r="E225" i="3"/>
  <c r="D225" i="3"/>
  <c r="DU224" i="3"/>
  <c r="DT224" i="3"/>
  <c r="DS224" i="3"/>
  <c r="DR224" i="3"/>
  <c r="DQ224" i="3"/>
  <c r="DP224" i="3"/>
  <c r="DO224" i="3"/>
  <c r="DN224" i="3"/>
  <c r="DM224" i="3"/>
  <c r="DL224" i="3"/>
  <c r="DK224" i="3"/>
  <c r="DJ224" i="3"/>
  <c r="DI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CA224" i="3"/>
  <c r="BZ224" i="3"/>
  <c r="BY224" i="3"/>
  <c r="BX224" i="3"/>
  <c r="BW224" i="3"/>
  <c r="BV224" i="3"/>
  <c r="BU224" i="3"/>
  <c r="BT224" i="3"/>
  <c r="BS224" i="3"/>
  <c r="BR224" i="3"/>
  <c r="BQ224" i="3"/>
  <c r="BP224" i="3"/>
  <c r="BO224" i="3"/>
  <c r="BN224" i="3"/>
  <c r="DU223" i="3"/>
  <c r="DT223" i="3"/>
  <c r="DS223" i="3"/>
  <c r="DR223" i="3"/>
  <c r="DQ223" i="3"/>
  <c r="DP223" i="3"/>
  <c r="DO223" i="3"/>
  <c r="DN223" i="3"/>
  <c r="DM223" i="3"/>
  <c r="DL223" i="3"/>
  <c r="DK223" i="3"/>
  <c r="DJ223" i="3"/>
  <c r="DI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CA223" i="3"/>
  <c r="BZ223" i="3"/>
  <c r="BY223" i="3"/>
  <c r="BX223" i="3"/>
  <c r="BW223" i="3"/>
  <c r="BV223" i="3"/>
  <c r="BU223" i="3"/>
  <c r="BT223" i="3"/>
  <c r="BS223" i="3"/>
  <c r="BR223" i="3"/>
  <c r="BQ223" i="3"/>
  <c r="BP223" i="3"/>
  <c r="BO223" i="3"/>
  <c r="BN223" i="3"/>
  <c r="DU222" i="3"/>
  <c r="DT222" i="3"/>
  <c r="DS222" i="3"/>
  <c r="DR222" i="3"/>
  <c r="DQ222" i="3"/>
  <c r="DP222" i="3"/>
  <c r="DO222" i="3"/>
  <c r="DN222" i="3"/>
  <c r="DM222" i="3"/>
  <c r="DL222" i="3"/>
  <c r="DK222" i="3"/>
  <c r="DJ222" i="3"/>
  <c r="DI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CA222" i="3"/>
  <c r="BZ222" i="3"/>
  <c r="BY222" i="3"/>
  <c r="BX222" i="3"/>
  <c r="BW222" i="3"/>
  <c r="BV222" i="3"/>
  <c r="BU222" i="3"/>
  <c r="BT222" i="3"/>
  <c r="BS222" i="3"/>
  <c r="BR222" i="3"/>
  <c r="BQ222" i="3"/>
  <c r="BP222" i="3"/>
  <c r="BO222" i="3"/>
  <c r="BN222" i="3"/>
  <c r="B222" i="3"/>
  <c r="DU221" i="3"/>
  <c r="DT221" i="3"/>
  <c r="DS221" i="3"/>
  <c r="DR221" i="3"/>
  <c r="DQ221" i="3"/>
  <c r="DP221" i="3"/>
  <c r="DO221" i="3"/>
  <c r="DN221" i="3"/>
  <c r="DM221" i="3"/>
  <c r="DL221" i="3"/>
  <c r="DK221" i="3"/>
  <c r="DJ221" i="3"/>
  <c r="DI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CA221" i="3"/>
  <c r="BZ221" i="3"/>
  <c r="BY221" i="3"/>
  <c r="BX221" i="3"/>
  <c r="BW221" i="3"/>
  <c r="BV221" i="3"/>
  <c r="BU221" i="3"/>
  <c r="BT221" i="3"/>
  <c r="BS221" i="3"/>
  <c r="BR221" i="3"/>
  <c r="BQ221" i="3"/>
  <c r="BP221" i="3"/>
  <c r="BO221" i="3"/>
  <c r="BN221" i="3"/>
  <c r="DU220" i="3"/>
  <c r="DT220" i="3"/>
  <c r="DS220" i="3"/>
  <c r="DR220" i="3"/>
  <c r="DQ220" i="3"/>
  <c r="DP220" i="3"/>
  <c r="DO220" i="3"/>
  <c r="DN220" i="3"/>
  <c r="DM220" i="3"/>
  <c r="DL220" i="3"/>
  <c r="DK220" i="3"/>
  <c r="DJ220" i="3"/>
  <c r="DI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CA220" i="3"/>
  <c r="BZ220" i="3"/>
  <c r="BY220" i="3"/>
  <c r="BX220" i="3"/>
  <c r="BW220" i="3"/>
  <c r="BV220" i="3"/>
  <c r="BU220" i="3"/>
  <c r="BT220" i="3"/>
  <c r="BS220" i="3"/>
  <c r="BR220" i="3"/>
  <c r="BQ220" i="3"/>
  <c r="BP220" i="3"/>
  <c r="BO220" i="3"/>
  <c r="BN220" i="3"/>
  <c r="DU219" i="3"/>
  <c r="DT219" i="3"/>
  <c r="DS219" i="3"/>
  <c r="DR219" i="3"/>
  <c r="DQ219" i="3"/>
  <c r="DP219" i="3"/>
  <c r="DO219" i="3"/>
  <c r="DN219" i="3"/>
  <c r="DM219" i="3"/>
  <c r="DL219" i="3"/>
  <c r="DK219" i="3"/>
  <c r="DJ219" i="3"/>
  <c r="DI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CA219" i="3"/>
  <c r="BZ219" i="3"/>
  <c r="BY219" i="3"/>
  <c r="BX219" i="3"/>
  <c r="BW219" i="3"/>
  <c r="BV219" i="3"/>
  <c r="BU219" i="3"/>
  <c r="BT219" i="3"/>
  <c r="BS219" i="3"/>
  <c r="BR219" i="3"/>
  <c r="BQ219" i="3"/>
  <c r="BP219" i="3"/>
  <c r="BO219" i="3"/>
  <c r="BN219" i="3"/>
  <c r="DU218" i="3"/>
  <c r="DT218" i="3"/>
  <c r="DS218" i="3"/>
  <c r="DR218" i="3"/>
  <c r="DQ218" i="3"/>
  <c r="DP218" i="3"/>
  <c r="DO218" i="3"/>
  <c r="DN218" i="3"/>
  <c r="DM218" i="3"/>
  <c r="DL218" i="3"/>
  <c r="DK218" i="3"/>
  <c r="DJ218" i="3"/>
  <c r="DI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CA218" i="3"/>
  <c r="BZ218" i="3"/>
  <c r="BY218" i="3"/>
  <c r="BX218" i="3"/>
  <c r="BW218" i="3"/>
  <c r="BV218" i="3"/>
  <c r="BU218" i="3"/>
  <c r="BT218" i="3"/>
  <c r="BS218" i="3"/>
  <c r="BR218" i="3"/>
  <c r="BQ218" i="3"/>
  <c r="BP218" i="3"/>
  <c r="BO218" i="3"/>
  <c r="BN218" i="3"/>
  <c r="D218" i="3"/>
  <c r="C218" i="3"/>
  <c r="DU217" i="3"/>
  <c r="DT217" i="3"/>
  <c r="DS217" i="3"/>
  <c r="DR217" i="3"/>
  <c r="DQ217" i="3"/>
  <c r="DP217" i="3"/>
  <c r="DO217" i="3"/>
  <c r="DN217" i="3"/>
  <c r="DM217" i="3"/>
  <c r="DL217" i="3"/>
  <c r="DK217" i="3"/>
  <c r="DJ217" i="3"/>
  <c r="DI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CA217" i="3"/>
  <c r="BZ217" i="3"/>
  <c r="BY217" i="3"/>
  <c r="BX217" i="3"/>
  <c r="BW217" i="3"/>
  <c r="BV217" i="3"/>
  <c r="BU217" i="3"/>
  <c r="BT217" i="3"/>
  <c r="BS217" i="3"/>
  <c r="BR217" i="3"/>
  <c r="BQ217" i="3"/>
  <c r="BP217" i="3"/>
  <c r="BO217" i="3"/>
  <c r="BN217" i="3"/>
  <c r="DU216" i="3"/>
  <c r="DT216" i="3"/>
  <c r="DS216" i="3"/>
  <c r="DR216" i="3"/>
  <c r="DQ216" i="3"/>
  <c r="DP216" i="3"/>
  <c r="DO216" i="3"/>
  <c r="DN216" i="3"/>
  <c r="DM216" i="3"/>
  <c r="DL216" i="3"/>
  <c r="DK216" i="3"/>
  <c r="DJ216" i="3"/>
  <c r="DI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CA216" i="3"/>
  <c r="BZ216" i="3"/>
  <c r="BY216" i="3"/>
  <c r="BX216" i="3"/>
  <c r="BW216" i="3"/>
  <c r="BV216" i="3"/>
  <c r="BU216" i="3"/>
  <c r="BT216" i="3"/>
  <c r="BS216" i="3"/>
  <c r="BR216" i="3"/>
  <c r="BQ216" i="3"/>
  <c r="BP216" i="3"/>
  <c r="BO216" i="3"/>
  <c r="BN216" i="3"/>
  <c r="DU215" i="3"/>
  <c r="DT215" i="3"/>
  <c r="DS215" i="3"/>
  <c r="DR215" i="3"/>
  <c r="DQ215" i="3"/>
  <c r="DP215" i="3"/>
  <c r="DO215" i="3"/>
  <c r="DN215" i="3"/>
  <c r="DM215" i="3"/>
  <c r="DL215" i="3"/>
  <c r="DK215" i="3"/>
  <c r="DJ215" i="3"/>
  <c r="DI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CA215" i="3"/>
  <c r="BZ215" i="3"/>
  <c r="BY215" i="3"/>
  <c r="BX215" i="3"/>
  <c r="BW215" i="3"/>
  <c r="BV215" i="3"/>
  <c r="BU215" i="3"/>
  <c r="BT215" i="3"/>
  <c r="BS215" i="3"/>
  <c r="BR215" i="3"/>
  <c r="BQ215" i="3"/>
  <c r="BP215" i="3"/>
  <c r="BO215" i="3"/>
  <c r="BN215" i="3"/>
  <c r="DU214" i="3"/>
  <c r="DT214" i="3"/>
  <c r="DS214" i="3"/>
  <c r="DR214" i="3"/>
  <c r="DQ214" i="3"/>
  <c r="DP214" i="3"/>
  <c r="DO214" i="3"/>
  <c r="DN214" i="3"/>
  <c r="DM214" i="3"/>
  <c r="DL214" i="3"/>
  <c r="DK214" i="3"/>
  <c r="DJ214" i="3"/>
  <c r="DI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CA214" i="3"/>
  <c r="BZ214" i="3"/>
  <c r="BY214" i="3"/>
  <c r="BX214" i="3"/>
  <c r="BW214" i="3"/>
  <c r="BV214" i="3"/>
  <c r="BU214" i="3"/>
  <c r="BT214" i="3"/>
  <c r="BS214" i="3"/>
  <c r="BR214" i="3"/>
  <c r="BQ214" i="3"/>
  <c r="BP214" i="3"/>
  <c r="BO214" i="3"/>
  <c r="BN214" i="3"/>
  <c r="DU213" i="3"/>
  <c r="DT213" i="3"/>
  <c r="DS213" i="3"/>
  <c r="DR213" i="3"/>
  <c r="DQ213" i="3"/>
  <c r="DP213" i="3"/>
  <c r="DO213" i="3"/>
  <c r="DN213" i="3"/>
  <c r="DM213" i="3"/>
  <c r="DL213" i="3"/>
  <c r="DK213" i="3"/>
  <c r="DJ213" i="3"/>
  <c r="DI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CA213" i="3"/>
  <c r="BZ213" i="3"/>
  <c r="BY213" i="3"/>
  <c r="BX213" i="3"/>
  <c r="BW213" i="3"/>
  <c r="BV213" i="3"/>
  <c r="BU213" i="3"/>
  <c r="BT213" i="3"/>
  <c r="BS213" i="3"/>
  <c r="BR213" i="3"/>
  <c r="BQ213" i="3"/>
  <c r="BP213" i="3"/>
  <c r="BO213" i="3"/>
  <c r="BN213" i="3"/>
  <c r="DU212" i="3"/>
  <c r="DT212" i="3"/>
  <c r="DS212" i="3"/>
  <c r="DR212" i="3"/>
  <c r="DQ212" i="3"/>
  <c r="DP212" i="3"/>
  <c r="DO212" i="3"/>
  <c r="DN212" i="3"/>
  <c r="DM212" i="3"/>
  <c r="DL212" i="3"/>
  <c r="DK212" i="3"/>
  <c r="DJ212" i="3"/>
  <c r="DI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CA212" i="3"/>
  <c r="BZ212" i="3"/>
  <c r="BY212" i="3"/>
  <c r="BX212" i="3"/>
  <c r="BW212" i="3"/>
  <c r="BV212" i="3"/>
  <c r="BU212" i="3"/>
  <c r="BT212" i="3"/>
  <c r="BS212" i="3"/>
  <c r="BR212" i="3"/>
  <c r="BQ212" i="3"/>
  <c r="BP212" i="3"/>
  <c r="BO212" i="3"/>
  <c r="BN212" i="3"/>
  <c r="A212" i="3"/>
  <c r="DU211" i="3"/>
  <c r="DT211" i="3"/>
  <c r="DS211" i="3"/>
  <c r="DR211" i="3"/>
  <c r="DQ211" i="3"/>
  <c r="DP211" i="3"/>
  <c r="DO211" i="3"/>
  <c r="DN211" i="3"/>
  <c r="DM211" i="3"/>
  <c r="DL211" i="3"/>
  <c r="DK211" i="3"/>
  <c r="DJ211" i="3"/>
  <c r="DI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CA211" i="3"/>
  <c r="BZ211" i="3"/>
  <c r="BY211" i="3"/>
  <c r="BX211" i="3"/>
  <c r="BW211" i="3"/>
  <c r="BV211" i="3"/>
  <c r="BU211" i="3"/>
  <c r="BT211" i="3"/>
  <c r="BS211" i="3"/>
  <c r="BR211" i="3"/>
  <c r="BQ211" i="3"/>
  <c r="BP211" i="3"/>
  <c r="BO211" i="3"/>
  <c r="BN211" i="3"/>
  <c r="E211" i="3"/>
  <c r="DU210" i="3"/>
  <c r="DT210" i="3"/>
  <c r="DS210" i="3"/>
  <c r="DR210" i="3"/>
  <c r="DQ210" i="3"/>
  <c r="DP210" i="3"/>
  <c r="DO210" i="3"/>
  <c r="DN210" i="3"/>
  <c r="DM210" i="3"/>
  <c r="DL210" i="3"/>
  <c r="DK210" i="3"/>
  <c r="DJ210" i="3"/>
  <c r="DI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CA210" i="3"/>
  <c r="BZ210" i="3"/>
  <c r="BY210" i="3"/>
  <c r="BX210" i="3"/>
  <c r="BW210" i="3"/>
  <c r="BV210" i="3"/>
  <c r="BU210" i="3"/>
  <c r="BT210" i="3"/>
  <c r="BS210" i="3"/>
  <c r="BR210" i="3"/>
  <c r="BQ210" i="3"/>
  <c r="BP210" i="3"/>
  <c r="BO210" i="3"/>
  <c r="BN210" i="3"/>
  <c r="E210" i="3"/>
  <c r="D210" i="3"/>
  <c r="DU209" i="3"/>
  <c r="DT209" i="3"/>
  <c r="DS209" i="3"/>
  <c r="DR209" i="3"/>
  <c r="DQ209" i="3"/>
  <c r="DP209" i="3"/>
  <c r="DO209" i="3"/>
  <c r="DN209" i="3"/>
  <c r="DM209" i="3"/>
  <c r="DL209" i="3"/>
  <c r="DK209" i="3"/>
  <c r="DJ209" i="3"/>
  <c r="DI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CA209" i="3"/>
  <c r="BZ209" i="3"/>
  <c r="BY209" i="3"/>
  <c r="BX209" i="3"/>
  <c r="BW209" i="3"/>
  <c r="BV209" i="3"/>
  <c r="BU209" i="3"/>
  <c r="BT209" i="3"/>
  <c r="BS209" i="3"/>
  <c r="BR209" i="3"/>
  <c r="BQ209" i="3"/>
  <c r="BP209" i="3"/>
  <c r="BO209" i="3"/>
  <c r="BN209" i="3"/>
  <c r="DU208" i="3"/>
  <c r="DT208" i="3"/>
  <c r="DS208" i="3"/>
  <c r="DR208" i="3"/>
  <c r="DQ208" i="3"/>
  <c r="DP208" i="3"/>
  <c r="DO208" i="3"/>
  <c r="DN208" i="3"/>
  <c r="DM208" i="3"/>
  <c r="DL208" i="3"/>
  <c r="DK208" i="3"/>
  <c r="DJ208" i="3"/>
  <c r="DI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CA208" i="3"/>
  <c r="BZ208" i="3"/>
  <c r="BY208" i="3"/>
  <c r="BX208" i="3"/>
  <c r="BW208" i="3"/>
  <c r="BV208" i="3"/>
  <c r="BU208" i="3"/>
  <c r="BT208" i="3"/>
  <c r="BS208" i="3"/>
  <c r="BR208" i="3"/>
  <c r="BQ208" i="3"/>
  <c r="BP208" i="3"/>
  <c r="BO208" i="3"/>
  <c r="BN208" i="3"/>
  <c r="A208" i="3"/>
  <c r="DU207" i="3"/>
  <c r="DT207" i="3"/>
  <c r="DS207" i="3"/>
  <c r="DR207" i="3"/>
  <c r="DQ207" i="3"/>
  <c r="DP207" i="3"/>
  <c r="DO207" i="3"/>
  <c r="DN207" i="3"/>
  <c r="DM207" i="3"/>
  <c r="DL207" i="3"/>
  <c r="DK207" i="3"/>
  <c r="DJ207" i="3"/>
  <c r="DI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CA207" i="3"/>
  <c r="BZ207" i="3"/>
  <c r="BY207" i="3"/>
  <c r="BX207" i="3"/>
  <c r="BW207" i="3"/>
  <c r="BV207" i="3"/>
  <c r="BU207" i="3"/>
  <c r="BT207" i="3"/>
  <c r="BS207" i="3"/>
  <c r="BR207" i="3"/>
  <c r="BQ207" i="3"/>
  <c r="BP207" i="3"/>
  <c r="BO207" i="3"/>
  <c r="BN207" i="3"/>
  <c r="B207" i="3"/>
  <c r="A207" i="3"/>
  <c r="DU206" i="3"/>
  <c r="DT206" i="3"/>
  <c r="DS206" i="3"/>
  <c r="DR206" i="3"/>
  <c r="DQ206" i="3"/>
  <c r="DP206" i="3"/>
  <c r="DO206" i="3"/>
  <c r="DN206" i="3"/>
  <c r="DM206" i="3"/>
  <c r="DL206" i="3"/>
  <c r="DK206" i="3"/>
  <c r="DJ206" i="3"/>
  <c r="DI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CA206" i="3"/>
  <c r="BZ206" i="3"/>
  <c r="BY206" i="3"/>
  <c r="BX206" i="3"/>
  <c r="BW206" i="3"/>
  <c r="BV206" i="3"/>
  <c r="BU206" i="3"/>
  <c r="BT206" i="3"/>
  <c r="BS206" i="3"/>
  <c r="BR206" i="3"/>
  <c r="BQ206" i="3"/>
  <c r="BP206" i="3"/>
  <c r="BO206" i="3"/>
  <c r="BN206" i="3"/>
  <c r="A206" i="3"/>
  <c r="DU205" i="3"/>
  <c r="DT205" i="3"/>
  <c r="DS205" i="3"/>
  <c r="DR205" i="3"/>
  <c r="DQ205" i="3"/>
  <c r="DP205" i="3"/>
  <c r="DO205" i="3"/>
  <c r="DN205" i="3"/>
  <c r="DM205" i="3"/>
  <c r="DL205" i="3"/>
  <c r="DK205" i="3"/>
  <c r="DJ205" i="3"/>
  <c r="DI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CA205" i="3"/>
  <c r="BZ205" i="3"/>
  <c r="BY205" i="3"/>
  <c r="BX205" i="3"/>
  <c r="BW205" i="3"/>
  <c r="BV205" i="3"/>
  <c r="BU205" i="3"/>
  <c r="BT205" i="3"/>
  <c r="BS205" i="3"/>
  <c r="BR205" i="3"/>
  <c r="BQ205" i="3"/>
  <c r="BP205" i="3"/>
  <c r="BO205" i="3"/>
  <c r="BN205" i="3"/>
  <c r="B205" i="3"/>
  <c r="A205" i="3"/>
  <c r="DU204" i="3"/>
  <c r="DT204" i="3"/>
  <c r="DS204" i="3"/>
  <c r="DR204" i="3"/>
  <c r="DQ204" i="3"/>
  <c r="DP204" i="3"/>
  <c r="DO204" i="3"/>
  <c r="DN204" i="3"/>
  <c r="DM204" i="3"/>
  <c r="DL204" i="3"/>
  <c r="DK204" i="3"/>
  <c r="DJ204" i="3"/>
  <c r="DI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CA204" i="3"/>
  <c r="BZ204" i="3"/>
  <c r="BY204" i="3"/>
  <c r="BX204" i="3"/>
  <c r="BW204" i="3"/>
  <c r="BV204" i="3"/>
  <c r="BU204" i="3"/>
  <c r="BT204" i="3"/>
  <c r="BS204" i="3"/>
  <c r="BR204" i="3"/>
  <c r="BQ204" i="3"/>
  <c r="BP204" i="3"/>
  <c r="BO204" i="3"/>
  <c r="BN204" i="3"/>
  <c r="C204" i="3"/>
  <c r="B204" i="3"/>
  <c r="A204" i="3"/>
  <c r="DU203" i="3"/>
  <c r="DT203" i="3"/>
  <c r="DS203" i="3"/>
  <c r="DR203" i="3"/>
  <c r="DQ203" i="3"/>
  <c r="DP203" i="3"/>
  <c r="DO203" i="3"/>
  <c r="DN203" i="3"/>
  <c r="DM203" i="3"/>
  <c r="DL203" i="3"/>
  <c r="DK203" i="3"/>
  <c r="DJ203" i="3"/>
  <c r="DI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CA203" i="3"/>
  <c r="BZ203" i="3"/>
  <c r="BY203" i="3"/>
  <c r="BX203" i="3"/>
  <c r="BW203" i="3"/>
  <c r="BV203" i="3"/>
  <c r="BU203" i="3"/>
  <c r="BT203" i="3"/>
  <c r="BS203" i="3"/>
  <c r="BR203" i="3"/>
  <c r="BQ203" i="3"/>
  <c r="BP203" i="3"/>
  <c r="BO203" i="3"/>
  <c r="BN203" i="3"/>
  <c r="B203" i="3"/>
  <c r="A203" i="3"/>
  <c r="DU202" i="3"/>
  <c r="DT202" i="3"/>
  <c r="DS202" i="3"/>
  <c r="DR202" i="3"/>
  <c r="DQ202" i="3"/>
  <c r="DP202" i="3"/>
  <c r="DO202" i="3"/>
  <c r="DN202" i="3"/>
  <c r="DM202" i="3"/>
  <c r="DL202" i="3"/>
  <c r="DK202" i="3"/>
  <c r="DJ202" i="3"/>
  <c r="DI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CA202" i="3"/>
  <c r="BZ202" i="3"/>
  <c r="BY202" i="3"/>
  <c r="BX202" i="3"/>
  <c r="BW202" i="3"/>
  <c r="BV202" i="3"/>
  <c r="BU202" i="3"/>
  <c r="BT202" i="3"/>
  <c r="BS202" i="3"/>
  <c r="BR202" i="3"/>
  <c r="BQ202" i="3"/>
  <c r="BP202" i="3"/>
  <c r="BO202" i="3"/>
  <c r="BN202" i="3"/>
  <c r="A202" i="3"/>
  <c r="DU201" i="3"/>
  <c r="DT201" i="3"/>
  <c r="DS201" i="3"/>
  <c r="DR201" i="3"/>
  <c r="DQ201" i="3"/>
  <c r="DP201" i="3"/>
  <c r="DO201" i="3"/>
  <c r="DN201" i="3"/>
  <c r="DM201" i="3"/>
  <c r="DL201" i="3"/>
  <c r="DK201" i="3"/>
  <c r="DJ201" i="3"/>
  <c r="DI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CA201" i="3"/>
  <c r="BZ201" i="3"/>
  <c r="BY201" i="3"/>
  <c r="BX201" i="3"/>
  <c r="BW201" i="3"/>
  <c r="BV201" i="3"/>
  <c r="BU201" i="3"/>
  <c r="BT201" i="3"/>
  <c r="BS201" i="3"/>
  <c r="BR201" i="3"/>
  <c r="BQ201" i="3"/>
  <c r="BP201" i="3"/>
  <c r="BO201" i="3"/>
  <c r="BN201" i="3"/>
  <c r="A201" i="3"/>
  <c r="DU200" i="3"/>
  <c r="DT200" i="3"/>
  <c r="DS200" i="3"/>
  <c r="DR200" i="3"/>
  <c r="DQ200" i="3"/>
  <c r="DP200" i="3"/>
  <c r="DO200" i="3"/>
  <c r="DN200" i="3"/>
  <c r="DM200" i="3"/>
  <c r="DL200" i="3"/>
  <c r="DK200" i="3"/>
  <c r="DJ200" i="3"/>
  <c r="DI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CA200" i="3"/>
  <c r="BZ200" i="3"/>
  <c r="BY200" i="3"/>
  <c r="BX200" i="3"/>
  <c r="BW200" i="3"/>
  <c r="BV200" i="3"/>
  <c r="BU200" i="3"/>
  <c r="BT200" i="3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DU199" i="3"/>
  <c r="DT199" i="3"/>
  <c r="DS199" i="3"/>
  <c r="DR199" i="3"/>
  <c r="DQ199" i="3"/>
  <c r="DP199" i="3"/>
  <c r="DO199" i="3"/>
  <c r="DN199" i="3"/>
  <c r="DM199" i="3"/>
  <c r="DL199" i="3"/>
  <c r="DK199" i="3"/>
  <c r="DJ199" i="3"/>
  <c r="DI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CA199" i="3"/>
  <c r="BZ199" i="3"/>
  <c r="BY199" i="3"/>
  <c r="BX199" i="3"/>
  <c r="BW199" i="3"/>
  <c r="BV199" i="3"/>
  <c r="BU199" i="3"/>
  <c r="BT199" i="3"/>
  <c r="BS199" i="3"/>
  <c r="BR199" i="3"/>
  <c r="BQ199" i="3"/>
  <c r="BP199" i="3"/>
  <c r="BO199" i="3"/>
  <c r="BN199" i="3"/>
  <c r="DU198" i="3"/>
  <c r="DT198" i="3"/>
  <c r="DS198" i="3"/>
  <c r="DR198" i="3"/>
  <c r="DQ198" i="3"/>
  <c r="DP198" i="3"/>
  <c r="DO198" i="3"/>
  <c r="DN198" i="3"/>
  <c r="DM198" i="3"/>
  <c r="DL198" i="3"/>
  <c r="DK198" i="3"/>
  <c r="DJ198" i="3"/>
  <c r="DI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CA198" i="3"/>
  <c r="BZ198" i="3"/>
  <c r="BY198" i="3"/>
  <c r="BX198" i="3"/>
  <c r="BW198" i="3"/>
  <c r="BV198" i="3"/>
  <c r="BU198" i="3"/>
  <c r="BT198" i="3"/>
  <c r="BS198" i="3"/>
  <c r="BR198" i="3"/>
  <c r="BQ198" i="3"/>
  <c r="BP198" i="3"/>
  <c r="BO198" i="3"/>
  <c r="BN198" i="3"/>
  <c r="DU197" i="3"/>
  <c r="DT197" i="3"/>
  <c r="DS197" i="3"/>
  <c r="DR197" i="3"/>
  <c r="DQ197" i="3"/>
  <c r="DP197" i="3"/>
  <c r="DO197" i="3"/>
  <c r="DN197" i="3"/>
  <c r="DM197" i="3"/>
  <c r="DL197" i="3"/>
  <c r="DK197" i="3"/>
  <c r="DJ197" i="3"/>
  <c r="DI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CA197" i="3"/>
  <c r="BZ197" i="3"/>
  <c r="BY197" i="3"/>
  <c r="BX197" i="3"/>
  <c r="BW197" i="3"/>
  <c r="BV197" i="3"/>
  <c r="BU197" i="3"/>
  <c r="BT197" i="3"/>
  <c r="BS197" i="3"/>
  <c r="BR197" i="3"/>
  <c r="BQ197" i="3"/>
  <c r="BP197" i="3"/>
  <c r="BO197" i="3"/>
  <c r="BN197" i="3"/>
  <c r="DU196" i="3"/>
  <c r="DT196" i="3"/>
  <c r="DS196" i="3"/>
  <c r="DR196" i="3"/>
  <c r="DQ196" i="3"/>
  <c r="DP196" i="3"/>
  <c r="DO196" i="3"/>
  <c r="DN196" i="3"/>
  <c r="DM196" i="3"/>
  <c r="DL196" i="3"/>
  <c r="DK196" i="3"/>
  <c r="DJ196" i="3"/>
  <c r="DI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CA196" i="3"/>
  <c r="BZ196" i="3"/>
  <c r="BY196" i="3"/>
  <c r="BX196" i="3"/>
  <c r="BW196" i="3"/>
  <c r="BV196" i="3"/>
  <c r="BU196" i="3"/>
  <c r="BT196" i="3"/>
  <c r="BS196" i="3"/>
  <c r="BR196" i="3"/>
  <c r="BQ196" i="3"/>
  <c r="BP196" i="3"/>
  <c r="BO196" i="3"/>
  <c r="BN196" i="3"/>
  <c r="DU195" i="3"/>
  <c r="DT195" i="3"/>
  <c r="DS195" i="3"/>
  <c r="DR195" i="3"/>
  <c r="DQ195" i="3"/>
  <c r="DP195" i="3"/>
  <c r="DO195" i="3"/>
  <c r="DN195" i="3"/>
  <c r="DM195" i="3"/>
  <c r="DL195" i="3"/>
  <c r="DK195" i="3"/>
  <c r="DJ195" i="3"/>
  <c r="DI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CA195" i="3"/>
  <c r="BZ195" i="3"/>
  <c r="BY195" i="3"/>
  <c r="BX195" i="3"/>
  <c r="BW195" i="3"/>
  <c r="BV195" i="3"/>
  <c r="BU195" i="3"/>
  <c r="BT195" i="3"/>
  <c r="BS195" i="3"/>
  <c r="BR195" i="3"/>
  <c r="BQ195" i="3"/>
  <c r="BP195" i="3"/>
  <c r="BO195" i="3"/>
  <c r="BN195" i="3"/>
  <c r="DU194" i="3"/>
  <c r="DT194" i="3"/>
  <c r="DS194" i="3"/>
  <c r="DR194" i="3"/>
  <c r="DQ194" i="3"/>
  <c r="DP194" i="3"/>
  <c r="DO194" i="3"/>
  <c r="DN194" i="3"/>
  <c r="DM194" i="3"/>
  <c r="DL194" i="3"/>
  <c r="DK194" i="3"/>
  <c r="DJ194" i="3"/>
  <c r="DI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CA194" i="3"/>
  <c r="BZ194" i="3"/>
  <c r="BY194" i="3"/>
  <c r="BX194" i="3"/>
  <c r="BW194" i="3"/>
  <c r="BV194" i="3"/>
  <c r="BU194" i="3"/>
  <c r="BT194" i="3"/>
  <c r="BS194" i="3"/>
  <c r="BR194" i="3"/>
  <c r="BQ194" i="3"/>
  <c r="BP194" i="3"/>
  <c r="BO194" i="3"/>
  <c r="BN194" i="3"/>
  <c r="DU193" i="3"/>
  <c r="DT193" i="3"/>
  <c r="DS193" i="3"/>
  <c r="DR193" i="3"/>
  <c r="DQ193" i="3"/>
  <c r="DP193" i="3"/>
  <c r="DO193" i="3"/>
  <c r="DN193" i="3"/>
  <c r="DM193" i="3"/>
  <c r="DL193" i="3"/>
  <c r="DK193" i="3"/>
  <c r="DJ193" i="3"/>
  <c r="DI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CA193" i="3"/>
  <c r="BZ193" i="3"/>
  <c r="BY193" i="3"/>
  <c r="BX193" i="3"/>
  <c r="BW193" i="3"/>
  <c r="BV193" i="3"/>
  <c r="BU193" i="3"/>
  <c r="BT193" i="3"/>
  <c r="BS193" i="3"/>
  <c r="BR193" i="3"/>
  <c r="BQ193" i="3"/>
  <c r="BP193" i="3"/>
  <c r="BO193" i="3"/>
  <c r="BN193" i="3"/>
  <c r="DU192" i="3"/>
  <c r="DT192" i="3"/>
  <c r="DS192" i="3"/>
  <c r="DR192" i="3"/>
  <c r="DQ192" i="3"/>
  <c r="DP192" i="3"/>
  <c r="DO192" i="3"/>
  <c r="DN192" i="3"/>
  <c r="DM192" i="3"/>
  <c r="DL192" i="3"/>
  <c r="DK192" i="3"/>
  <c r="DJ192" i="3"/>
  <c r="DI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CA192" i="3"/>
  <c r="BZ192" i="3"/>
  <c r="BY192" i="3"/>
  <c r="BX192" i="3"/>
  <c r="BW192" i="3"/>
  <c r="BV192" i="3"/>
  <c r="BU192" i="3"/>
  <c r="BT192" i="3"/>
  <c r="BS192" i="3"/>
  <c r="BR192" i="3"/>
  <c r="BQ192" i="3"/>
  <c r="BP192" i="3"/>
  <c r="BO192" i="3"/>
  <c r="BN192" i="3"/>
  <c r="E192" i="3"/>
  <c r="D192" i="3"/>
  <c r="C192" i="3"/>
  <c r="C394" i="3" s="1"/>
  <c r="B192" i="3"/>
  <c r="B394" i="3" s="1"/>
  <c r="A192" i="3"/>
  <c r="A394" i="3" s="1"/>
  <c r="DU191" i="3"/>
  <c r="DT191" i="3"/>
  <c r="DS191" i="3"/>
  <c r="DR191" i="3"/>
  <c r="DQ191" i="3"/>
  <c r="DP191" i="3"/>
  <c r="DO191" i="3"/>
  <c r="DN191" i="3"/>
  <c r="DM191" i="3"/>
  <c r="DL191" i="3"/>
  <c r="DK191" i="3"/>
  <c r="DJ191" i="3"/>
  <c r="DI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CA191" i="3"/>
  <c r="BZ191" i="3"/>
  <c r="BY191" i="3"/>
  <c r="BX191" i="3"/>
  <c r="BW191" i="3"/>
  <c r="BV191" i="3"/>
  <c r="BU191" i="3"/>
  <c r="BT191" i="3"/>
  <c r="BS191" i="3"/>
  <c r="BR191" i="3"/>
  <c r="BQ191" i="3"/>
  <c r="BP191" i="3"/>
  <c r="BO191" i="3"/>
  <c r="BN191" i="3"/>
  <c r="E191" i="3"/>
  <c r="E393" i="3" s="1"/>
  <c r="D191" i="3"/>
  <c r="D393" i="3" s="1"/>
  <c r="C191" i="3"/>
  <c r="C393" i="3" s="1"/>
  <c r="B191" i="3"/>
  <c r="B393" i="3" s="1"/>
  <c r="A191" i="3"/>
  <c r="A393" i="3" s="1"/>
  <c r="DU190" i="3"/>
  <c r="DT190" i="3"/>
  <c r="DS190" i="3"/>
  <c r="DR190" i="3"/>
  <c r="DQ190" i="3"/>
  <c r="DP190" i="3"/>
  <c r="DO190" i="3"/>
  <c r="DN190" i="3"/>
  <c r="DM190" i="3"/>
  <c r="DL190" i="3"/>
  <c r="DK190" i="3"/>
  <c r="DJ190" i="3"/>
  <c r="DI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CA190" i="3"/>
  <c r="BZ190" i="3"/>
  <c r="BY190" i="3"/>
  <c r="BX190" i="3"/>
  <c r="BW190" i="3"/>
  <c r="BV190" i="3"/>
  <c r="BU190" i="3"/>
  <c r="BT190" i="3"/>
  <c r="BS190" i="3"/>
  <c r="BR190" i="3"/>
  <c r="BQ190" i="3"/>
  <c r="BP190" i="3"/>
  <c r="BO190" i="3"/>
  <c r="BN190" i="3"/>
  <c r="E190" i="3"/>
  <c r="E392" i="3" s="1"/>
  <c r="D190" i="3"/>
  <c r="D392" i="3" s="1"/>
  <c r="C190" i="3"/>
  <c r="C392" i="3" s="1"/>
  <c r="B190" i="3"/>
  <c r="B392" i="3" s="1"/>
  <c r="A190" i="3"/>
  <c r="A392" i="3" s="1"/>
  <c r="DU189" i="3"/>
  <c r="DT189" i="3"/>
  <c r="DS189" i="3"/>
  <c r="DR189" i="3"/>
  <c r="DQ189" i="3"/>
  <c r="DP189" i="3"/>
  <c r="DO189" i="3"/>
  <c r="DN189" i="3"/>
  <c r="DM189" i="3"/>
  <c r="DL189" i="3"/>
  <c r="DK189" i="3"/>
  <c r="DJ189" i="3"/>
  <c r="DI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CA189" i="3"/>
  <c r="BZ189" i="3"/>
  <c r="BY189" i="3"/>
  <c r="BX189" i="3"/>
  <c r="BW189" i="3"/>
  <c r="BV189" i="3"/>
  <c r="BU189" i="3"/>
  <c r="BT189" i="3"/>
  <c r="BS189" i="3"/>
  <c r="BR189" i="3"/>
  <c r="BQ189" i="3"/>
  <c r="BP189" i="3"/>
  <c r="BO189" i="3"/>
  <c r="BN189" i="3"/>
  <c r="E189" i="3"/>
  <c r="E391" i="3" s="1"/>
  <c r="D189" i="3"/>
  <c r="D391" i="3" s="1"/>
  <c r="C189" i="3"/>
  <c r="C391" i="3" s="1"/>
  <c r="B189" i="3"/>
  <c r="B391" i="3" s="1"/>
  <c r="A189" i="3"/>
  <c r="DU188" i="3"/>
  <c r="DT188" i="3"/>
  <c r="DS188" i="3"/>
  <c r="DR188" i="3"/>
  <c r="DQ188" i="3"/>
  <c r="DP188" i="3"/>
  <c r="DO188" i="3"/>
  <c r="DN188" i="3"/>
  <c r="DM188" i="3"/>
  <c r="DL188" i="3"/>
  <c r="DK188" i="3"/>
  <c r="DJ188" i="3"/>
  <c r="DI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CA188" i="3"/>
  <c r="BZ188" i="3"/>
  <c r="BY188" i="3"/>
  <c r="BX188" i="3"/>
  <c r="BW188" i="3"/>
  <c r="BV188" i="3"/>
  <c r="BU188" i="3"/>
  <c r="BT188" i="3"/>
  <c r="BS188" i="3"/>
  <c r="BR188" i="3"/>
  <c r="BQ188" i="3"/>
  <c r="BP188" i="3"/>
  <c r="BO188" i="3"/>
  <c r="BN188" i="3"/>
  <c r="E188" i="3"/>
  <c r="D188" i="3"/>
  <c r="C188" i="3"/>
  <c r="B188" i="3"/>
  <c r="A188" i="3"/>
  <c r="DU187" i="3"/>
  <c r="DT187" i="3"/>
  <c r="DS187" i="3"/>
  <c r="DR187" i="3"/>
  <c r="DQ187" i="3"/>
  <c r="DP187" i="3"/>
  <c r="DO187" i="3"/>
  <c r="DN187" i="3"/>
  <c r="DM187" i="3"/>
  <c r="DL187" i="3"/>
  <c r="DK187" i="3"/>
  <c r="DJ187" i="3"/>
  <c r="DI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CA187" i="3"/>
  <c r="BZ187" i="3"/>
  <c r="BY187" i="3"/>
  <c r="BX187" i="3"/>
  <c r="BW187" i="3"/>
  <c r="BV187" i="3"/>
  <c r="BU187" i="3"/>
  <c r="BT187" i="3"/>
  <c r="BS187" i="3"/>
  <c r="BR187" i="3"/>
  <c r="BQ187" i="3"/>
  <c r="BP187" i="3"/>
  <c r="BO187" i="3"/>
  <c r="BN187" i="3"/>
  <c r="E187" i="3"/>
  <c r="E389" i="3" s="1"/>
  <c r="D187" i="3"/>
  <c r="D389" i="3" s="1"/>
  <c r="C187" i="3"/>
  <c r="C389" i="3" s="1"/>
  <c r="B187" i="3"/>
  <c r="B389" i="3" s="1"/>
  <c r="A187" i="3"/>
  <c r="A389" i="3" s="1"/>
  <c r="DU186" i="3"/>
  <c r="DT186" i="3"/>
  <c r="DS186" i="3"/>
  <c r="DR186" i="3"/>
  <c r="DQ186" i="3"/>
  <c r="DP186" i="3"/>
  <c r="DO186" i="3"/>
  <c r="DN186" i="3"/>
  <c r="DM186" i="3"/>
  <c r="DL186" i="3"/>
  <c r="DK186" i="3"/>
  <c r="DJ186" i="3"/>
  <c r="DI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CA186" i="3"/>
  <c r="BZ186" i="3"/>
  <c r="BY186" i="3"/>
  <c r="BX186" i="3"/>
  <c r="BW186" i="3"/>
  <c r="BV186" i="3"/>
  <c r="BU186" i="3"/>
  <c r="BT186" i="3"/>
  <c r="BS186" i="3"/>
  <c r="BR186" i="3"/>
  <c r="BQ186" i="3"/>
  <c r="BP186" i="3"/>
  <c r="BO186" i="3"/>
  <c r="BN186" i="3"/>
  <c r="E186" i="3"/>
  <c r="E388" i="3" s="1"/>
  <c r="D186" i="3"/>
  <c r="D388" i="3" s="1"/>
  <c r="C186" i="3"/>
  <c r="C388" i="3" s="1"/>
  <c r="B186" i="3"/>
  <c r="B388" i="3" s="1"/>
  <c r="A186" i="3"/>
  <c r="A388" i="3" s="1"/>
  <c r="DU185" i="3"/>
  <c r="DT185" i="3"/>
  <c r="DS185" i="3"/>
  <c r="DR185" i="3"/>
  <c r="DQ185" i="3"/>
  <c r="DP185" i="3"/>
  <c r="DO185" i="3"/>
  <c r="DN185" i="3"/>
  <c r="DM185" i="3"/>
  <c r="DL185" i="3"/>
  <c r="DK185" i="3"/>
  <c r="DJ185" i="3"/>
  <c r="DI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E185" i="3"/>
  <c r="D185" i="3"/>
  <c r="D387" i="3" s="1"/>
  <c r="C185" i="3"/>
  <c r="C387" i="3" s="1"/>
  <c r="B185" i="3"/>
  <c r="B387" i="3" s="1"/>
  <c r="A185" i="3"/>
  <c r="DU184" i="3"/>
  <c r="DT184" i="3"/>
  <c r="DS184" i="3"/>
  <c r="DR184" i="3"/>
  <c r="DQ184" i="3"/>
  <c r="DP184" i="3"/>
  <c r="DO184" i="3"/>
  <c r="DN184" i="3"/>
  <c r="DM184" i="3"/>
  <c r="DL184" i="3"/>
  <c r="DK184" i="3"/>
  <c r="DJ184" i="3"/>
  <c r="DI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E184" i="3"/>
  <c r="D184" i="3"/>
  <c r="C184" i="3"/>
  <c r="B184" i="3"/>
  <c r="B386" i="3" s="1"/>
  <c r="A184" i="3"/>
  <c r="A386" i="3" s="1"/>
  <c r="DU183" i="3"/>
  <c r="DT183" i="3"/>
  <c r="DS183" i="3"/>
  <c r="DR183" i="3"/>
  <c r="DQ183" i="3"/>
  <c r="DP183" i="3"/>
  <c r="DO183" i="3"/>
  <c r="DN183" i="3"/>
  <c r="DM183" i="3"/>
  <c r="DL183" i="3"/>
  <c r="DK183" i="3"/>
  <c r="DJ183" i="3"/>
  <c r="DI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E183" i="3"/>
  <c r="E385" i="3" s="1"/>
  <c r="D183" i="3"/>
  <c r="D385" i="3" s="1"/>
  <c r="C183" i="3"/>
  <c r="C385" i="3" s="1"/>
  <c r="B183" i="3"/>
  <c r="B385" i="3" s="1"/>
  <c r="A183" i="3"/>
  <c r="A385" i="3" s="1"/>
  <c r="DU182" i="3"/>
  <c r="DT182" i="3"/>
  <c r="DS182" i="3"/>
  <c r="DR182" i="3"/>
  <c r="DQ182" i="3"/>
  <c r="DP182" i="3"/>
  <c r="DO182" i="3"/>
  <c r="DN182" i="3"/>
  <c r="DM182" i="3"/>
  <c r="DL182" i="3"/>
  <c r="DK182" i="3"/>
  <c r="DJ182" i="3"/>
  <c r="DI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E182" i="3"/>
  <c r="E384" i="3" s="1"/>
  <c r="D182" i="3"/>
  <c r="D384" i="3" s="1"/>
  <c r="C182" i="3"/>
  <c r="C384" i="3" s="1"/>
  <c r="B182" i="3"/>
  <c r="B384" i="3" s="1"/>
  <c r="A182" i="3"/>
  <c r="A384" i="3" s="1"/>
  <c r="DU181" i="3"/>
  <c r="DT181" i="3"/>
  <c r="DS181" i="3"/>
  <c r="DR181" i="3"/>
  <c r="DQ181" i="3"/>
  <c r="DP181" i="3"/>
  <c r="DO181" i="3"/>
  <c r="DN181" i="3"/>
  <c r="DM181" i="3"/>
  <c r="DL181" i="3"/>
  <c r="DK181" i="3"/>
  <c r="DJ181" i="3"/>
  <c r="DI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E181" i="3"/>
  <c r="D181" i="3"/>
  <c r="D383" i="3" s="1"/>
  <c r="C181" i="3"/>
  <c r="C383" i="3" s="1"/>
  <c r="B181" i="3"/>
  <c r="B383" i="3" s="1"/>
  <c r="A181" i="3"/>
  <c r="A383" i="3" s="1"/>
  <c r="DU180" i="3"/>
  <c r="DT180" i="3"/>
  <c r="DS180" i="3"/>
  <c r="DR180" i="3"/>
  <c r="DQ180" i="3"/>
  <c r="DP180" i="3"/>
  <c r="DO180" i="3"/>
  <c r="DN180" i="3"/>
  <c r="DM180" i="3"/>
  <c r="DL180" i="3"/>
  <c r="DK180" i="3"/>
  <c r="DJ180" i="3"/>
  <c r="DI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E180" i="3"/>
  <c r="D180" i="3"/>
  <c r="D382" i="3" s="1"/>
  <c r="C180" i="3"/>
  <c r="C382" i="3" s="1"/>
  <c r="B180" i="3"/>
  <c r="B382" i="3" s="1"/>
  <c r="A180" i="3"/>
  <c r="DU179" i="3"/>
  <c r="DT179" i="3"/>
  <c r="DS179" i="3"/>
  <c r="DR179" i="3"/>
  <c r="DQ179" i="3"/>
  <c r="DP179" i="3"/>
  <c r="DO179" i="3"/>
  <c r="DN179" i="3"/>
  <c r="DM179" i="3"/>
  <c r="DL179" i="3"/>
  <c r="DK179" i="3"/>
  <c r="DJ179" i="3"/>
  <c r="DI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E179" i="3"/>
  <c r="E381" i="3" s="1"/>
  <c r="D179" i="3"/>
  <c r="D381" i="3" s="1"/>
  <c r="C179" i="3"/>
  <c r="C381" i="3" s="1"/>
  <c r="B179" i="3"/>
  <c r="A179" i="3"/>
  <c r="A381" i="3" s="1"/>
  <c r="DU178" i="3"/>
  <c r="DT178" i="3"/>
  <c r="DS178" i="3"/>
  <c r="DR178" i="3"/>
  <c r="DQ178" i="3"/>
  <c r="DP178" i="3"/>
  <c r="DO178" i="3"/>
  <c r="DN178" i="3"/>
  <c r="DM178" i="3"/>
  <c r="DL178" i="3"/>
  <c r="DK178" i="3"/>
  <c r="DJ178" i="3"/>
  <c r="DI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E178" i="3"/>
  <c r="E380" i="3" s="1"/>
  <c r="D178" i="3"/>
  <c r="D380" i="3" s="1"/>
  <c r="C178" i="3"/>
  <c r="C380" i="3" s="1"/>
  <c r="B178" i="3"/>
  <c r="B380" i="3" s="1"/>
  <c r="A178" i="3"/>
  <c r="DU177" i="3"/>
  <c r="DT177" i="3"/>
  <c r="DS177" i="3"/>
  <c r="DR177" i="3"/>
  <c r="DQ177" i="3"/>
  <c r="DP177" i="3"/>
  <c r="DO177" i="3"/>
  <c r="DN177" i="3"/>
  <c r="DM177" i="3"/>
  <c r="DL177" i="3"/>
  <c r="DK177" i="3"/>
  <c r="DJ177" i="3"/>
  <c r="DI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E177" i="3"/>
  <c r="D177" i="3"/>
  <c r="C177" i="3"/>
  <c r="B177" i="3"/>
  <c r="B177" i="2" s="1"/>
  <c r="A177" i="3"/>
  <c r="A379" i="3" s="1"/>
  <c r="DU176" i="3"/>
  <c r="DT176" i="3"/>
  <c r="DS176" i="3"/>
  <c r="DR176" i="3"/>
  <c r="DQ176" i="3"/>
  <c r="DP176" i="3"/>
  <c r="DO176" i="3"/>
  <c r="DN176" i="3"/>
  <c r="DM176" i="3"/>
  <c r="DL176" i="3"/>
  <c r="DK176" i="3"/>
  <c r="DJ176" i="3"/>
  <c r="DI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E176" i="3"/>
  <c r="D176" i="3"/>
  <c r="D378" i="3" s="1"/>
  <c r="C176" i="3"/>
  <c r="C378" i="3" s="1"/>
  <c r="B176" i="3"/>
  <c r="B378" i="3" s="1"/>
  <c r="A176" i="3"/>
  <c r="A378" i="3" s="1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E175" i="3"/>
  <c r="E377" i="3" s="1"/>
  <c r="D175" i="3"/>
  <c r="D377" i="3" s="1"/>
  <c r="C175" i="3"/>
  <c r="C377" i="3" s="1"/>
  <c r="B175" i="3"/>
  <c r="B377" i="3" s="1"/>
  <c r="A175" i="3"/>
  <c r="A377" i="3" s="1"/>
  <c r="DU174" i="3"/>
  <c r="DT174" i="3"/>
  <c r="DS174" i="3"/>
  <c r="DR174" i="3"/>
  <c r="DQ174" i="3"/>
  <c r="DP174" i="3"/>
  <c r="DO174" i="3"/>
  <c r="DN174" i="3"/>
  <c r="DM174" i="3"/>
  <c r="DL174" i="3"/>
  <c r="DK174" i="3"/>
  <c r="DJ174" i="3"/>
  <c r="DI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E174" i="3"/>
  <c r="E376" i="3" s="1"/>
  <c r="D174" i="3"/>
  <c r="D376" i="3" s="1"/>
  <c r="C174" i="3"/>
  <c r="C376" i="3" s="1"/>
  <c r="B174" i="3"/>
  <c r="B376" i="3" s="1"/>
  <c r="A174" i="3"/>
  <c r="DU173" i="3"/>
  <c r="DT173" i="3"/>
  <c r="DS173" i="3"/>
  <c r="DR173" i="3"/>
  <c r="DQ173" i="3"/>
  <c r="DP173" i="3"/>
  <c r="DO173" i="3"/>
  <c r="DN173" i="3"/>
  <c r="DM173" i="3"/>
  <c r="DL173" i="3"/>
  <c r="DK173" i="3"/>
  <c r="DJ173" i="3"/>
  <c r="DI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E173" i="3"/>
  <c r="D173" i="3"/>
  <c r="C173" i="3"/>
  <c r="B173" i="3"/>
  <c r="A173" i="3"/>
  <c r="DU172" i="3"/>
  <c r="DT172" i="3"/>
  <c r="DS172" i="3"/>
  <c r="DR172" i="3"/>
  <c r="DQ172" i="3"/>
  <c r="DP172" i="3"/>
  <c r="DO172" i="3"/>
  <c r="DN172" i="3"/>
  <c r="DM172" i="3"/>
  <c r="DL172" i="3"/>
  <c r="DK172" i="3"/>
  <c r="DJ172" i="3"/>
  <c r="DI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E172" i="3"/>
  <c r="D172" i="3"/>
  <c r="D374" i="3" s="1"/>
  <c r="C172" i="3"/>
  <c r="B172" i="3"/>
  <c r="B374" i="3" s="1"/>
  <c r="A172" i="3"/>
  <c r="A374" i="3" s="1"/>
  <c r="DU171" i="3"/>
  <c r="DT171" i="3"/>
  <c r="DS171" i="3"/>
  <c r="DR171" i="3"/>
  <c r="DQ171" i="3"/>
  <c r="DP171" i="3"/>
  <c r="DO171" i="3"/>
  <c r="DN171" i="3"/>
  <c r="DM171" i="3"/>
  <c r="DL171" i="3"/>
  <c r="DK171" i="3"/>
  <c r="DJ171" i="3"/>
  <c r="DI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E171" i="3"/>
  <c r="E373" i="3" s="1"/>
  <c r="D171" i="3"/>
  <c r="D373" i="3" s="1"/>
  <c r="C171" i="3"/>
  <c r="C373" i="3" s="1"/>
  <c r="B171" i="3"/>
  <c r="B373" i="3" s="1"/>
  <c r="A171" i="3"/>
  <c r="A373" i="3" s="1"/>
  <c r="DU170" i="3"/>
  <c r="DT170" i="3"/>
  <c r="DS170" i="3"/>
  <c r="DR170" i="3"/>
  <c r="DQ170" i="3"/>
  <c r="DP170" i="3"/>
  <c r="DO170" i="3"/>
  <c r="DN170" i="3"/>
  <c r="DM170" i="3"/>
  <c r="DL170" i="3"/>
  <c r="DK170" i="3"/>
  <c r="DJ170" i="3"/>
  <c r="DI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E170" i="3"/>
  <c r="E372" i="3" s="1"/>
  <c r="D170" i="3"/>
  <c r="D372" i="3" s="1"/>
  <c r="C170" i="3"/>
  <c r="C372" i="3" s="1"/>
  <c r="B170" i="3"/>
  <c r="B372" i="3" s="1"/>
  <c r="A170" i="3"/>
  <c r="A372" i="3" s="1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E169" i="3"/>
  <c r="E371" i="3" s="1"/>
  <c r="D169" i="3"/>
  <c r="C169" i="3"/>
  <c r="B169" i="3"/>
  <c r="B371" i="3" s="1"/>
  <c r="A169" i="3"/>
  <c r="A371" i="3" s="1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E168" i="3"/>
  <c r="E370" i="3" s="1"/>
  <c r="D168" i="3"/>
  <c r="C168" i="3"/>
  <c r="B168" i="3"/>
  <c r="B370" i="3" s="1"/>
  <c r="A168" i="3"/>
  <c r="A370" i="3" s="1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E167" i="3"/>
  <c r="E369" i="3" s="1"/>
  <c r="D167" i="3"/>
  <c r="D369" i="3" s="1"/>
  <c r="C167" i="3"/>
  <c r="C369" i="3" s="1"/>
  <c r="B167" i="3"/>
  <c r="B369" i="3" s="1"/>
  <c r="A167" i="3"/>
  <c r="A369" i="3" s="1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E166" i="3"/>
  <c r="E368" i="3" s="1"/>
  <c r="D166" i="3"/>
  <c r="D368" i="3" s="1"/>
  <c r="C166" i="3"/>
  <c r="C368" i="3" s="1"/>
  <c r="B166" i="3"/>
  <c r="B368" i="3" s="1"/>
  <c r="A166" i="3"/>
  <c r="A368" i="3" s="1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E165" i="3"/>
  <c r="D165" i="3"/>
  <c r="D367" i="3" s="1"/>
  <c r="C165" i="3"/>
  <c r="C367" i="3" s="1"/>
  <c r="B165" i="3"/>
  <c r="B367" i="3" s="1"/>
  <c r="A165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E164" i="3"/>
  <c r="D164" i="3"/>
  <c r="D366" i="3" s="1"/>
  <c r="C164" i="3"/>
  <c r="C366" i="3" s="1"/>
  <c r="B164" i="3"/>
  <c r="B366" i="3" s="1"/>
  <c r="A164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E163" i="3"/>
  <c r="E365" i="3" s="1"/>
  <c r="D163" i="3"/>
  <c r="D365" i="3" s="1"/>
  <c r="C163" i="3"/>
  <c r="C365" i="3" s="1"/>
  <c r="B163" i="3"/>
  <c r="B365" i="3" s="1"/>
  <c r="A163" i="3"/>
  <c r="A365" i="3" s="1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E162" i="3"/>
  <c r="E364" i="3" s="1"/>
  <c r="D162" i="3"/>
  <c r="D364" i="3" s="1"/>
  <c r="C162" i="3"/>
  <c r="B162" i="3"/>
  <c r="B364" i="3" s="1"/>
  <c r="A162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E161" i="3"/>
  <c r="E363" i="3" s="1"/>
  <c r="D161" i="3"/>
  <c r="C161" i="3"/>
  <c r="C363" i="3" s="1"/>
  <c r="B161" i="3"/>
  <c r="B363" i="3" s="1"/>
  <c r="A161" i="3"/>
  <c r="A363" i="3" s="1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E160" i="3"/>
  <c r="E362" i="3" s="1"/>
  <c r="D160" i="3"/>
  <c r="D362" i="3" s="1"/>
  <c r="C160" i="3"/>
  <c r="B160" i="3"/>
  <c r="A160" i="3"/>
  <c r="A362" i="3" s="1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E159" i="3"/>
  <c r="E361" i="3" s="1"/>
  <c r="D159" i="3"/>
  <c r="D361" i="3" s="1"/>
  <c r="C159" i="3"/>
  <c r="C361" i="3" s="1"/>
  <c r="B159" i="3"/>
  <c r="B361" i="3" s="1"/>
  <c r="A159" i="3"/>
  <c r="A361" i="3" s="1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E158" i="3"/>
  <c r="E360" i="3" s="1"/>
  <c r="D158" i="3"/>
  <c r="C158" i="3"/>
  <c r="B158" i="3"/>
  <c r="B360" i="3" s="1"/>
  <c r="A158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E157" i="3"/>
  <c r="E359" i="3" s="1"/>
  <c r="D157" i="3"/>
  <c r="D359" i="3" s="1"/>
  <c r="C157" i="3"/>
  <c r="C359" i="3" s="1"/>
  <c r="B157" i="3"/>
  <c r="B359" i="3" s="1"/>
  <c r="A157" i="3"/>
  <c r="A359" i="3" s="1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E156" i="3"/>
  <c r="D156" i="3"/>
  <c r="C156" i="3"/>
  <c r="C358" i="3" s="1"/>
  <c r="B156" i="3"/>
  <c r="B358" i="3" s="1"/>
  <c r="A156" i="3"/>
  <c r="A358" i="3" s="1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E155" i="3"/>
  <c r="B155" i="3"/>
  <c r="A155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E154" i="3"/>
  <c r="E357" i="3" s="1"/>
  <c r="D154" i="3"/>
  <c r="D357" i="3" s="1"/>
  <c r="C154" i="3"/>
  <c r="C357" i="3" s="1"/>
  <c r="B154" i="3"/>
  <c r="B357" i="3" s="1"/>
  <c r="A154" i="3"/>
  <c r="A357" i="3" s="1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E153" i="3"/>
  <c r="D153" i="3"/>
  <c r="D356" i="3" s="1"/>
  <c r="C153" i="3"/>
  <c r="C356" i="3" s="1"/>
  <c r="B153" i="3"/>
  <c r="B356" i="3" s="1"/>
  <c r="A153" i="3"/>
  <c r="A356" i="3" s="1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E152" i="3"/>
  <c r="E355" i="3" s="1"/>
  <c r="D152" i="3"/>
  <c r="D355" i="3" s="1"/>
  <c r="C152" i="3"/>
  <c r="B152" i="3"/>
  <c r="A152" i="3"/>
  <c r="A355" i="3" s="1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E151" i="3"/>
  <c r="E354" i="3" s="1"/>
  <c r="D151" i="3"/>
  <c r="D354" i="3" s="1"/>
  <c r="C151" i="3"/>
  <c r="C354" i="3" s="1"/>
  <c r="B151" i="3"/>
  <c r="A151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E150" i="3"/>
  <c r="E353" i="3" s="1"/>
  <c r="D150" i="3"/>
  <c r="D353" i="3" s="1"/>
  <c r="C150" i="3"/>
  <c r="C353" i="3" s="1"/>
  <c r="B150" i="3"/>
  <c r="B353" i="3" s="1"/>
  <c r="A150" i="3"/>
  <c r="A353" i="3" s="1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E149" i="3"/>
  <c r="E352" i="3" s="1"/>
  <c r="D149" i="3"/>
  <c r="D352" i="3" s="1"/>
  <c r="C149" i="3"/>
  <c r="B149" i="3"/>
  <c r="A149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E148" i="3"/>
  <c r="E351" i="3" s="1"/>
  <c r="D148" i="3"/>
  <c r="C148" i="3"/>
  <c r="C351" i="3" s="1"/>
  <c r="B148" i="3"/>
  <c r="A148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E147" i="3"/>
  <c r="E350" i="3" s="1"/>
  <c r="D147" i="3"/>
  <c r="D350" i="3" s="1"/>
  <c r="C147" i="3"/>
  <c r="C350" i="3" s="1"/>
  <c r="B147" i="3"/>
  <c r="B350" i="3" s="1"/>
  <c r="A147" i="3"/>
  <c r="A350" i="3" s="1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E146" i="3"/>
  <c r="E349" i="3" s="1"/>
  <c r="D146" i="3"/>
  <c r="D349" i="3" s="1"/>
  <c r="C146" i="3"/>
  <c r="C349" i="3" s="1"/>
  <c r="B146" i="3"/>
  <c r="B349" i="3" s="1"/>
  <c r="A146" i="3"/>
  <c r="A349" i="3" s="1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E145" i="3"/>
  <c r="E348" i="3" s="1"/>
  <c r="D145" i="3"/>
  <c r="C145" i="3"/>
  <c r="B145" i="3"/>
  <c r="B348" i="3" s="1"/>
  <c r="A145" i="3"/>
  <c r="A348" i="3" s="1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E144" i="3"/>
  <c r="E347" i="3" s="1"/>
  <c r="D144" i="3"/>
  <c r="D347" i="3" s="1"/>
  <c r="C144" i="3"/>
  <c r="C347" i="3" s="1"/>
  <c r="B144" i="3"/>
  <c r="A144" i="3"/>
  <c r="A347" i="3" s="1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E143" i="3"/>
  <c r="E346" i="3" s="1"/>
  <c r="D143" i="3"/>
  <c r="D346" i="3" s="1"/>
  <c r="C143" i="3"/>
  <c r="C346" i="3" s="1"/>
  <c r="B143" i="3"/>
  <c r="B346" i="3" s="1"/>
  <c r="A143" i="3"/>
  <c r="A346" i="3" s="1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E142" i="3"/>
  <c r="E345" i="3" s="1"/>
  <c r="D142" i="3"/>
  <c r="D345" i="3" s="1"/>
  <c r="C142" i="3"/>
  <c r="C345" i="3" s="1"/>
  <c r="B142" i="3"/>
  <c r="B345" i="3" s="1"/>
  <c r="A142" i="3"/>
  <c r="A345" i="3" s="1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E141" i="3"/>
  <c r="D141" i="3"/>
  <c r="C141" i="3"/>
  <c r="B141" i="3"/>
  <c r="A141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E140" i="3"/>
  <c r="E343" i="3" s="1"/>
  <c r="D140" i="3"/>
  <c r="D343" i="3" s="1"/>
  <c r="C140" i="3"/>
  <c r="C343" i="3" s="1"/>
  <c r="B140" i="3"/>
  <c r="B343" i="3" s="1"/>
  <c r="A140" i="3"/>
  <c r="A343" i="3" s="1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E139" i="3"/>
  <c r="E342" i="3" s="1"/>
  <c r="D139" i="3"/>
  <c r="D342" i="3" s="1"/>
  <c r="C139" i="3"/>
  <c r="C342" i="3" s="1"/>
  <c r="B139" i="3"/>
  <c r="B342" i="3" s="1"/>
  <c r="A139" i="3"/>
  <c r="A342" i="3" s="1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E138" i="3"/>
  <c r="E341" i="3" s="1"/>
  <c r="D138" i="3"/>
  <c r="D341" i="3" s="1"/>
  <c r="C138" i="3"/>
  <c r="C341" i="3" s="1"/>
  <c r="B138" i="3"/>
  <c r="B341" i="3" s="1"/>
  <c r="A138" i="3"/>
  <c r="A341" i="3" s="1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E137" i="3"/>
  <c r="E340" i="3" s="1"/>
  <c r="D137" i="3"/>
  <c r="D340" i="3" s="1"/>
  <c r="C137" i="3"/>
  <c r="C340" i="3" s="1"/>
  <c r="B137" i="3"/>
  <c r="B340" i="3" s="1"/>
  <c r="A137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E136" i="3"/>
  <c r="E339" i="3" s="1"/>
  <c r="D136" i="3"/>
  <c r="D339" i="3" s="1"/>
  <c r="C136" i="3"/>
  <c r="B136" i="3"/>
  <c r="A136" i="3"/>
  <c r="A339" i="3" s="1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E135" i="3"/>
  <c r="E338" i="3" s="1"/>
  <c r="D135" i="3"/>
  <c r="D338" i="3" s="1"/>
  <c r="C135" i="3"/>
  <c r="C338" i="3" s="1"/>
  <c r="B135" i="3"/>
  <c r="B338" i="3" s="1"/>
  <c r="A135" i="3"/>
  <c r="A338" i="3" s="1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E134" i="3"/>
  <c r="E337" i="3" s="1"/>
  <c r="D134" i="3"/>
  <c r="C134" i="3"/>
  <c r="C337" i="3" s="1"/>
  <c r="B134" i="3"/>
  <c r="B337" i="3" s="1"/>
  <c r="A134" i="3"/>
  <c r="A337" i="3" s="1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E133" i="3"/>
  <c r="E336" i="3" s="1"/>
  <c r="D133" i="3"/>
  <c r="D336" i="3" s="1"/>
  <c r="C133" i="3"/>
  <c r="C336" i="3" s="1"/>
  <c r="B133" i="3"/>
  <c r="B336" i="3" s="1"/>
  <c r="A133" i="3"/>
  <c r="A336" i="3" s="1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E132" i="3"/>
  <c r="E335" i="3" s="1"/>
  <c r="D132" i="3"/>
  <c r="D335" i="3" s="1"/>
  <c r="C132" i="3"/>
  <c r="C335" i="3" s="1"/>
  <c r="B132" i="3"/>
  <c r="B335" i="3" s="1"/>
  <c r="A132" i="3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E131" i="3"/>
  <c r="E334" i="3" s="1"/>
  <c r="D131" i="3"/>
  <c r="D334" i="3" s="1"/>
  <c r="C131" i="3"/>
  <c r="C334" i="3" s="1"/>
  <c r="B131" i="3"/>
  <c r="B334" i="3" s="1"/>
  <c r="A131" i="3"/>
  <c r="A334" i="3" s="1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E130" i="3"/>
  <c r="E333" i="3" s="1"/>
  <c r="D130" i="3"/>
  <c r="D333" i="3" s="1"/>
  <c r="C130" i="3"/>
  <c r="C333" i="3" s="1"/>
  <c r="B130" i="3"/>
  <c r="B333" i="3" s="1"/>
  <c r="A130" i="3"/>
  <c r="A333" i="3" s="1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E129" i="3"/>
  <c r="D129" i="3"/>
  <c r="C129" i="3"/>
  <c r="B129" i="3"/>
  <c r="A129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E128" i="3"/>
  <c r="D128" i="3"/>
  <c r="C128" i="3"/>
  <c r="B128" i="3"/>
  <c r="B331" i="3" s="1"/>
  <c r="A128" i="3"/>
  <c r="A331" i="3" s="1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E127" i="3"/>
  <c r="E330" i="3" s="1"/>
  <c r="D127" i="3"/>
  <c r="D330" i="3" s="1"/>
  <c r="C127" i="3"/>
  <c r="C330" i="3" s="1"/>
  <c r="B127" i="3"/>
  <c r="B330" i="3" s="1"/>
  <c r="A127" i="3"/>
  <c r="A330" i="3" s="1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E126" i="3"/>
  <c r="E329" i="3" s="1"/>
  <c r="D126" i="3"/>
  <c r="D329" i="3" s="1"/>
  <c r="C126" i="3"/>
  <c r="C329" i="3" s="1"/>
  <c r="B126" i="3"/>
  <c r="B329" i="3" s="1"/>
  <c r="A126" i="3"/>
  <c r="A329" i="3" s="1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E125" i="3"/>
  <c r="E328" i="3" s="1"/>
  <c r="D125" i="3"/>
  <c r="D328" i="3" s="1"/>
  <c r="C125" i="3"/>
  <c r="B125" i="3"/>
  <c r="B328" i="3" s="1"/>
  <c r="A125" i="3"/>
  <c r="A328" i="3" s="1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E124" i="3"/>
  <c r="E327" i="3" s="1"/>
  <c r="D124" i="3"/>
  <c r="D327" i="3" s="1"/>
  <c r="C124" i="3"/>
  <c r="C327" i="3" s="1"/>
  <c r="B124" i="3"/>
  <c r="B327" i="3" s="1"/>
  <c r="A124" i="3"/>
  <c r="A327" i="3" s="1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E123" i="3"/>
  <c r="E326" i="3" s="1"/>
  <c r="D123" i="3"/>
  <c r="D326" i="3" s="1"/>
  <c r="C123" i="3"/>
  <c r="C326" i="3" s="1"/>
  <c r="B123" i="3"/>
  <c r="B326" i="3" s="1"/>
  <c r="A123" i="3"/>
  <c r="A326" i="3" s="1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E122" i="3"/>
  <c r="E325" i="3" s="1"/>
  <c r="D122" i="3"/>
  <c r="D325" i="3" s="1"/>
  <c r="C122" i="3"/>
  <c r="C325" i="3" s="1"/>
  <c r="B122" i="3"/>
  <c r="B325" i="3" s="1"/>
  <c r="A122" i="3"/>
  <c r="A325" i="3" s="1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E121" i="3"/>
  <c r="D121" i="3"/>
  <c r="C121" i="3"/>
  <c r="B121" i="3"/>
  <c r="B324" i="3" s="1"/>
  <c r="A121" i="3"/>
  <c r="A324" i="3" s="1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E120" i="3"/>
  <c r="E323" i="3" s="1"/>
  <c r="D120" i="3"/>
  <c r="D323" i="3" s="1"/>
  <c r="C120" i="3"/>
  <c r="C323" i="3" s="1"/>
  <c r="B120" i="3"/>
  <c r="B323" i="3" s="1"/>
  <c r="A120" i="3"/>
  <c r="A323" i="3" s="1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E119" i="3"/>
  <c r="E322" i="3" s="1"/>
  <c r="D119" i="3"/>
  <c r="C119" i="3"/>
  <c r="C322" i="3" s="1"/>
  <c r="B119" i="3"/>
  <c r="B322" i="3" s="1"/>
  <c r="A119" i="3"/>
  <c r="A322" i="3" s="1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E118" i="3"/>
  <c r="E321" i="3" s="1"/>
  <c r="D118" i="3"/>
  <c r="D321" i="3" s="1"/>
  <c r="C118" i="3"/>
  <c r="C321" i="3" s="1"/>
  <c r="B118" i="3"/>
  <c r="B321" i="3" s="1"/>
  <c r="A118" i="3"/>
  <c r="A321" i="3" s="1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E117" i="3"/>
  <c r="B117" i="3"/>
  <c r="A117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E116" i="3"/>
  <c r="E320" i="3" s="1"/>
  <c r="D116" i="3"/>
  <c r="D320" i="3" s="1"/>
  <c r="C116" i="3"/>
  <c r="C320" i="3" s="1"/>
  <c r="B116" i="3"/>
  <c r="B320" i="3" s="1"/>
  <c r="A116" i="3"/>
  <c r="A320" i="3" s="1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E115" i="3"/>
  <c r="E319" i="3" s="1"/>
  <c r="D115" i="3"/>
  <c r="D319" i="3" s="1"/>
  <c r="C115" i="3"/>
  <c r="B115" i="3"/>
  <c r="A115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E114" i="3"/>
  <c r="E318" i="3" s="1"/>
  <c r="D114" i="3"/>
  <c r="D318" i="3" s="1"/>
  <c r="C114" i="3"/>
  <c r="C318" i="3" s="1"/>
  <c r="B114" i="3"/>
  <c r="B318" i="3" s="1"/>
  <c r="A114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E113" i="3"/>
  <c r="D113" i="3"/>
  <c r="D317" i="3" s="1"/>
  <c r="C113" i="3"/>
  <c r="C317" i="3" s="1"/>
  <c r="B113" i="3"/>
  <c r="B317" i="3" s="1"/>
  <c r="A113" i="3"/>
  <c r="A317" i="3" s="1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E112" i="3"/>
  <c r="E316" i="3" s="1"/>
  <c r="D112" i="3"/>
  <c r="C112" i="3"/>
  <c r="B112" i="3"/>
  <c r="A112" i="3"/>
  <c r="A316" i="3" s="1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E111" i="3"/>
  <c r="E315" i="3" s="1"/>
  <c r="D111" i="3"/>
  <c r="D315" i="3" s="1"/>
  <c r="C111" i="3"/>
  <c r="C315" i="3" s="1"/>
  <c r="B111" i="3"/>
  <c r="A111" i="3"/>
  <c r="A315" i="3" s="1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E110" i="3"/>
  <c r="E314" i="3" s="1"/>
  <c r="D110" i="3"/>
  <c r="D314" i="3" s="1"/>
  <c r="C110" i="3"/>
  <c r="C314" i="3" s="1"/>
  <c r="B110" i="3"/>
  <c r="B314" i="3" s="1"/>
  <c r="A110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E109" i="3"/>
  <c r="D109" i="3"/>
  <c r="D313" i="3" s="1"/>
  <c r="C109" i="3"/>
  <c r="C313" i="3" s="1"/>
  <c r="B109" i="3"/>
  <c r="B313" i="3" s="1"/>
  <c r="A109" i="3"/>
  <c r="A313" i="3" s="1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E108" i="3"/>
  <c r="E312" i="3" s="1"/>
  <c r="D108" i="3"/>
  <c r="D312" i="3" s="1"/>
  <c r="C108" i="3"/>
  <c r="B108" i="3"/>
  <c r="A108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E107" i="3"/>
  <c r="E311" i="3" s="1"/>
  <c r="D107" i="3"/>
  <c r="D311" i="3" s="1"/>
  <c r="C107" i="3"/>
  <c r="B107" i="3"/>
  <c r="A107" i="3"/>
  <c r="A311" i="3" s="1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E106" i="3"/>
  <c r="E310" i="3" s="1"/>
  <c r="D106" i="3"/>
  <c r="D310" i="3" s="1"/>
  <c r="C106" i="3"/>
  <c r="C310" i="3" s="1"/>
  <c r="B106" i="3"/>
  <c r="A106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E105" i="3"/>
  <c r="E309" i="3" s="1"/>
  <c r="D105" i="3"/>
  <c r="D309" i="3" s="1"/>
  <c r="C105" i="3"/>
  <c r="C309" i="3" s="1"/>
  <c r="B105" i="3"/>
  <c r="A105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E104" i="3"/>
  <c r="E308" i="3" s="1"/>
  <c r="D104" i="3"/>
  <c r="D308" i="3" s="1"/>
  <c r="C104" i="3"/>
  <c r="C308" i="3" s="1"/>
  <c r="B104" i="3"/>
  <c r="B308" i="3" s="1"/>
  <c r="A104" i="3"/>
  <c r="A308" i="3" s="1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E103" i="3"/>
  <c r="E307" i="3" s="1"/>
  <c r="D103" i="3"/>
  <c r="D307" i="3" s="1"/>
  <c r="C103" i="3"/>
  <c r="C307" i="3" s="1"/>
  <c r="B103" i="3"/>
  <c r="B307" i="3" s="1"/>
  <c r="A103" i="3"/>
  <c r="A307" i="3" s="1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E102" i="3"/>
  <c r="E306" i="3" s="1"/>
  <c r="D102" i="3"/>
  <c r="D306" i="3" s="1"/>
  <c r="C102" i="3"/>
  <c r="C306" i="3" s="1"/>
  <c r="B102" i="3"/>
  <c r="B306" i="3" s="1"/>
  <c r="A102" i="3"/>
  <c r="A306" i="3" s="1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E101" i="3"/>
  <c r="D101" i="3"/>
  <c r="C101" i="3"/>
  <c r="C305" i="3" s="1"/>
  <c r="B101" i="3"/>
  <c r="B305" i="3" s="1"/>
  <c r="A101" i="3"/>
  <c r="A305" i="3" s="1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E100" i="3"/>
  <c r="E304" i="3" s="1"/>
  <c r="D100" i="3"/>
  <c r="D304" i="3" s="1"/>
  <c r="C100" i="3"/>
  <c r="C304" i="3" s="1"/>
  <c r="B100" i="3"/>
  <c r="B304" i="3" s="1"/>
  <c r="A100" i="3"/>
  <c r="A304" i="3" s="1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E99" i="3"/>
  <c r="E303" i="3" s="1"/>
  <c r="D99" i="3"/>
  <c r="D303" i="3" s="1"/>
  <c r="C99" i="3"/>
  <c r="C303" i="3" s="1"/>
  <c r="B99" i="3"/>
  <c r="B303" i="3" s="1"/>
  <c r="A99" i="3"/>
  <c r="A303" i="3" s="1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E98" i="3"/>
  <c r="E302" i="3" s="1"/>
  <c r="D98" i="3"/>
  <c r="D302" i="3" s="1"/>
  <c r="C98" i="3"/>
  <c r="C302" i="3" s="1"/>
  <c r="B98" i="3"/>
  <c r="B302" i="3" s="1"/>
  <c r="A98" i="3"/>
  <c r="A302" i="3" s="1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E97" i="3"/>
  <c r="E301" i="3" s="1"/>
  <c r="D97" i="3"/>
  <c r="D301" i="3" s="1"/>
  <c r="C97" i="3"/>
  <c r="C301" i="3" s="1"/>
  <c r="B97" i="3"/>
  <c r="B301" i="3" s="1"/>
  <c r="A97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E96" i="3"/>
  <c r="E300" i="3" s="1"/>
  <c r="D96" i="3"/>
  <c r="D300" i="3" s="1"/>
  <c r="C96" i="3"/>
  <c r="C300" i="3" s="1"/>
  <c r="B96" i="3"/>
  <c r="B300" i="3" s="1"/>
  <c r="A96" i="3"/>
  <c r="A300" i="3" s="1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E95" i="3"/>
  <c r="E299" i="3" s="1"/>
  <c r="D95" i="3"/>
  <c r="D299" i="3" s="1"/>
  <c r="C95" i="3"/>
  <c r="C299" i="3" s="1"/>
  <c r="B95" i="3"/>
  <c r="B299" i="3" s="1"/>
  <c r="A95" i="3"/>
  <c r="A299" i="3" s="1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E94" i="3"/>
  <c r="E298" i="3" s="1"/>
  <c r="D94" i="3"/>
  <c r="D298" i="3" s="1"/>
  <c r="C94" i="3"/>
  <c r="C298" i="3" s="1"/>
  <c r="B94" i="3"/>
  <c r="B298" i="3" s="1"/>
  <c r="A94" i="3"/>
  <c r="A298" i="3" s="1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E93" i="3"/>
  <c r="D93" i="3"/>
  <c r="D93" i="2" s="1"/>
  <c r="C93" i="3"/>
  <c r="C297" i="3" s="1"/>
  <c r="B93" i="3"/>
  <c r="A93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E92" i="3"/>
  <c r="D92" i="3"/>
  <c r="C92" i="3"/>
  <c r="B92" i="3"/>
  <c r="A92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E91" i="3"/>
  <c r="E295" i="3" s="1"/>
  <c r="D91" i="3"/>
  <c r="D295" i="3" s="1"/>
  <c r="C91" i="3"/>
  <c r="C295" i="3" s="1"/>
  <c r="B91" i="3"/>
  <c r="B295" i="3" s="1"/>
  <c r="A91" i="3"/>
  <c r="A295" i="3" s="1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E90" i="3"/>
  <c r="E294" i="3" s="1"/>
  <c r="D90" i="3"/>
  <c r="D294" i="3" s="1"/>
  <c r="C90" i="3"/>
  <c r="C294" i="3" s="1"/>
  <c r="B90" i="3"/>
  <c r="B294" i="3" s="1"/>
  <c r="A90" i="3"/>
  <c r="A294" i="3" s="1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E89" i="3"/>
  <c r="D89" i="3"/>
  <c r="C89" i="3"/>
  <c r="C293" i="3" s="1"/>
  <c r="B89" i="3"/>
  <c r="B293" i="3" s="1"/>
  <c r="A89" i="3"/>
  <c r="A293" i="3" s="1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E88" i="3"/>
  <c r="E292" i="3" s="1"/>
  <c r="D88" i="3"/>
  <c r="D292" i="3" s="1"/>
  <c r="C88" i="3"/>
  <c r="C292" i="3" s="1"/>
  <c r="B88" i="3"/>
  <c r="B292" i="3" s="1"/>
  <c r="A88" i="3"/>
  <c r="A292" i="3" s="1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E87" i="3"/>
  <c r="E291" i="3" s="1"/>
  <c r="D87" i="3"/>
  <c r="D291" i="3" s="1"/>
  <c r="C87" i="3"/>
  <c r="C291" i="3" s="1"/>
  <c r="B87" i="3"/>
  <c r="B291" i="3" s="1"/>
  <c r="A87" i="3"/>
  <c r="A291" i="3" s="1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E86" i="3"/>
  <c r="E290" i="3" s="1"/>
  <c r="D86" i="3"/>
  <c r="D290" i="3" s="1"/>
  <c r="C86" i="3"/>
  <c r="C290" i="3" s="1"/>
  <c r="B86" i="3"/>
  <c r="A86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E85" i="3"/>
  <c r="E289" i="3" s="1"/>
  <c r="D85" i="3"/>
  <c r="D289" i="3" s="1"/>
  <c r="C85" i="3"/>
  <c r="B85" i="3"/>
  <c r="A85" i="3"/>
  <c r="A289" i="3" s="1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E84" i="3"/>
  <c r="E288" i="3" s="1"/>
  <c r="D84" i="3"/>
  <c r="D288" i="3" s="1"/>
  <c r="C84" i="3"/>
  <c r="C288" i="3" s="1"/>
  <c r="B84" i="3"/>
  <c r="A84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E83" i="3"/>
  <c r="E287" i="3" s="1"/>
  <c r="D83" i="3"/>
  <c r="C83" i="3"/>
  <c r="B83" i="3"/>
  <c r="A83" i="3"/>
  <c r="A287" i="3" s="1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E82" i="3"/>
  <c r="D82" i="3"/>
  <c r="D286" i="3" s="1"/>
  <c r="C82" i="3"/>
  <c r="C286" i="3" s="1"/>
  <c r="B82" i="3"/>
  <c r="B286" i="3" s="1"/>
  <c r="A82" i="3"/>
  <c r="A286" i="3" s="1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E81" i="3"/>
  <c r="D81" i="3"/>
  <c r="D285" i="3" s="1"/>
  <c r="C81" i="3"/>
  <c r="C285" i="3" s="1"/>
  <c r="B81" i="3"/>
  <c r="B285" i="3" s="1"/>
  <c r="A81" i="3"/>
  <c r="A285" i="3" s="1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E80" i="3"/>
  <c r="E284" i="3" s="1"/>
  <c r="D80" i="3"/>
  <c r="D284" i="3" s="1"/>
  <c r="C80" i="3"/>
  <c r="C284" i="3" s="1"/>
  <c r="B80" i="3"/>
  <c r="B284" i="3" s="1"/>
  <c r="A80" i="3"/>
  <c r="A284" i="3" s="1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E79" i="3"/>
  <c r="B79" i="3"/>
  <c r="A79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E78" i="3"/>
  <c r="E283" i="3" s="1"/>
  <c r="D78" i="3"/>
  <c r="D283" i="3" s="1"/>
  <c r="C78" i="3"/>
  <c r="C283" i="3" s="1"/>
  <c r="B78" i="3"/>
  <c r="B283" i="3" s="1"/>
  <c r="A78" i="3"/>
  <c r="A283" i="3" s="1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E77" i="3"/>
  <c r="E282" i="3" s="1"/>
  <c r="D77" i="3"/>
  <c r="D282" i="3" s="1"/>
  <c r="C77" i="3"/>
  <c r="C282" i="3" s="1"/>
  <c r="B77" i="3"/>
  <c r="B282" i="3" s="1"/>
  <c r="A77" i="3"/>
  <c r="A282" i="3" s="1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E76" i="3"/>
  <c r="D76" i="3"/>
  <c r="D281" i="3" s="1"/>
  <c r="C76" i="3"/>
  <c r="C281" i="3" s="1"/>
  <c r="B76" i="3"/>
  <c r="B281" i="3" s="1"/>
  <c r="A76" i="3"/>
  <c r="A281" i="3" s="1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E75" i="3"/>
  <c r="E280" i="3" s="1"/>
  <c r="D75" i="3"/>
  <c r="D280" i="3" s="1"/>
  <c r="C75" i="3"/>
  <c r="C280" i="3" s="1"/>
  <c r="B75" i="3"/>
  <c r="B280" i="3" s="1"/>
  <c r="A75" i="3"/>
  <c r="A280" i="3" s="1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E74" i="3"/>
  <c r="E279" i="3" s="1"/>
  <c r="D74" i="3"/>
  <c r="D279" i="3" s="1"/>
  <c r="C74" i="3"/>
  <c r="C279" i="3" s="1"/>
  <c r="B74" i="3"/>
  <c r="B279" i="3" s="1"/>
  <c r="A74" i="3"/>
  <c r="A279" i="3" s="1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E73" i="3"/>
  <c r="E278" i="3" s="1"/>
  <c r="D73" i="3"/>
  <c r="D278" i="3" s="1"/>
  <c r="C73" i="3"/>
  <c r="C278" i="3" s="1"/>
  <c r="B73" i="3"/>
  <c r="A73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E72" i="3"/>
  <c r="E277" i="3" s="1"/>
  <c r="D72" i="3"/>
  <c r="C72" i="3"/>
  <c r="B72" i="3"/>
  <c r="A72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E71" i="3"/>
  <c r="D71" i="3"/>
  <c r="D276" i="3" s="1"/>
  <c r="C71" i="3"/>
  <c r="C276" i="3" s="1"/>
  <c r="B71" i="3"/>
  <c r="B276" i="3" s="1"/>
  <c r="A71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E70" i="3"/>
  <c r="E275" i="3" s="1"/>
  <c r="D70" i="3"/>
  <c r="D275" i="3" s="1"/>
  <c r="C70" i="3"/>
  <c r="C275" i="3" s="1"/>
  <c r="B70" i="3"/>
  <c r="B275" i="3" s="1"/>
  <c r="A70" i="3"/>
  <c r="A275" i="3" s="1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E69" i="3"/>
  <c r="D69" i="3"/>
  <c r="C69" i="3"/>
  <c r="B69" i="3"/>
  <c r="A69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E68" i="3"/>
  <c r="E273" i="3" s="1"/>
  <c r="D68" i="3"/>
  <c r="D273" i="3" s="1"/>
  <c r="C68" i="3"/>
  <c r="C273" i="3" s="1"/>
  <c r="B68" i="3"/>
  <c r="B273" i="3" s="1"/>
  <c r="A68" i="3"/>
  <c r="A273" i="3" s="1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E67" i="3"/>
  <c r="E272" i="3" s="1"/>
  <c r="D67" i="3"/>
  <c r="D272" i="3" s="1"/>
  <c r="C67" i="3"/>
  <c r="C272" i="3" s="1"/>
  <c r="B67" i="3"/>
  <c r="B272" i="3" s="1"/>
  <c r="A67" i="3"/>
  <c r="A272" i="3" s="1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E66" i="3"/>
  <c r="E271" i="3" s="1"/>
  <c r="D66" i="3"/>
  <c r="D271" i="3" s="1"/>
  <c r="C66" i="3"/>
  <c r="C271" i="3" s="1"/>
  <c r="B66" i="3"/>
  <c r="B271" i="3" s="1"/>
  <c r="A66" i="3"/>
  <c r="A271" i="3" s="1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E65" i="3"/>
  <c r="D65" i="3"/>
  <c r="C65" i="3"/>
  <c r="C270" i="3" s="1"/>
  <c r="B65" i="3"/>
  <c r="A65" i="3"/>
  <c r="A270" i="3" s="1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E64" i="3"/>
  <c r="E269" i="3" s="1"/>
  <c r="D64" i="3"/>
  <c r="D269" i="3" s="1"/>
  <c r="C64" i="3"/>
  <c r="C269" i="3" s="1"/>
  <c r="B64" i="3"/>
  <c r="B269" i="3" s="1"/>
  <c r="A64" i="3"/>
  <c r="A269" i="3" s="1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E63" i="3"/>
  <c r="E268" i="3" s="1"/>
  <c r="D63" i="3"/>
  <c r="D268" i="3" s="1"/>
  <c r="C63" i="3"/>
  <c r="C268" i="3" s="1"/>
  <c r="B63" i="3"/>
  <c r="B268" i="3" s="1"/>
  <c r="A63" i="3"/>
  <c r="A268" i="3" s="1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E62" i="3"/>
  <c r="E267" i="3" s="1"/>
  <c r="D62" i="3"/>
  <c r="D267" i="3" s="1"/>
  <c r="C62" i="3"/>
  <c r="C267" i="3" s="1"/>
  <c r="B62" i="3"/>
  <c r="B267" i="3" s="1"/>
  <c r="A62" i="3"/>
  <c r="A267" i="3" s="1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E61" i="3"/>
  <c r="E266" i="3" s="1"/>
  <c r="D61" i="3"/>
  <c r="D266" i="3" s="1"/>
  <c r="C61" i="3"/>
  <c r="C266" i="3" s="1"/>
  <c r="B61" i="3"/>
  <c r="B266" i="3" s="1"/>
  <c r="A61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E60" i="3"/>
  <c r="D60" i="3"/>
  <c r="C60" i="3"/>
  <c r="C265" i="3" s="1"/>
  <c r="B60" i="3"/>
  <c r="B265" i="3" s="1"/>
  <c r="A60" i="3"/>
  <c r="A265" i="3" s="1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E59" i="3"/>
  <c r="D59" i="3"/>
  <c r="D264" i="3" s="1"/>
  <c r="C59" i="3"/>
  <c r="B59" i="3"/>
  <c r="A59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E58" i="3"/>
  <c r="E263" i="3" s="1"/>
  <c r="D58" i="3"/>
  <c r="D263" i="3" s="1"/>
  <c r="C58" i="3"/>
  <c r="C263" i="3" s="1"/>
  <c r="B58" i="3"/>
  <c r="B263" i="3" s="1"/>
  <c r="A58" i="3"/>
  <c r="A263" i="3" s="1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E57" i="3"/>
  <c r="E262" i="3" s="1"/>
  <c r="D57" i="3"/>
  <c r="D262" i="3" s="1"/>
  <c r="C57" i="3"/>
  <c r="C262" i="3" s="1"/>
  <c r="B57" i="3"/>
  <c r="A57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E56" i="3"/>
  <c r="E261" i="3" s="1"/>
  <c r="D56" i="3"/>
  <c r="D261" i="3" s="1"/>
  <c r="C56" i="3"/>
  <c r="C261" i="3" s="1"/>
  <c r="B56" i="3"/>
  <c r="B261" i="3" s="1"/>
  <c r="A56" i="3"/>
  <c r="A261" i="3" s="1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E55" i="3"/>
  <c r="E260" i="3" s="1"/>
  <c r="D55" i="3"/>
  <c r="D260" i="3" s="1"/>
  <c r="C55" i="3"/>
  <c r="C260" i="3" s="1"/>
  <c r="B55" i="3"/>
  <c r="B260" i="3" s="1"/>
  <c r="A55" i="3"/>
  <c r="A260" i="3" s="1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E54" i="3"/>
  <c r="E259" i="3" s="1"/>
  <c r="D54" i="3"/>
  <c r="D259" i="3" s="1"/>
  <c r="C54" i="3"/>
  <c r="C259" i="3" s="1"/>
  <c r="B54" i="3"/>
  <c r="B259" i="3" s="1"/>
  <c r="A54" i="3"/>
  <c r="A259" i="3" s="1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E53" i="3"/>
  <c r="E258" i="3" s="1"/>
  <c r="D53" i="3"/>
  <c r="C53" i="3"/>
  <c r="B53" i="3"/>
  <c r="B258" i="3" s="1"/>
  <c r="A53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E52" i="3"/>
  <c r="D52" i="3"/>
  <c r="C52" i="3"/>
  <c r="C257" i="3" s="1"/>
  <c r="B52" i="3"/>
  <c r="A52" i="3"/>
  <c r="A257" i="3" s="1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E51" i="3"/>
  <c r="E256" i="3" s="1"/>
  <c r="D51" i="3"/>
  <c r="D256" i="3" s="1"/>
  <c r="C51" i="3"/>
  <c r="C256" i="3" s="1"/>
  <c r="B51" i="3"/>
  <c r="B256" i="3" s="1"/>
  <c r="A51" i="3"/>
  <c r="A256" i="3" s="1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E50" i="3"/>
  <c r="E255" i="3" s="1"/>
  <c r="D50" i="3"/>
  <c r="D255" i="3" s="1"/>
  <c r="C50" i="3"/>
  <c r="C255" i="3" s="1"/>
  <c r="B50" i="3"/>
  <c r="B255" i="3" s="1"/>
  <c r="A50" i="3"/>
  <c r="A255" i="3" s="1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E49" i="3"/>
  <c r="E254" i="3" s="1"/>
  <c r="D49" i="3"/>
  <c r="D254" i="3" s="1"/>
  <c r="C49" i="3"/>
  <c r="C254" i="3" s="1"/>
  <c r="B49" i="3"/>
  <c r="A49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E48" i="3"/>
  <c r="E253" i="3" s="1"/>
  <c r="D48" i="3"/>
  <c r="C48" i="3"/>
  <c r="C253" i="3" s="1"/>
  <c r="B48" i="3"/>
  <c r="B253" i="3" s="1"/>
  <c r="A48" i="3"/>
  <c r="A253" i="3" s="1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E47" i="3"/>
  <c r="E252" i="3" s="1"/>
  <c r="D47" i="3"/>
  <c r="D252" i="3" s="1"/>
  <c r="C47" i="3"/>
  <c r="B47" i="3"/>
  <c r="A47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E46" i="3"/>
  <c r="D46" i="3"/>
  <c r="C46" i="3"/>
  <c r="B46" i="3"/>
  <c r="B251" i="3" s="1"/>
  <c r="A46" i="3"/>
  <c r="A251" i="3" s="1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E45" i="3"/>
  <c r="E250" i="3" s="1"/>
  <c r="D45" i="3"/>
  <c r="D250" i="3" s="1"/>
  <c r="C45" i="3"/>
  <c r="C250" i="3" s="1"/>
  <c r="B45" i="3"/>
  <c r="B250" i="3" s="1"/>
  <c r="A45" i="3"/>
  <c r="A250" i="3" s="1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E44" i="3"/>
  <c r="D44" i="3"/>
  <c r="C44" i="3"/>
  <c r="B44" i="3"/>
  <c r="B249" i="3" s="1"/>
  <c r="A44" i="3"/>
  <c r="A249" i="3" s="1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E43" i="3"/>
  <c r="D43" i="3"/>
  <c r="D248" i="3" s="1"/>
  <c r="C43" i="3"/>
  <c r="C248" i="3" s="1"/>
  <c r="B43" i="3"/>
  <c r="B248" i="3" s="1"/>
  <c r="A43" i="3"/>
  <c r="A248" i="3" s="1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E42" i="3"/>
  <c r="E247" i="3" s="1"/>
  <c r="D42" i="3"/>
  <c r="D247" i="3" s="1"/>
  <c r="C42" i="3"/>
  <c r="C247" i="3" s="1"/>
  <c r="B42" i="3"/>
  <c r="B247" i="3" s="1"/>
  <c r="A42" i="3"/>
  <c r="A247" i="3" s="1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E41" i="3"/>
  <c r="B41" i="3"/>
  <c r="A41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E40" i="3"/>
  <c r="E246" i="3" s="1"/>
  <c r="D40" i="3"/>
  <c r="C40" i="3"/>
  <c r="C246" i="3" s="1"/>
  <c r="B40" i="3"/>
  <c r="B246" i="3" s="1"/>
  <c r="A40" i="3"/>
  <c r="A246" i="3" s="1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E39" i="3"/>
  <c r="E245" i="3" s="1"/>
  <c r="D39" i="3"/>
  <c r="D245" i="3" s="1"/>
  <c r="C39" i="3"/>
  <c r="C245" i="3" s="1"/>
  <c r="B39" i="3"/>
  <c r="B245" i="3" s="1"/>
  <c r="A39" i="3"/>
  <c r="A245" i="3" s="1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E38" i="3"/>
  <c r="E244" i="3" s="1"/>
  <c r="D38" i="3"/>
  <c r="C38" i="3"/>
  <c r="C244" i="3" s="1"/>
  <c r="B38" i="3"/>
  <c r="B244" i="3" s="1"/>
  <c r="A38" i="3"/>
  <c r="A244" i="3" s="1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E37" i="3"/>
  <c r="E243" i="3" s="1"/>
  <c r="D37" i="3"/>
  <c r="D243" i="3" s="1"/>
  <c r="C37" i="3"/>
  <c r="B37" i="3"/>
  <c r="B243" i="3" s="1"/>
  <c r="A37" i="3"/>
  <c r="A243" i="3" s="1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E36" i="3"/>
  <c r="D36" i="3"/>
  <c r="C36" i="3"/>
  <c r="C242" i="3" s="1"/>
  <c r="B36" i="3"/>
  <c r="B242" i="3" s="1"/>
  <c r="A36" i="3"/>
  <c r="A242" i="3" s="1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E35" i="3"/>
  <c r="E241" i="3" s="1"/>
  <c r="D35" i="3"/>
  <c r="D241" i="3" s="1"/>
  <c r="C35" i="3"/>
  <c r="C241" i="3" s="1"/>
  <c r="B35" i="3"/>
  <c r="B241" i="3" s="1"/>
  <c r="A35" i="3"/>
  <c r="A241" i="3" s="1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E34" i="3"/>
  <c r="E240" i="3" s="1"/>
  <c r="D34" i="3"/>
  <c r="D240" i="3" s="1"/>
  <c r="C34" i="3"/>
  <c r="C240" i="3" s="1"/>
  <c r="B34" i="3"/>
  <c r="B240" i="3" s="1"/>
  <c r="A34" i="3"/>
  <c r="A240" i="3" s="1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E33" i="3"/>
  <c r="E239" i="3" s="1"/>
  <c r="D33" i="3"/>
  <c r="D239" i="3" s="1"/>
  <c r="C33" i="3"/>
  <c r="C239" i="3" s="1"/>
  <c r="B33" i="3"/>
  <c r="B239" i="3" s="1"/>
  <c r="A33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E32" i="3"/>
  <c r="D32" i="3"/>
  <c r="C32" i="3"/>
  <c r="C238" i="3" s="1"/>
  <c r="B32" i="3"/>
  <c r="B238" i="3" s="1"/>
  <c r="A32" i="3"/>
  <c r="A238" i="3" s="1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E31" i="3"/>
  <c r="E237" i="3" s="1"/>
  <c r="D31" i="3"/>
  <c r="D237" i="3" s="1"/>
  <c r="C31" i="3"/>
  <c r="C237" i="3" s="1"/>
  <c r="B31" i="3"/>
  <c r="A31" i="3"/>
  <c r="A237" i="3" s="1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E30" i="3"/>
  <c r="E236" i="3" s="1"/>
  <c r="D30" i="3"/>
  <c r="D236" i="3" s="1"/>
  <c r="C30" i="3"/>
  <c r="C236" i="3" s="1"/>
  <c r="B30" i="3"/>
  <c r="B236" i="3" s="1"/>
  <c r="A30" i="3"/>
  <c r="A236" i="3" s="1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E29" i="3"/>
  <c r="E235" i="3" s="1"/>
  <c r="D29" i="3"/>
  <c r="C29" i="3"/>
  <c r="C235" i="3" s="1"/>
  <c r="B29" i="3"/>
  <c r="B235" i="3" s="1"/>
  <c r="A29" i="3"/>
  <c r="A29" i="2" s="1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E28" i="3"/>
  <c r="D28" i="3"/>
  <c r="D234" i="3" s="1"/>
  <c r="C28" i="3"/>
  <c r="C234" i="3" s="1"/>
  <c r="B28" i="3"/>
  <c r="B234" i="3" s="1"/>
  <c r="A28" i="3"/>
  <c r="A234" i="3" s="1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E27" i="3"/>
  <c r="E233" i="3" s="1"/>
  <c r="D27" i="3"/>
  <c r="D233" i="3" s="1"/>
  <c r="C27" i="3"/>
  <c r="C233" i="3" s="1"/>
  <c r="B27" i="3"/>
  <c r="B233" i="3" s="1"/>
  <c r="A27" i="3"/>
  <c r="A233" i="3" s="1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E26" i="3"/>
  <c r="D26" i="3"/>
  <c r="C26" i="3"/>
  <c r="C232" i="3" s="1"/>
  <c r="B26" i="3"/>
  <c r="B232" i="3" s="1"/>
  <c r="A26" i="3"/>
  <c r="A232" i="3" s="1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E25" i="3"/>
  <c r="E231" i="3" s="1"/>
  <c r="D25" i="3"/>
  <c r="D231" i="3" s="1"/>
  <c r="C25" i="3"/>
  <c r="C231" i="3" s="1"/>
  <c r="B25" i="3"/>
  <c r="B231" i="3" s="1"/>
  <c r="A25" i="3"/>
  <c r="A231" i="3" s="1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E24" i="3"/>
  <c r="E230" i="3" s="1"/>
  <c r="D24" i="3"/>
  <c r="D230" i="3" s="1"/>
  <c r="C24" i="3"/>
  <c r="B24" i="3"/>
  <c r="A24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E23" i="3"/>
  <c r="E229" i="3" s="1"/>
  <c r="D23" i="3"/>
  <c r="D229" i="3" s="1"/>
  <c r="C23" i="3"/>
  <c r="B23" i="3"/>
  <c r="A23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E22" i="3"/>
  <c r="E228" i="3" s="1"/>
  <c r="D22" i="3"/>
  <c r="D228" i="3" s="1"/>
  <c r="C22" i="3"/>
  <c r="C228" i="3" s="1"/>
  <c r="B22" i="3"/>
  <c r="B228" i="3" s="1"/>
  <c r="A22" i="3"/>
  <c r="A228" i="3" s="1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E21" i="3"/>
  <c r="D21" i="3"/>
  <c r="C21" i="3"/>
  <c r="B21" i="3"/>
  <c r="A21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E20" i="3"/>
  <c r="D20" i="3"/>
  <c r="C20" i="3"/>
  <c r="C226" i="3" s="1"/>
  <c r="B20" i="3"/>
  <c r="B226" i="3" s="1"/>
  <c r="A20" i="3"/>
  <c r="A226" i="3" s="1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E19" i="3"/>
  <c r="D19" i="3"/>
  <c r="C19" i="3"/>
  <c r="C225" i="3" s="1"/>
  <c r="B19" i="3"/>
  <c r="B225" i="3" s="1"/>
  <c r="A19" i="3"/>
  <c r="A225" i="3" s="1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E18" i="3"/>
  <c r="E224" i="3" s="1"/>
  <c r="D18" i="3"/>
  <c r="C18" i="3"/>
  <c r="C224" i="3" s="1"/>
  <c r="B18" i="3"/>
  <c r="B224" i="3" s="1"/>
  <c r="A18" i="3"/>
  <c r="A224" i="3" s="1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E17" i="3"/>
  <c r="E223" i="3" s="1"/>
  <c r="D17" i="3"/>
  <c r="D223" i="3" s="1"/>
  <c r="C17" i="3"/>
  <c r="B17" i="3"/>
  <c r="B223" i="3" s="1"/>
  <c r="A17" i="3"/>
  <c r="A223" i="3" s="1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E16" i="3"/>
  <c r="D16" i="3"/>
  <c r="C16" i="3"/>
  <c r="B16" i="3"/>
  <c r="A16" i="3"/>
  <c r="A222" i="3" s="1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E15" i="3"/>
  <c r="E221" i="3" s="1"/>
  <c r="D15" i="3"/>
  <c r="D221" i="3" s="1"/>
  <c r="C15" i="3"/>
  <c r="B15" i="3"/>
  <c r="B221" i="3" s="1"/>
  <c r="A15" i="3"/>
  <c r="A221" i="3" s="1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E14" i="3"/>
  <c r="E220" i="3" s="1"/>
  <c r="D14" i="3"/>
  <c r="D220" i="3" s="1"/>
  <c r="C14" i="3"/>
  <c r="C220" i="3" s="1"/>
  <c r="B14" i="3"/>
  <c r="B220" i="3" s="1"/>
  <c r="A14" i="3"/>
  <c r="A220" i="3" s="1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E13" i="3"/>
  <c r="E219" i="3" s="1"/>
  <c r="D13" i="3"/>
  <c r="D219" i="3" s="1"/>
  <c r="C13" i="3"/>
  <c r="C219" i="3" s="1"/>
  <c r="B13" i="3"/>
  <c r="A13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E12" i="3"/>
  <c r="E218" i="3" s="1"/>
  <c r="D12" i="3"/>
  <c r="C12" i="3"/>
  <c r="B12" i="3"/>
  <c r="A12" i="3"/>
  <c r="A218" i="3" s="1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E11" i="3"/>
  <c r="E217" i="3" s="1"/>
  <c r="D11" i="3"/>
  <c r="D217" i="3" s="1"/>
  <c r="C11" i="3"/>
  <c r="C217" i="3" s="1"/>
  <c r="B11" i="3"/>
  <c r="B217" i="3" s="1"/>
  <c r="A11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E10" i="3"/>
  <c r="E216" i="3" s="1"/>
  <c r="D10" i="3"/>
  <c r="D216" i="3" s="1"/>
  <c r="C10" i="3"/>
  <c r="C216" i="3" s="1"/>
  <c r="B10" i="3"/>
  <c r="B216" i="3" s="1"/>
  <c r="A10" i="3"/>
  <c r="A216" i="3" s="1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E9" i="3"/>
  <c r="E215" i="3" s="1"/>
  <c r="D9" i="3"/>
  <c r="D215" i="3" s="1"/>
  <c r="C9" i="3"/>
  <c r="C215" i="3" s="1"/>
  <c r="B9" i="3"/>
  <c r="B215" i="3" s="1"/>
  <c r="A9" i="3"/>
  <c r="A215" i="3" s="1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E8" i="3"/>
  <c r="D8" i="3"/>
  <c r="C8" i="3"/>
  <c r="B8" i="3"/>
  <c r="A8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E7" i="3"/>
  <c r="D7" i="3"/>
  <c r="C7" i="3"/>
  <c r="B7" i="3"/>
  <c r="A7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E6" i="3"/>
  <c r="E212" i="3" s="1"/>
  <c r="D6" i="3"/>
  <c r="D212" i="3" s="1"/>
  <c r="C6" i="3"/>
  <c r="C212" i="3" s="1"/>
  <c r="B6" i="3"/>
  <c r="B212" i="3" s="1"/>
  <c r="A6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E5" i="3"/>
  <c r="D5" i="3"/>
  <c r="C5" i="3"/>
  <c r="B5" i="3"/>
  <c r="B211" i="3" s="1"/>
  <c r="A5" i="3"/>
  <c r="A211" i="3" s="1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E4" i="3"/>
  <c r="D4" i="3"/>
  <c r="C4" i="3"/>
  <c r="C210" i="3" s="1"/>
  <c r="B4" i="3"/>
  <c r="B210" i="3" s="1"/>
  <c r="A4" i="3"/>
  <c r="A210" i="3" s="1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E3" i="3"/>
  <c r="B3" i="3"/>
  <c r="A3" i="3"/>
  <c r="E2" i="3"/>
  <c r="D2" i="3"/>
  <c r="C2" i="3"/>
  <c r="C2" i="2" s="1"/>
  <c r="B2" i="3"/>
  <c r="B2" i="2" s="1"/>
  <c r="A2" i="3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E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E179" i="2"/>
  <c r="D179" i="2"/>
  <c r="C179" i="2"/>
  <c r="A179" i="2"/>
  <c r="E178" i="2"/>
  <c r="D178" i="2"/>
  <c r="C178" i="2"/>
  <c r="B178" i="2"/>
  <c r="A178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E173" i="2"/>
  <c r="D173" i="2"/>
  <c r="C173" i="2"/>
  <c r="B173" i="2"/>
  <c r="A173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B168" i="2"/>
  <c r="A168" i="2"/>
  <c r="E167" i="2"/>
  <c r="D167" i="2"/>
  <c r="B167" i="2"/>
  <c r="A167" i="2"/>
  <c r="E166" i="2"/>
  <c r="D166" i="2"/>
  <c r="C166" i="2"/>
  <c r="B166" i="2"/>
  <c r="A166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E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A152" i="2"/>
  <c r="E151" i="2"/>
  <c r="D151" i="2"/>
  <c r="C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A146" i="2"/>
  <c r="E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B141" i="2"/>
  <c r="A141" i="2"/>
  <c r="E140" i="2"/>
  <c r="D140" i="2"/>
  <c r="C140" i="2"/>
  <c r="B140" i="2"/>
  <c r="A140" i="2"/>
  <c r="E139" i="2"/>
  <c r="D139" i="2"/>
  <c r="C139" i="2"/>
  <c r="B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D113" i="2"/>
  <c r="C113" i="2"/>
  <c r="B113" i="2"/>
  <c r="A113" i="2"/>
  <c r="E112" i="2"/>
  <c r="A112" i="2"/>
  <c r="E111" i="2"/>
  <c r="D111" i="2"/>
  <c r="C111" i="2"/>
  <c r="A111" i="2"/>
  <c r="E110" i="2"/>
  <c r="D110" i="2"/>
  <c r="C110" i="2"/>
  <c r="B110" i="2"/>
  <c r="A110" i="2"/>
  <c r="D109" i="2"/>
  <c r="C109" i="2"/>
  <c r="B109" i="2"/>
  <c r="A109" i="2"/>
  <c r="E108" i="2"/>
  <c r="D108" i="2"/>
  <c r="C108" i="2"/>
  <c r="B108" i="2"/>
  <c r="A108" i="2"/>
  <c r="E107" i="2"/>
  <c r="A107" i="2"/>
  <c r="E106" i="2"/>
  <c r="D106" i="2"/>
  <c r="C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C93" i="2"/>
  <c r="B93" i="2"/>
  <c r="A93" i="2"/>
  <c r="E91" i="2"/>
  <c r="D91" i="2"/>
  <c r="C91" i="2"/>
  <c r="B91" i="2"/>
  <c r="A91" i="2"/>
  <c r="E90" i="2"/>
  <c r="D90" i="2"/>
  <c r="C90" i="2"/>
  <c r="B90" i="2"/>
  <c r="A90" i="2"/>
  <c r="C89" i="2"/>
  <c r="B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E83" i="2"/>
  <c r="A83" i="2"/>
  <c r="E82" i="2"/>
  <c r="D82" i="2"/>
  <c r="C82" i="2"/>
  <c r="B82" i="2"/>
  <c r="A82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E72" i="2"/>
  <c r="D72" i="2"/>
  <c r="C72" i="2"/>
  <c r="B72" i="2"/>
  <c r="A72" i="2"/>
  <c r="D71" i="2"/>
  <c r="C71" i="2"/>
  <c r="B71" i="2"/>
  <c r="A71" i="2"/>
  <c r="E70" i="2"/>
  <c r="D70" i="2"/>
  <c r="C70" i="2"/>
  <c r="B70" i="2"/>
  <c r="A70" i="2"/>
  <c r="E68" i="2"/>
  <c r="D68" i="2"/>
  <c r="C68" i="2"/>
  <c r="B68" i="2"/>
  <c r="A68" i="2"/>
  <c r="E67" i="2"/>
  <c r="D67" i="2"/>
  <c r="C67" i="2"/>
  <c r="B67" i="2"/>
  <c r="E66" i="2"/>
  <c r="D66" i="2"/>
  <c r="C66" i="2"/>
  <c r="B66" i="2"/>
  <c r="A66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E60" i="2"/>
  <c r="D60" i="2"/>
  <c r="C60" i="2"/>
  <c r="D59" i="2"/>
  <c r="E58" i="2"/>
  <c r="D58" i="2"/>
  <c r="C58" i="2"/>
  <c r="B58" i="2"/>
  <c r="A58" i="2"/>
  <c r="E57" i="2"/>
  <c r="D57" i="2"/>
  <c r="C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B53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E48" i="2"/>
  <c r="C48" i="2"/>
  <c r="B48" i="2"/>
  <c r="A48" i="2"/>
  <c r="E47" i="2"/>
  <c r="C47" i="2"/>
  <c r="E46" i="2"/>
  <c r="D46" i="2"/>
  <c r="C46" i="2"/>
  <c r="B46" i="2"/>
  <c r="A46" i="2"/>
  <c r="E45" i="2"/>
  <c r="D45" i="2"/>
  <c r="C45" i="2"/>
  <c r="B45" i="2"/>
  <c r="A45" i="2"/>
  <c r="C44" i="2"/>
  <c r="B44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C40" i="2"/>
  <c r="B40" i="2"/>
  <c r="A40" i="2"/>
  <c r="E39" i="2"/>
  <c r="D39" i="2"/>
  <c r="C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E34" i="2"/>
  <c r="D34" i="2"/>
  <c r="C34" i="2"/>
  <c r="B34" i="2"/>
  <c r="A34" i="2"/>
  <c r="E33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D28" i="2"/>
  <c r="C28" i="2"/>
  <c r="B28" i="2"/>
  <c r="A28" i="2"/>
  <c r="E27" i="2"/>
  <c r="D27" i="2"/>
  <c r="C27" i="2"/>
  <c r="C26" i="2"/>
  <c r="B26" i="2"/>
  <c r="A26" i="2"/>
  <c r="E25" i="2"/>
  <c r="D25" i="2"/>
  <c r="C25" i="2"/>
  <c r="B25" i="2"/>
  <c r="A25" i="2"/>
  <c r="E24" i="2"/>
  <c r="D24" i="2"/>
  <c r="A24" i="2"/>
  <c r="E23" i="2"/>
  <c r="D23" i="2"/>
  <c r="E22" i="2"/>
  <c r="D22" i="2"/>
  <c r="C22" i="2"/>
  <c r="B22" i="2"/>
  <c r="A22" i="2"/>
  <c r="E21" i="2"/>
  <c r="C20" i="2"/>
  <c r="B20" i="2"/>
  <c r="A20" i="2"/>
  <c r="E19" i="2"/>
  <c r="D19" i="2"/>
  <c r="C19" i="2"/>
  <c r="B19" i="2"/>
  <c r="A19" i="2"/>
  <c r="E18" i="2"/>
  <c r="C18" i="2"/>
  <c r="B18" i="2"/>
  <c r="A18" i="2"/>
  <c r="E17" i="2"/>
  <c r="D17" i="2"/>
  <c r="A17" i="2"/>
  <c r="B16" i="2"/>
  <c r="A16" i="2"/>
  <c r="E15" i="2"/>
  <c r="D15" i="2"/>
  <c r="E14" i="2"/>
  <c r="D14" i="2"/>
  <c r="C14" i="2"/>
  <c r="B14" i="2"/>
  <c r="A14" i="2"/>
  <c r="E13" i="2"/>
  <c r="E12" i="2"/>
  <c r="D12" i="2"/>
  <c r="C12" i="2"/>
  <c r="A12" i="2"/>
  <c r="E11" i="2"/>
  <c r="D11" i="2"/>
  <c r="C11" i="2"/>
  <c r="B11" i="2"/>
  <c r="E10" i="2"/>
  <c r="D10" i="2"/>
  <c r="C10" i="2"/>
  <c r="B10" i="2"/>
  <c r="A10" i="2"/>
  <c r="E9" i="2"/>
  <c r="D9" i="2"/>
  <c r="C9" i="2"/>
  <c r="B9" i="2"/>
  <c r="A9" i="2"/>
  <c r="E6" i="2"/>
  <c r="D6" i="2"/>
  <c r="C6" i="2"/>
  <c r="B6" i="2"/>
  <c r="A6" i="2"/>
  <c r="E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A2" i="2"/>
  <c r="F325" i="3"/>
  <c r="F352" i="3"/>
  <c r="F315" i="3"/>
  <c r="F278" i="3"/>
  <c r="F282" i="3"/>
  <c r="F298" i="3"/>
  <c r="F262" i="3"/>
  <c r="F356" i="3"/>
  <c r="F231" i="3"/>
  <c r="F293" i="3"/>
  <c r="F265" i="3"/>
  <c r="F360" i="3"/>
  <c r="F234" i="3"/>
  <c r="F246" i="3"/>
  <c r="F368" i="3"/>
  <c r="F213" i="3"/>
  <c r="F243" i="3"/>
  <c r="F260" i="3"/>
  <c r="F338" i="3"/>
  <c r="F290" i="3"/>
  <c r="F382" i="3"/>
  <c r="F258" i="3"/>
  <c r="F346" i="3"/>
  <c r="F276" i="3"/>
  <c r="F307" i="3"/>
  <c r="F380" i="3"/>
  <c r="F367" i="3"/>
  <c r="F223" i="3"/>
  <c r="F344" i="3"/>
  <c r="F281" i="3"/>
  <c r="F271" i="3"/>
  <c r="F317" i="3"/>
  <c r="F240" i="3"/>
  <c r="F287" i="3"/>
  <c r="F392" i="3"/>
  <c r="F267" i="3"/>
  <c r="F212" i="3"/>
  <c r="F309" i="3"/>
  <c r="F327" i="3"/>
  <c r="F284" i="3"/>
  <c r="F334" i="3"/>
  <c r="F389" i="3"/>
  <c r="F381" i="3"/>
  <c r="F329" i="3"/>
  <c r="F339" i="3"/>
  <c r="F289" i="3"/>
  <c r="F310" i="3"/>
  <c r="F257" i="3"/>
  <c r="F321" i="3"/>
  <c r="F349" i="3"/>
  <c r="F272" i="3"/>
  <c r="F314" i="3"/>
  <c r="F305" i="3"/>
  <c r="F373" i="3"/>
  <c r="C417" i="3"/>
  <c r="F299" i="3"/>
  <c r="F319" i="3"/>
  <c r="F328" i="3"/>
  <c r="F251" i="3"/>
  <c r="F386" i="3"/>
  <c r="F296" i="3"/>
  <c r="F318" i="3"/>
  <c r="F303" i="3"/>
  <c r="F363" i="3"/>
  <c r="F219" i="3"/>
  <c r="F354" i="3"/>
  <c r="F390" i="3"/>
  <c r="F283" i="3"/>
  <c r="F295" i="3"/>
  <c r="F330" i="3"/>
  <c r="F277" i="3"/>
  <c r="F345" i="3"/>
  <c r="F342" i="3"/>
  <c r="F336" i="3"/>
  <c r="F370" i="3"/>
  <c r="F224" i="3"/>
  <c r="F261" i="3"/>
  <c r="F273" i="3"/>
  <c r="F250" i="3"/>
  <c r="F285" i="3"/>
  <c r="F391" i="3"/>
  <c r="F333" i="3"/>
  <c r="F371" i="3"/>
  <c r="F255" i="3"/>
  <c r="F361" i="3"/>
  <c r="F375" i="3"/>
  <c r="F324" i="3"/>
  <c r="F252" i="3"/>
  <c r="F376" i="3"/>
  <c r="F378" i="3"/>
  <c r="F379" i="3"/>
  <c r="F264" i="3"/>
  <c r="F259" i="3"/>
  <c r="F308" i="3"/>
  <c r="F226" i="3"/>
  <c r="F216" i="3"/>
  <c r="F247" i="3"/>
  <c r="F229" i="3"/>
  <c r="F215" i="3"/>
  <c r="F323" i="3"/>
  <c r="F357" i="3"/>
  <c r="F320" i="3"/>
  <c r="F286" i="3"/>
  <c r="F331" i="3"/>
  <c r="F340" i="3"/>
  <c r="F270" i="3"/>
  <c r="F211" i="3"/>
  <c r="F366" i="3"/>
  <c r="F266" i="3"/>
  <c r="F374" i="3"/>
  <c r="F385" i="3"/>
  <c r="F311" i="3"/>
  <c r="F256" i="3"/>
  <c r="F393" i="3"/>
  <c r="F313" i="3"/>
  <c r="F227" i="3"/>
  <c r="F291" i="3"/>
  <c r="F253" i="3"/>
  <c r="F221" i="3"/>
  <c r="F306" i="3"/>
  <c r="F387" i="3"/>
  <c r="F210" i="3"/>
  <c r="F237" i="3"/>
  <c r="F353" i="3"/>
  <c r="F268" i="3"/>
  <c r="F394" i="3"/>
  <c r="C415" i="3"/>
  <c r="F326" i="3"/>
  <c r="F217" i="3"/>
  <c r="F364" i="3"/>
  <c r="F332" i="3"/>
  <c r="F362" i="3"/>
  <c r="F239" i="3"/>
  <c r="F275" i="3"/>
  <c r="F316" i="3"/>
  <c r="F280" i="3"/>
  <c r="F301" i="3"/>
  <c r="F236" i="3"/>
  <c r="F292" i="3"/>
  <c r="F220" i="3"/>
  <c r="F322" i="3"/>
  <c r="F244" i="3"/>
  <c r="F365" i="3"/>
  <c r="F377" i="3"/>
  <c r="F359" i="3"/>
  <c r="F214" i="3"/>
  <c r="F245" i="3"/>
  <c r="F235" i="3"/>
  <c r="F242" i="3"/>
  <c r="F279" i="3"/>
  <c r="C419" i="3"/>
  <c r="F288" i="3"/>
  <c r="F222" i="3"/>
  <c r="F241" i="3"/>
  <c r="F294" i="3"/>
  <c r="F369" i="3"/>
  <c r="F269" i="3"/>
  <c r="F263" i="3"/>
  <c r="F304" i="3"/>
  <c r="F312" i="3"/>
  <c r="F388" i="3"/>
  <c r="F337" i="3"/>
  <c r="F225" i="3"/>
  <c r="F218" i="3"/>
  <c r="F300" i="3"/>
  <c r="F297" i="3"/>
  <c r="F350" i="3"/>
  <c r="F358" i="3"/>
  <c r="F248" i="3"/>
  <c r="F228" i="3"/>
  <c r="F302" i="3"/>
  <c r="F232" i="3"/>
  <c r="F249" i="3"/>
  <c r="F372" i="3"/>
  <c r="F254" i="3"/>
  <c r="F383" i="3"/>
  <c r="F274" i="3"/>
  <c r="F343" i="3"/>
  <c r="F238" i="3"/>
  <c r="F347" i="3"/>
  <c r="F355" i="3"/>
  <c r="F348" i="3"/>
  <c r="F233" i="3"/>
  <c r="F341" i="3"/>
  <c r="F335" i="3"/>
  <c r="F351" i="3"/>
  <c r="F230" i="3"/>
  <c r="F384" i="3"/>
  <c r="B403" i="3" l="1"/>
  <c r="E213" i="3"/>
  <c r="E7" i="2"/>
  <c r="C211" i="3"/>
  <c r="C5" i="2"/>
  <c r="B229" i="3"/>
  <c r="B23" i="2"/>
  <c r="A266" i="3"/>
  <c r="A61" i="2"/>
  <c r="C229" i="3"/>
  <c r="C23" i="2"/>
  <c r="D337" i="3"/>
  <c r="D134" i="2"/>
  <c r="A214" i="3"/>
  <c r="A8" i="2"/>
  <c r="B214" i="3"/>
  <c r="B8" i="2"/>
  <c r="D47" i="2"/>
  <c r="B315" i="3"/>
  <c r="B111" i="2"/>
  <c r="E238" i="3"/>
  <c r="E32" i="2"/>
  <c r="C274" i="3"/>
  <c r="C69" i="2"/>
  <c r="A376" i="3"/>
  <c r="A174" i="2"/>
  <c r="A227" i="3"/>
  <c r="A21" i="2"/>
  <c r="B227" i="3"/>
  <c r="B21" i="2"/>
  <c r="C227" i="3"/>
  <c r="C21" i="2"/>
  <c r="A213" i="3"/>
  <c r="A7" i="2"/>
  <c r="A252" i="3"/>
  <c r="A47" i="2"/>
  <c r="D224" i="3"/>
  <c r="D18" i="2"/>
  <c r="D65" i="2"/>
  <c r="D270" i="3"/>
  <c r="C311" i="3"/>
  <c r="C107" i="2"/>
  <c r="A217" i="3"/>
  <c r="A11" i="2"/>
  <c r="D238" i="3"/>
  <c r="D32" i="2"/>
  <c r="A335" i="3"/>
  <c r="A132" i="2"/>
  <c r="C230" i="3"/>
  <c r="C24" i="2"/>
  <c r="D386" i="3"/>
  <c r="D184" i="2"/>
  <c r="E264" i="3"/>
  <c r="E59" i="2"/>
  <c r="B213" i="3"/>
  <c r="B7" i="2"/>
  <c r="B252" i="3"/>
  <c r="B47" i="2"/>
  <c r="B355" i="3"/>
  <c r="B152" i="2"/>
  <c r="D213" i="3"/>
  <c r="D7" i="2"/>
  <c r="B311" i="3"/>
  <c r="B107" i="2"/>
  <c r="D211" i="3"/>
  <c r="D5" i="2"/>
  <c r="C214" i="3"/>
  <c r="C8" i="2"/>
  <c r="D214" i="3"/>
  <c r="D8" i="2"/>
  <c r="A229" i="3"/>
  <c r="A23" i="2"/>
  <c r="E214" i="3"/>
  <c r="E8" i="2"/>
  <c r="C386" i="3"/>
  <c r="C184" i="2"/>
  <c r="C213" i="3"/>
  <c r="C7" i="2"/>
  <c r="C355" i="3"/>
  <c r="C152" i="2"/>
  <c r="E270" i="3"/>
  <c r="E65" i="2"/>
  <c r="D227" i="3"/>
  <c r="D21" i="2"/>
  <c r="D222" i="3"/>
  <c r="D16" i="2"/>
  <c r="C223" i="3"/>
  <c r="C17" i="2"/>
  <c r="A49" i="2"/>
  <c r="A254" i="3"/>
  <c r="A387" i="3"/>
  <c r="A185" i="2"/>
  <c r="B219" i="3"/>
  <c r="B13" i="2"/>
  <c r="B254" i="3"/>
  <c r="B49" i="2"/>
  <c r="B257" i="3"/>
  <c r="B52" i="2"/>
  <c r="A27" i="2"/>
  <c r="B316" i="3"/>
  <c r="B112" i="2"/>
  <c r="C316" i="3"/>
  <c r="C112" i="2"/>
  <c r="B33" i="2"/>
  <c r="A15" i="2"/>
  <c r="C33" i="2"/>
  <c r="D33" i="2"/>
  <c r="A35" i="2"/>
  <c r="D253" i="3"/>
  <c r="D48" i="2"/>
  <c r="A264" i="3"/>
  <c r="A59" i="2"/>
  <c r="A67" i="2"/>
  <c r="B264" i="3"/>
  <c r="B59" i="2"/>
  <c r="E296" i="3"/>
  <c r="E92" i="2"/>
  <c r="D344" i="3"/>
  <c r="D141" i="2"/>
  <c r="E313" i="3"/>
  <c r="E109" i="2"/>
  <c r="A219" i="3"/>
  <c r="A13" i="2"/>
  <c r="D322" i="3"/>
  <c r="D119" i="2"/>
  <c r="E222" i="3"/>
  <c r="E16" i="2"/>
  <c r="C221" i="3"/>
  <c r="C15" i="2"/>
  <c r="B57" i="2"/>
  <c r="B262" i="3"/>
  <c r="D226" i="3"/>
  <c r="D20" i="2"/>
  <c r="A310" i="3"/>
  <c r="A106" i="2"/>
  <c r="E226" i="3"/>
  <c r="E20" i="2"/>
  <c r="B17" i="2"/>
  <c r="E232" i="3"/>
  <c r="E26" i="2"/>
  <c r="C296" i="3"/>
  <c r="C92" i="2"/>
  <c r="B15" i="2"/>
  <c r="A139" i="2"/>
  <c r="A318" i="3"/>
  <c r="A114" i="2"/>
  <c r="A60" i="2"/>
  <c r="C167" i="2"/>
  <c r="C264" i="3"/>
  <c r="C59" i="2"/>
  <c r="A274" i="3"/>
  <c r="A69" i="2"/>
  <c r="D128" i="2"/>
  <c r="D331" i="3"/>
  <c r="C222" i="3"/>
  <c r="C16" i="2"/>
  <c r="E317" i="3"/>
  <c r="E113" i="2"/>
  <c r="A288" i="3"/>
  <c r="A84" i="2"/>
  <c r="C360" i="3"/>
  <c r="C158" i="2"/>
  <c r="A382" i="3"/>
  <c r="A180" i="2"/>
  <c r="E249" i="3"/>
  <c r="E44" i="2"/>
  <c r="B27" i="2"/>
  <c r="D232" i="3"/>
  <c r="D26" i="2"/>
  <c r="D316" i="3"/>
  <c r="D112" i="2"/>
  <c r="E248" i="3"/>
  <c r="E43" i="2"/>
  <c r="D296" i="3"/>
  <c r="D92" i="2"/>
  <c r="B60" i="2"/>
  <c r="B146" i="2"/>
  <c r="B230" i="3"/>
  <c r="B24" i="2"/>
  <c r="B274" i="3"/>
  <c r="B69" i="2"/>
  <c r="E281" i="3"/>
  <c r="E76" i="2"/>
  <c r="D363" i="3"/>
  <c r="D161" i="2"/>
  <c r="E274" i="3"/>
  <c r="E69" i="2"/>
  <c r="E285" i="3"/>
  <c r="E81" i="2"/>
  <c r="D305" i="3"/>
  <c r="D101" i="2"/>
  <c r="C379" i="3"/>
  <c r="C177" i="2"/>
  <c r="C370" i="3"/>
  <c r="C168" i="2"/>
  <c r="C13" i="2"/>
  <c r="B39" i="2"/>
  <c r="B278" i="3"/>
  <c r="B73" i="2"/>
  <c r="D348" i="3"/>
  <c r="D145" i="2"/>
  <c r="B354" i="3"/>
  <c r="B151" i="2"/>
  <c r="E276" i="3"/>
  <c r="E71" i="2"/>
  <c r="D257" i="3"/>
  <c r="D52" i="2"/>
  <c r="E257" i="3"/>
  <c r="E52" i="2"/>
  <c r="C258" i="3"/>
  <c r="C53" i="2"/>
  <c r="B287" i="3"/>
  <c r="B83" i="2"/>
  <c r="D258" i="3"/>
  <c r="D53" i="2"/>
  <c r="A177" i="2"/>
  <c r="A278" i="3"/>
  <c r="A73" i="2"/>
  <c r="C348" i="3"/>
  <c r="C145" i="2"/>
  <c r="D370" i="3"/>
  <c r="D168" i="2"/>
  <c r="D13" i="2"/>
  <c r="C52" i="2"/>
  <c r="B114" i="2"/>
  <c r="B218" i="3"/>
  <c r="B12" i="2"/>
  <c r="A296" i="3"/>
  <c r="A92" i="2"/>
  <c r="E374" i="3"/>
  <c r="E172" i="2"/>
  <c r="D274" i="3"/>
  <c r="D69" i="2"/>
  <c r="B288" i="3"/>
  <c r="B84" i="2"/>
  <c r="A258" i="3"/>
  <c r="A53" i="2"/>
  <c r="B381" i="3"/>
  <c r="B179" i="2"/>
  <c r="E234" i="3"/>
  <c r="E28" i="2"/>
  <c r="C287" i="3"/>
  <c r="C83" i="2"/>
  <c r="D287" i="3"/>
  <c r="D83" i="2"/>
  <c r="A354" i="3"/>
  <c r="A151" i="2"/>
  <c r="C114" i="2"/>
  <c r="E293" i="3"/>
  <c r="E89" i="2"/>
  <c r="B296" i="3"/>
  <c r="B92" i="2"/>
  <c r="B310" i="3"/>
  <c r="B106" i="2"/>
  <c r="A44" i="2"/>
  <c r="D246" i="3"/>
  <c r="D40" i="2"/>
  <c r="A235" i="3"/>
  <c r="A89" i="2"/>
  <c r="D107" i="2"/>
  <c r="A239" i="3"/>
  <c r="A33" i="2"/>
  <c r="D249" i="3"/>
  <c r="D44" i="2"/>
  <c r="D293" i="3"/>
  <c r="D89" i="2"/>
  <c r="C141" i="2"/>
  <c r="C344" i="3"/>
  <c r="A364" i="3"/>
  <c r="A162" i="2"/>
  <c r="E297" i="3"/>
  <c r="E93" i="2"/>
  <c r="C328" i="3"/>
  <c r="C125" i="2"/>
  <c r="E344" i="3"/>
  <c r="E141" i="2"/>
  <c r="D379" i="3"/>
  <c r="D177" i="2"/>
  <c r="E379" i="3"/>
  <c r="E177" i="2"/>
  <c r="E305" i="3"/>
  <c r="E101" i="2"/>
  <c r="E367" i="3"/>
  <c r="E165" i="2"/>
  <c r="C206" i="3"/>
  <c r="B206" i="3"/>
  <c r="B415" i="3" l="1"/>
  <c r="B419" i="3"/>
  <c r="B417" i="3"/>
  <c r="B407" i="3"/>
  <c r="B409" i="3"/>
  <c r="B411" i="3"/>
  <c r="AS413" i="3" l="1"/>
  <c r="AS414" i="3" s="1"/>
  <c r="Y413" i="3"/>
  <c r="Y414" i="3" s="1"/>
  <c r="E413" i="3"/>
  <c r="E414" i="3" s="1"/>
  <c r="AR413" i="3"/>
  <c r="AR414" i="3" s="1"/>
  <c r="X413" i="3"/>
  <c r="X414" i="3" s="1"/>
  <c r="D413" i="3"/>
  <c r="D414" i="3" s="1"/>
  <c r="AQ413" i="3"/>
  <c r="AQ414" i="3" s="1"/>
  <c r="W413" i="3"/>
  <c r="W414" i="3" s="1"/>
  <c r="C413" i="3"/>
  <c r="C414" i="3" s="1"/>
  <c r="BE413" i="3"/>
  <c r="BE414" i="3" s="1"/>
  <c r="AH413" i="3"/>
  <c r="AH414" i="3" s="1"/>
  <c r="K413" i="3"/>
  <c r="K414" i="3" s="1"/>
  <c r="BD413" i="3"/>
  <c r="BD414" i="3" s="1"/>
  <c r="AG413" i="3"/>
  <c r="AG414" i="3" s="1"/>
  <c r="J413" i="3"/>
  <c r="J414" i="3" s="1"/>
  <c r="BC413" i="3"/>
  <c r="BC414" i="3" s="1"/>
  <c r="AF413" i="3"/>
  <c r="AF414" i="3" s="1"/>
  <c r="I413" i="3"/>
  <c r="I414" i="3" s="1"/>
  <c r="BB413" i="3"/>
  <c r="BB414" i="3" s="1"/>
  <c r="AE413" i="3"/>
  <c r="AE414" i="3" s="1"/>
  <c r="H413" i="3"/>
  <c r="H414" i="3" s="1"/>
  <c r="BA413" i="3"/>
  <c r="BA414" i="3" s="1"/>
  <c r="AD413" i="3"/>
  <c r="AD414" i="3" s="1"/>
  <c r="G413" i="3"/>
  <c r="G414" i="3" s="1"/>
  <c r="AZ413" i="3"/>
  <c r="AZ414" i="3" s="1"/>
  <c r="AC413" i="3"/>
  <c r="AC414" i="3" s="1"/>
  <c r="F413" i="3"/>
  <c r="F414" i="3" s="1"/>
  <c r="AY413" i="3"/>
  <c r="AY414" i="3" s="1"/>
  <c r="AB413" i="3"/>
  <c r="AB414" i="3" s="1"/>
  <c r="B413" i="3"/>
  <c r="B414" i="3" s="1"/>
  <c r="AX413" i="3"/>
  <c r="AX414" i="3" s="1"/>
  <c r="AA413" i="3"/>
  <c r="AA414" i="3" s="1"/>
  <c r="AW413" i="3"/>
  <c r="AW414" i="3" s="1"/>
  <c r="Z413" i="3"/>
  <c r="Z414" i="3" s="1"/>
  <c r="BJ413" i="3"/>
  <c r="BJ414" i="3" s="1"/>
  <c r="R413" i="3"/>
  <c r="R414" i="3" s="1"/>
  <c r="BI413" i="3"/>
  <c r="BI414" i="3" s="1"/>
  <c r="Q413" i="3"/>
  <c r="Q414" i="3" s="1"/>
  <c r="BH413" i="3"/>
  <c r="BH414" i="3" s="1"/>
  <c r="P413" i="3"/>
  <c r="P414" i="3" s="1"/>
  <c r="BG413" i="3"/>
  <c r="BG414" i="3" s="1"/>
  <c r="O413" i="3"/>
  <c r="O414" i="3" s="1"/>
  <c r="T413" i="3"/>
  <c r="T414" i="3" s="1"/>
  <c r="S413" i="3"/>
  <c r="S414" i="3" s="1"/>
  <c r="N413" i="3"/>
  <c r="N414" i="3" s="1"/>
  <c r="M413" i="3"/>
  <c r="M414" i="3" s="1"/>
  <c r="AL413" i="3"/>
  <c r="AL414" i="3" s="1"/>
  <c r="AK413" i="3"/>
  <c r="AK414" i="3" s="1"/>
  <c r="AJ413" i="3"/>
  <c r="AJ414" i="3" s="1"/>
  <c r="AI413" i="3"/>
  <c r="AI414" i="3" s="1"/>
  <c r="BF413" i="3"/>
  <c r="BF414" i="3" s="1"/>
  <c r="AV413" i="3"/>
  <c r="AV414" i="3" s="1"/>
  <c r="AU413" i="3"/>
  <c r="AU414" i="3" s="1"/>
  <c r="AT413" i="3"/>
  <c r="AT414" i="3" s="1"/>
  <c r="U413" i="3"/>
  <c r="U414" i="3" s="1"/>
  <c r="L413" i="3"/>
  <c r="L414" i="3" s="1"/>
  <c r="AP413" i="3"/>
  <c r="AP414" i="3" s="1"/>
  <c r="AO413" i="3"/>
  <c r="AO414" i="3" s="1"/>
  <c r="V413" i="3"/>
  <c r="V414" i="3" s="1"/>
  <c r="AN413" i="3"/>
  <c r="AN414" i="3" s="1"/>
  <c r="AM413" i="3"/>
  <c r="AM414" i="3" s="1"/>
  <c r="AW421" i="3"/>
  <c r="AW422" i="3" s="1"/>
  <c r="AC421" i="3"/>
  <c r="AC422" i="3" s="1"/>
  <c r="I421" i="3"/>
  <c r="I422" i="3" s="1"/>
  <c r="AV421" i="3"/>
  <c r="AV422" i="3" s="1"/>
  <c r="AB421" i="3"/>
  <c r="AB422" i="3" s="1"/>
  <c r="H421" i="3"/>
  <c r="H422" i="3" s="1"/>
  <c r="AU421" i="3"/>
  <c r="AU422" i="3" s="1"/>
  <c r="AA421" i="3"/>
  <c r="AA422" i="3" s="1"/>
  <c r="G421" i="3"/>
  <c r="G422" i="3" s="1"/>
  <c r="BH421" i="3"/>
  <c r="BH422" i="3" s="1"/>
  <c r="AK421" i="3"/>
  <c r="AK422" i="3" s="1"/>
  <c r="N421" i="3"/>
  <c r="N422" i="3" s="1"/>
  <c r="BG421" i="3"/>
  <c r="BG422" i="3" s="1"/>
  <c r="AJ421" i="3"/>
  <c r="AJ422" i="3" s="1"/>
  <c r="M421" i="3"/>
  <c r="M422" i="3" s="1"/>
  <c r="BF421" i="3"/>
  <c r="BF422" i="3" s="1"/>
  <c r="AI421" i="3"/>
  <c r="AI422" i="3" s="1"/>
  <c r="L421" i="3"/>
  <c r="L422" i="3" s="1"/>
  <c r="BE421" i="3"/>
  <c r="BE422" i="3" s="1"/>
  <c r="AH421" i="3"/>
  <c r="AH422" i="3" s="1"/>
  <c r="K421" i="3"/>
  <c r="K422" i="3" s="1"/>
  <c r="BD421" i="3"/>
  <c r="BD422" i="3" s="1"/>
  <c r="AG421" i="3"/>
  <c r="AG422" i="3" s="1"/>
  <c r="J421" i="3"/>
  <c r="J422" i="3" s="1"/>
  <c r="BC421" i="3"/>
  <c r="BC422" i="3" s="1"/>
  <c r="AF421" i="3"/>
  <c r="AF422" i="3" s="1"/>
  <c r="F421" i="3"/>
  <c r="F422" i="3" s="1"/>
  <c r="BB421" i="3"/>
  <c r="BB422" i="3" s="1"/>
  <c r="AE421" i="3"/>
  <c r="AE422" i="3" s="1"/>
  <c r="E421" i="3"/>
  <c r="E422" i="3" s="1"/>
  <c r="BA421" i="3"/>
  <c r="BA422" i="3" s="1"/>
  <c r="AD421" i="3"/>
  <c r="AD422" i="3" s="1"/>
  <c r="D421" i="3"/>
  <c r="D422" i="3" s="1"/>
  <c r="AZ421" i="3"/>
  <c r="AZ422" i="3" s="1"/>
  <c r="Z421" i="3"/>
  <c r="Z422" i="3" s="1"/>
  <c r="C421" i="3"/>
  <c r="C422" i="3" s="1"/>
  <c r="AT421" i="3"/>
  <c r="AT422" i="3" s="1"/>
  <c r="B421" i="3"/>
  <c r="B422" i="3" s="1"/>
  <c r="AS421" i="3"/>
  <c r="AS422" i="3" s="1"/>
  <c r="AR421" i="3"/>
  <c r="AR422" i="3" s="1"/>
  <c r="AQ421" i="3"/>
  <c r="AQ422" i="3" s="1"/>
  <c r="AL421" i="3"/>
  <c r="AL422" i="3" s="1"/>
  <c r="Y421" i="3"/>
  <c r="Y422" i="3" s="1"/>
  <c r="X421" i="3"/>
  <c r="X422" i="3" s="1"/>
  <c r="W421" i="3"/>
  <c r="W422" i="3" s="1"/>
  <c r="R421" i="3"/>
  <c r="R422" i="3" s="1"/>
  <c r="Q421" i="3"/>
  <c r="Q422" i="3" s="1"/>
  <c r="P421" i="3"/>
  <c r="P422" i="3" s="1"/>
  <c r="O421" i="3"/>
  <c r="O422" i="3" s="1"/>
  <c r="BJ421" i="3"/>
  <c r="BJ422" i="3" s="1"/>
  <c r="BI421" i="3"/>
  <c r="BI422" i="3" s="1"/>
  <c r="AY421" i="3"/>
  <c r="AY422" i="3" s="1"/>
  <c r="AX421" i="3"/>
  <c r="AX422" i="3" s="1"/>
  <c r="AP421" i="3"/>
  <c r="AP422" i="3" s="1"/>
  <c r="AO421" i="3"/>
  <c r="AO422" i="3" s="1"/>
  <c r="AN421" i="3"/>
  <c r="AN422" i="3" s="1"/>
  <c r="AM421" i="3"/>
  <c r="AM422" i="3" s="1"/>
  <c r="V421" i="3"/>
  <c r="V422" i="3" s="1"/>
  <c r="U421" i="3"/>
  <c r="U422" i="3" s="1"/>
  <c r="T421" i="3"/>
  <c r="T422" i="3" s="1"/>
  <c r="S421" i="3"/>
  <c r="S422" i="3" s="1"/>
  <c r="AH2" i="3" l="1"/>
  <c r="AH2" i="2" s="1"/>
  <c r="CP2" i="3"/>
  <c r="Y2" i="3"/>
  <c r="Y2" i="2" s="1"/>
  <c r="CG2" i="3"/>
  <c r="BT2" i="3"/>
  <c r="L2" i="3"/>
  <c r="L2" i="2" s="1"/>
  <c r="DA2" i="3"/>
  <c r="AS2" i="3"/>
  <c r="AS2" i="2" s="1"/>
  <c r="DT2" i="3"/>
  <c r="BL2" i="3"/>
  <c r="BL2" i="2" s="1"/>
  <c r="CC2" i="3"/>
  <c r="U2" i="3"/>
  <c r="U2" i="2" s="1"/>
  <c r="BU2" i="3"/>
  <c r="M2" i="3"/>
  <c r="M2" i="2" s="1"/>
  <c r="CR2" i="3"/>
  <c r="AJ2" i="3"/>
  <c r="AJ2" i="2" s="1"/>
  <c r="DO2" i="3"/>
  <c r="BG2" i="3"/>
  <c r="BG2" i="2" s="1"/>
  <c r="BV2" i="3"/>
  <c r="N2" i="3"/>
  <c r="N2" i="2" s="1"/>
  <c r="BA2" i="3"/>
  <c r="BA2" i="2" s="1"/>
  <c r="DI2" i="3"/>
  <c r="DP2" i="3"/>
  <c r="BH2" i="3"/>
  <c r="BH2" i="2" s="1"/>
  <c r="AE2" i="3"/>
  <c r="AE2" i="2" s="1"/>
  <c r="CM2" i="3"/>
  <c r="BB2" i="3"/>
  <c r="BB2" i="2" s="1"/>
  <c r="DJ2" i="3"/>
  <c r="CW2" i="3"/>
  <c r="AO2" i="3"/>
  <c r="AO2" i="2" s="1"/>
  <c r="DB2" i="3"/>
  <c r="AT2" i="3"/>
  <c r="AT2" i="2" s="1"/>
  <c r="BX2" i="3"/>
  <c r="P2" i="3"/>
  <c r="P2" i="2" s="1"/>
  <c r="BO2" i="3"/>
  <c r="G2" i="3"/>
  <c r="G2" i="2" s="1"/>
  <c r="BY2" i="3"/>
  <c r="Q2" i="3"/>
  <c r="Q2" i="2" s="1"/>
  <c r="AA2" i="3"/>
  <c r="AA2" i="2" s="1"/>
  <c r="CI2" i="3"/>
  <c r="AU2" i="3"/>
  <c r="AU2" i="2" s="1"/>
  <c r="DC2" i="3"/>
  <c r="CA2" i="3"/>
  <c r="S2" i="3"/>
  <c r="S2" i="2" s="1"/>
  <c r="CZ2" i="3"/>
  <c r="AR2" i="3"/>
  <c r="AR2" i="2" s="1"/>
  <c r="AI2" i="3"/>
  <c r="AI2" i="2" s="1"/>
  <c r="CQ2" i="3"/>
  <c r="DN2" i="3"/>
  <c r="BF2" i="3"/>
  <c r="BF2" i="2" s="1"/>
  <c r="CF2" i="3"/>
  <c r="X2" i="3"/>
  <c r="X2" i="2" s="1"/>
  <c r="CK2" i="3"/>
  <c r="AC2" i="3"/>
  <c r="AC2" i="2" s="1"/>
  <c r="DH2" i="3"/>
  <c r="AZ2" i="3"/>
  <c r="AZ2" i="2" s="1"/>
  <c r="DG2" i="3"/>
  <c r="AY2" i="3"/>
  <c r="AY2" i="2" s="1"/>
  <c r="BI2" i="3"/>
  <c r="BI2" i="2" s="1"/>
  <c r="DQ2" i="3"/>
  <c r="B208" i="3"/>
  <c r="CU2" i="3"/>
  <c r="AM2" i="3"/>
  <c r="AM2" i="2" s="1"/>
  <c r="BN2" i="3"/>
  <c r="F2" i="3"/>
  <c r="F2" i="2" s="1"/>
  <c r="CV2" i="3"/>
  <c r="AN2" i="3"/>
  <c r="AN2" i="2" s="1"/>
  <c r="Z2" i="3"/>
  <c r="Z2" i="2" s="1"/>
  <c r="CH2" i="3"/>
  <c r="I2" i="3"/>
  <c r="I2" i="2" s="1"/>
  <c r="BQ2" i="3"/>
  <c r="AF2" i="3"/>
  <c r="AF2" i="2" s="1"/>
  <c r="CN2" i="3"/>
  <c r="BC2" i="3"/>
  <c r="BC2" i="2" s="1"/>
  <c r="DK2" i="3"/>
  <c r="CD2" i="3"/>
  <c r="V2" i="3"/>
  <c r="V2" i="2" s="1"/>
  <c r="J2" i="3"/>
  <c r="J2" i="2" s="1"/>
  <c r="BR2" i="3"/>
  <c r="CE2" i="3"/>
  <c r="W2" i="3"/>
  <c r="W2" i="2" s="1"/>
  <c r="AG2" i="3"/>
  <c r="AG2" i="2" s="1"/>
  <c r="CO2" i="3"/>
  <c r="H2" i="3"/>
  <c r="H2" i="2" s="1"/>
  <c r="BP2" i="3"/>
  <c r="CY2" i="3"/>
  <c r="AQ2" i="3"/>
  <c r="AQ2" i="2" s="1"/>
  <c r="BE2" i="3"/>
  <c r="BE2" i="2" s="1"/>
  <c r="DM2" i="3"/>
  <c r="CB2" i="3"/>
  <c r="T2" i="3"/>
  <c r="T2" i="2" s="1"/>
  <c r="BW2" i="3"/>
  <c r="O2" i="3"/>
  <c r="O2" i="2" s="1"/>
  <c r="BM2" i="3"/>
  <c r="BM2" i="2" s="1"/>
  <c r="DU2" i="3"/>
  <c r="AW2" i="3"/>
  <c r="AW2" i="2" s="1"/>
  <c r="DE2" i="3"/>
  <c r="AX2" i="3"/>
  <c r="AX2" i="2" s="1"/>
  <c r="DF2" i="3"/>
  <c r="AD2" i="3"/>
  <c r="AD2" i="2" s="1"/>
  <c r="CL2" i="3"/>
  <c r="CS2" i="3"/>
  <c r="AK2" i="3"/>
  <c r="AK2" i="2" s="1"/>
  <c r="CT2" i="3"/>
  <c r="AL2" i="3"/>
  <c r="AL2" i="2" s="1"/>
  <c r="BZ2" i="3"/>
  <c r="R2" i="3"/>
  <c r="R2" i="2" s="1"/>
  <c r="BD2" i="3"/>
  <c r="BD2" i="2" s="1"/>
  <c r="DL2" i="3"/>
  <c r="AB2" i="3"/>
  <c r="AB2" i="2" s="1"/>
  <c r="CJ2" i="3"/>
  <c r="DS2" i="3"/>
  <c r="BK2" i="3"/>
  <c r="BK2" i="2" s="1"/>
  <c r="AP2" i="3"/>
  <c r="AP2" i="2" s="1"/>
  <c r="CX2" i="3"/>
  <c r="BJ2" i="3"/>
  <c r="BJ2" i="2" s="1"/>
  <c r="DR2" i="3"/>
  <c r="K2" i="3"/>
  <c r="K2" i="2" s="1"/>
  <c r="BS2" i="3"/>
  <c r="DD2" i="3"/>
  <c r="AV2" i="3"/>
  <c r="AV2" i="2" s="1"/>
  <c r="AT192" i="3" l="1"/>
  <c r="J191" i="3"/>
  <c r="N190" i="3"/>
  <c r="R188" i="3"/>
  <c r="Q188" i="3"/>
  <c r="AV190" i="3"/>
  <c r="U183" i="3"/>
  <c r="BI175" i="3"/>
  <c r="AJ168" i="3"/>
  <c r="K161" i="3"/>
  <c r="I153" i="3"/>
  <c r="AU190" i="3"/>
  <c r="T183" i="3"/>
  <c r="AI176" i="3"/>
  <c r="AX169" i="3"/>
  <c r="T163" i="3"/>
  <c r="AI156" i="3"/>
  <c r="BA148" i="3"/>
  <c r="N185" i="3"/>
  <c r="AR178" i="3"/>
  <c r="BG171" i="3"/>
  <c r="I165" i="3"/>
  <c r="AR158" i="3"/>
  <c r="BJ150" i="3"/>
  <c r="BJ188" i="3"/>
  <c r="I180" i="3"/>
  <c r="AJ171" i="3"/>
  <c r="X163" i="3"/>
  <c r="AS153" i="3"/>
  <c r="L146" i="3"/>
  <c r="AA139" i="3"/>
  <c r="BC184" i="3"/>
  <c r="BI176" i="3"/>
  <c r="AA169" i="3"/>
  <c r="AL161" i="3"/>
  <c r="AN152" i="3"/>
  <c r="AO144" i="3"/>
  <c r="L185" i="3"/>
  <c r="R177" i="3"/>
  <c r="AZ169" i="3"/>
  <c r="BH161" i="3"/>
  <c r="BJ152" i="3"/>
  <c r="O145" i="3"/>
  <c r="BD192" i="3"/>
  <c r="AK180" i="3"/>
  <c r="AB171" i="3"/>
  <c r="BL161" i="3"/>
  <c r="G151" i="3"/>
  <c r="AO142" i="3"/>
  <c r="K182" i="3"/>
  <c r="BF188" i="3"/>
  <c r="BD178" i="3"/>
  <c r="T169" i="3"/>
  <c r="AH185" i="3"/>
  <c r="W176" i="3"/>
  <c r="BB166" i="3"/>
  <c r="Q183" i="3"/>
  <c r="AB173" i="3"/>
  <c r="AZ161" i="3"/>
  <c r="V151" i="3"/>
  <c r="AW142" i="3"/>
  <c r="BJ134" i="3"/>
  <c r="L128" i="3"/>
  <c r="M188" i="3"/>
  <c r="BG176" i="3"/>
  <c r="T165" i="3"/>
  <c r="Q154" i="3"/>
  <c r="V145" i="3"/>
  <c r="Z137" i="3"/>
  <c r="L188" i="3"/>
  <c r="BF176" i="3"/>
  <c r="S165" i="3"/>
  <c r="P154" i="3"/>
  <c r="U145" i="3"/>
  <c r="AS137" i="3"/>
  <c r="BH130" i="3"/>
  <c r="J124" i="3"/>
  <c r="R181" i="3"/>
  <c r="AD171" i="3"/>
  <c r="X160" i="3"/>
  <c r="AJ149" i="3"/>
  <c r="BL140" i="3"/>
  <c r="S134" i="3"/>
  <c r="AH127" i="3"/>
  <c r="AU185" i="3"/>
  <c r="R170" i="3"/>
  <c r="AM157" i="3"/>
  <c r="Y145" i="3"/>
  <c r="BG135" i="3"/>
  <c r="AZ127" i="3"/>
  <c r="BD119" i="3"/>
  <c r="X190" i="3"/>
  <c r="AW174" i="3"/>
  <c r="BE161" i="3"/>
  <c r="AO149" i="3"/>
  <c r="V139" i="3"/>
  <c r="AQ130" i="3"/>
  <c r="BH122" i="3"/>
  <c r="M115" i="3"/>
  <c r="AO181" i="3"/>
  <c r="AA167" i="3"/>
  <c r="S153" i="3"/>
  <c r="AY141" i="3"/>
  <c r="M133" i="3"/>
  <c r="Q125" i="3"/>
  <c r="AM118" i="3"/>
  <c r="AT186" i="3"/>
  <c r="BC171" i="3"/>
  <c r="J160" i="3"/>
  <c r="AZ144" i="3"/>
  <c r="O136" i="3"/>
  <c r="G128" i="3"/>
  <c r="AV120" i="3"/>
  <c r="BJ192" i="3"/>
  <c r="BC173" i="3"/>
  <c r="AA158" i="3"/>
  <c r="G142" i="3"/>
  <c r="AR131" i="3"/>
  <c r="BF121" i="3"/>
  <c r="BD112" i="3"/>
  <c r="AE105" i="3"/>
  <c r="Z98" i="3"/>
  <c r="U91" i="3"/>
  <c r="BI83" i="3"/>
  <c r="BG75" i="3"/>
  <c r="I69" i="3"/>
  <c r="AR62" i="3"/>
  <c r="BG55" i="3"/>
  <c r="I49" i="3"/>
  <c r="AA180" i="3"/>
  <c r="AJ163" i="3"/>
  <c r="BF148" i="3"/>
  <c r="AW135" i="3"/>
  <c r="I125" i="3"/>
  <c r="BD115" i="3"/>
  <c r="AI108" i="3"/>
  <c r="AX101" i="3"/>
  <c r="T95" i="3"/>
  <c r="AI88" i="3"/>
  <c r="AX81" i="3"/>
  <c r="W74" i="3"/>
  <c r="AL67" i="3"/>
  <c r="BA60" i="3"/>
  <c r="W54" i="3"/>
  <c r="AL47" i="3"/>
  <c r="L175" i="3"/>
  <c r="S158" i="3"/>
  <c r="AP143" i="3"/>
  <c r="AP131" i="3"/>
  <c r="AF121" i="3"/>
  <c r="AH112" i="3"/>
  <c r="AW105" i="3"/>
  <c r="S99" i="3"/>
  <c r="AH92" i="3"/>
  <c r="AW85" i="3"/>
  <c r="V78" i="3"/>
  <c r="AK71" i="3"/>
  <c r="AZ64" i="3"/>
  <c r="V58" i="3"/>
  <c r="AK51" i="3"/>
  <c r="BD185" i="3"/>
  <c r="BJ166" i="3"/>
  <c r="AG150" i="3"/>
  <c r="N136" i="3"/>
  <c r="BI125" i="3"/>
  <c r="AK116" i="3"/>
  <c r="H109" i="3"/>
  <c r="AQ102" i="3"/>
  <c r="BF95" i="3"/>
  <c r="H89" i="3"/>
  <c r="AQ82" i="3"/>
  <c r="AO74" i="3"/>
  <c r="P67" i="3"/>
  <c r="BD59" i="3"/>
  <c r="AE52" i="3"/>
  <c r="AN176" i="3"/>
  <c r="BA154" i="3"/>
  <c r="O138" i="3"/>
  <c r="U125" i="3"/>
  <c r="BH113" i="3"/>
  <c r="AF105" i="3"/>
  <c r="AW96" i="3"/>
  <c r="AC88" i="3"/>
  <c r="BM78" i="3"/>
  <c r="AS70" i="3"/>
  <c r="Y62" i="3"/>
  <c r="AC54" i="3"/>
  <c r="AX45" i="3"/>
  <c r="W38" i="3"/>
  <c r="AL31" i="3"/>
  <c r="BA24" i="3"/>
  <c r="AG176" i="3"/>
  <c r="W156" i="3"/>
  <c r="BA138" i="3"/>
  <c r="BB125" i="3"/>
  <c r="Z114" i="3"/>
  <c r="BC105" i="3"/>
  <c r="G97" i="3"/>
  <c r="O89" i="3"/>
  <c r="AF80" i="3"/>
  <c r="AA71" i="3"/>
  <c r="AV62" i="3"/>
  <c r="AB54" i="3"/>
  <c r="AW45" i="3"/>
  <c r="V38" i="3"/>
  <c r="AK31" i="3"/>
  <c r="AZ24" i="3"/>
  <c r="AU177" i="3"/>
  <c r="V156" i="3"/>
  <c r="AY138" i="3"/>
  <c r="M126" i="3"/>
  <c r="Y114" i="3"/>
  <c r="BB105" i="3"/>
  <c r="AH97" i="3"/>
  <c r="AY88" i="3"/>
  <c r="G80" i="3"/>
  <c r="AM70" i="3"/>
  <c r="S62" i="3"/>
  <c r="AR53" i="3"/>
  <c r="AB45" i="3"/>
  <c r="AT37" i="3"/>
  <c r="AO30" i="3"/>
  <c r="P23" i="3"/>
  <c r="AK171" i="3"/>
  <c r="AB148" i="3"/>
  <c r="K134" i="3"/>
  <c r="AW121" i="3"/>
  <c r="AA111" i="3"/>
  <c r="AW102" i="3"/>
  <c r="AC94" i="3"/>
  <c r="BA85" i="3"/>
  <c r="T76" i="3"/>
  <c r="BM67" i="3"/>
  <c r="U59" i="3"/>
  <c r="AL50" i="3"/>
  <c r="AK43" i="3"/>
  <c r="BC35" i="3"/>
  <c r="Y29" i="3"/>
  <c r="AN22" i="3"/>
  <c r="R173" i="3"/>
  <c r="S152" i="3"/>
  <c r="AT135" i="3"/>
  <c r="AA119" i="3"/>
  <c r="R106" i="3"/>
  <c r="O95" i="3"/>
  <c r="AU84" i="3"/>
  <c r="AQ72" i="3"/>
  <c r="BG62" i="3"/>
  <c r="BH51" i="3"/>
  <c r="AZ42" i="3"/>
  <c r="V33" i="3"/>
  <c r="AR24" i="3"/>
  <c r="H17" i="3"/>
  <c r="AQ10" i="3"/>
  <c r="V192" i="3"/>
  <c r="M167" i="3"/>
  <c r="N145" i="3"/>
  <c r="AU128" i="3"/>
  <c r="AU112" i="3"/>
  <c r="AZ101" i="3"/>
  <c r="AF91" i="3"/>
  <c r="AF81" i="3"/>
  <c r="Y69" i="3"/>
  <c r="Q58" i="3"/>
  <c r="X47" i="3"/>
  <c r="M38" i="3"/>
  <c r="BI29" i="3"/>
  <c r="Q21" i="3"/>
  <c r="AP14" i="3"/>
  <c r="BE7" i="3"/>
  <c r="AF179" i="3"/>
  <c r="G152" i="3"/>
  <c r="AI133" i="3"/>
  <c r="AX116" i="3"/>
  <c r="AZ105" i="3"/>
  <c r="I95" i="3"/>
  <c r="AJ85" i="3"/>
  <c r="BL73" i="3"/>
  <c r="BE62" i="3"/>
  <c r="BB51" i="3"/>
  <c r="Z42" i="3"/>
  <c r="AL32" i="3"/>
  <c r="BG23" i="3"/>
  <c r="AE16" i="3"/>
  <c r="Z9" i="3"/>
  <c r="AQ184" i="3"/>
  <c r="BM154" i="3"/>
  <c r="BH132" i="3"/>
  <c r="AO116" i="3"/>
  <c r="AU105" i="3"/>
  <c r="H95" i="3"/>
  <c r="AI85" i="3"/>
  <c r="BK73" i="3"/>
  <c r="BD62" i="3"/>
  <c r="BA51" i="3"/>
  <c r="U42" i="3"/>
  <c r="AK32" i="3"/>
  <c r="Q24" i="3"/>
  <c r="AX16" i="3"/>
  <c r="T10" i="3"/>
  <c r="AM190" i="3"/>
  <c r="BH152" i="3"/>
  <c r="AN131" i="3"/>
  <c r="AI114" i="3"/>
  <c r="K100" i="3"/>
  <c r="AO86" i="3"/>
  <c r="AD70" i="3"/>
  <c r="Z56" i="3"/>
  <c r="R45" i="3"/>
  <c r="BB33" i="3"/>
  <c r="L23" i="3"/>
  <c r="X14" i="3"/>
  <c r="AR5" i="3"/>
  <c r="BL164" i="3"/>
  <c r="AV138" i="3"/>
  <c r="BF119" i="3"/>
  <c r="G105" i="3"/>
  <c r="R92" i="3"/>
  <c r="I78" i="3"/>
  <c r="BF64" i="3"/>
  <c r="BM51" i="3"/>
  <c r="AR40" i="3"/>
  <c r="AG30" i="3"/>
  <c r="AP19" i="3"/>
  <c r="V11" i="3"/>
  <c r="V189" i="3"/>
  <c r="AX152" i="3"/>
  <c r="BD130" i="3"/>
  <c r="AA112" i="3"/>
  <c r="V98" i="3"/>
  <c r="BL84" i="3"/>
  <c r="BH70" i="3"/>
  <c r="AJ57" i="3"/>
  <c r="AR45" i="3"/>
  <c r="I34" i="3"/>
  <c r="J23" i="3"/>
  <c r="R14" i="3"/>
  <c r="AP5" i="3"/>
  <c r="AW163" i="3"/>
  <c r="AQ134" i="3"/>
  <c r="BF115" i="3"/>
  <c r="W101" i="3"/>
  <c r="H87" i="3"/>
  <c r="AI72" i="3"/>
  <c r="I59" i="3"/>
  <c r="AQ45" i="3"/>
  <c r="H34" i="3"/>
  <c r="AO23" i="3"/>
  <c r="Q14" i="3"/>
  <c r="AO5" i="3"/>
  <c r="AZ159" i="3"/>
  <c r="AW129" i="3"/>
  <c r="G107" i="3"/>
  <c r="AZ89" i="3"/>
  <c r="AV163" i="3"/>
  <c r="AV129" i="3"/>
  <c r="AN105" i="3"/>
  <c r="AN153" i="3"/>
  <c r="AT120" i="3"/>
  <c r="S98" i="3"/>
  <c r="BI148" i="3"/>
  <c r="AB124" i="3"/>
  <c r="W103" i="3"/>
  <c r="AG184" i="3"/>
  <c r="Q140" i="3"/>
  <c r="AJ107" i="3"/>
  <c r="AN88" i="3"/>
  <c r="BD72" i="3"/>
  <c r="Y55" i="3"/>
  <c r="Z39" i="3"/>
  <c r="AD26" i="3"/>
  <c r="M15" i="3"/>
  <c r="AS4" i="3"/>
  <c r="AW145" i="3"/>
  <c r="R108" i="3"/>
  <c r="W89" i="3"/>
  <c r="AH71" i="3"/>
  <c r="AD53" i="3"/>
  <c r="U39" i="3"/>
  <c r="AC26" i="3"/>
  <c r="AY14" i="3"/>
  <c r="P4" i="3"/>
  <c r="AO145" i="3"/>
  <c r="Q108" i="3"/>
  <c r="AL88" i="3"/>
  <c r="BC70" i="3"/>
  <c r="AQ52" i="3"/>
  <c r="AL37" i="3"/>
  <c r="BD24" i="3"/>
  <c r="BH12" i="3"/>
  <c r="AA181" i="3"/>
  <c r="R137" i="3"/>
  <c r="M107" i="3"/>
  <c r="AF86" i="3"/>
  <c r="H67" i="3"/>
  <c r="AD46" i="3"/>
  <c r="AH28" i="3"/>
  <c r="AX13" i="3"/>
  <c r="BA129" i="3"/>
  <c r="I50" i="3"/>
  <c r="BB5" i="3"/>
  <c r="Q138" i="3"/>
  <c r="Y103" i="3"/>
  <c r="X83" i="3"/>
  <c r="BC61" i="3"/>
  <c r="U43" i="3"/>
  <c r="AK26" i="3"/>
  <c r="J13" i="3"/>
  <c r="BF140" i="3"/>
  <c r="P60" i="3"/>
  <c r="AJ165" i="3"/>
  <c r="AH111" i="3"/>
  <c r="W87" i="3"/>
  <c r="AM64" i="3"/>
  <c r="I47" i="3"/>
  <c r="N30" i="3"/>
  <c r="Z16" i="3"/>
  <c r="AU4" i="3"/>
  <c r="AX80" i="3"/>
  <c r="AW29" i="3"/>
  <c r="X185" i="3"/>
  <c r="AL127" i="3"/>
  <c r="J99" i="3"/>
  <c r="J62" i="3"/>
  <c r="BK39" i="3"/>
  <c r="I19" i="3"/>
  <c r="BJ179" i="3"/>
  <c r="G52" i="3"/>
  <c r="BH8" i="3"/>
  <c r="AD47" i="3"/>
  <c r="BG165" i="3"/>
  <c r="BH62" i="3"/>
  <c r="N11" i="3"/>
  <c r="M70" i="3"/>
  <c r="AH5" i="3"/>
  <c r="AP73" i="3"/>
  <c r="V12" i="3"/>
  <c r="BJ96" i="3"/>
  <c r="BD177" i="3"/>
  <c r="AA118" i="3"/>
  <c r="O81" i="3"/>
  <c r="N53" i="3"/>
  <c r="AU32" i="3"/>
  <c r="S15" i="3"/>
  <c r="AY122" i="3"/>
  <c r="AX57" i="3"/>
  <c r="N8" i="3"/>
  <c r="V106" i="3"/>
  <c r="AA20" i="3"/>
  <c r="AV75" i="3"/>
  <c r="AE22" i="3"/>
  <c r="AK119" i="3"/>
  <c r="S48" i="3"/>
  <c r="BI152" i="3"/>
  <c r="BH28" i="3"/>
  <c r="AR93" i="3"/>
  <c r="BL141" i="3"/>
  <c r="AQ108" i="3"/>
  <c r="O71" i="3"/>
  <c r="AF47" i="3"/>
  <c r="R28" i="3"/>
  <c r="AL12" i="3"/>
  <c r="AQ120" i="3"/>
  <c r="X18" i="3"/>
  <c r="BI94" i="3"/>
  <c r="BJ21" i="3"/>
  <c r="BE116" i="3"/>
  <c r="T48" i="3"/>
  <c r="AH124" i="3"/>
  <c r="T58" i="3"/>
  <c r="AR161" i="3"/>
  <c r="BA90" i="3"/>
  <c r="AD43" i="3"/>
  <c r="AU144" i="3"/>
  <c r="AI64" i="3"/>
  <c r="X112" i="3"/>
  <c r="AW70" i="3"/>
  <c r="N33" i="3"/>
  <c r="AW7" i="3"/>
  <c r="AA14" i="3"/>
  <c r="BA46" i="3"/>
  <c r="BC78" i="3"/>
  <c r="I67" i="3"/>
  <c r="BK130" i="3"/>
  <c r="H14" i="3"/>
  <c r="AO55" i="3"/>
  <c r="Q86" i="3"/>
  <c r="BG132" i="3"/>
  <c r="R9" i="3"/>
  <c r="BD159" i="3"/>
  <c r="BB159" i="3"/>
  <c r="AP129" i="3"/>
  <c r="AU80" i="3"/>
  <c r="BA37" i="3"/>
  <c r="AS12" i="3"/>
  <c r="BK71" i="3"/>
  <c r="AU98" i="3"/>
  <c r="AY9" i="3"/>
  <c r="AF38" i="3"/>
  <c r="AL84" i="3"/>
  <c r="AK123" i="3"/>
  <c r="P12" i="3"/>
  <c r="BF190" i="3"/>
  <c r="AN23" i="3"/>
  <c r="K39" i="3"/>
  <c r="AB32" i="3"/>
  <c r="AN76" i="3"/>
  <c r="AH126" i="3"/>
  <c r="V112" i="3"/>
  <c r="U67" i="3"/>
  <c r="BA30" i="3"/>
  <c r="AV8" i="3"/>
  <c r="AZ30" i="3"/>
  <c r="BE58" i="3"/>
  <c r="AG65" i="3"/>
  <c r="AO8" i="3"/>
  <c r="V28" i="3"/>
  <c r="BD50" i="3"/>
  <c r="AV72" i="3"/>
  <c r="AX130" i="3"/>
  <c r="X10" i="3"/>
  <c r="AU24" i="3"/>
  <c r="AM56" i="3"/>
  <c r="AT47" i="3"/>
  <c r="AI62" i="3"/>
  <c r="P26" i="3"/>
  <c r="AT118" i="3"/>
  <c r="AD87" i="3"/>
  <c r="BA176" i="3"/>
  <c r="I186" i="3"/>
  <c r="BF28" i="3"/>
  <c r="AA192" i="3"/>
  <c r="AT92" i="3"/>
  <c r="AJ105" i="3"/>
  <c r="BH33" i="3"/>
  <c r="BK103" i="3"/>
  <c r="AR17" i="3"/>
  <c r="BI77" i="3"/>
  <c r="T72" i="3"/>
  <c r="AJ89" i="3"/>
  <c r="G32" i="3"/>
  <c r="BM52" i="3"/>
  <c r="AK50" i="3"/>
  <c r="X139" i="3"/>
  <c r="BE18" i="3"/>
  <c r="BG12" i="3"/>
  <c r="F92" i="3"/>
  <c r="F25" i="3"/>
  <c r="F130" i="3"/>
  <c r="F7" i="3"/>
  <c r="F75" i="3"/>
  <c r="F175" i="3"/>
  <c r="F52" i="3"/>
  <c r="F44" i="3"/>
  <c r="F59" i="3"/>
  <c r="F62" i="3"/>
  <c r="F128" i="3"/>
  <c r="F121" i="3"/>
  <c r="F191" i="3"/>
  <c r="F109" i="3"/>
  <c r="BH189" i="3"/>
  <c r="L189" i="3"/>
  <c r="BG151" i="3"/>
  <c r="AI168" i="3"/>
  <c r="BI183" i="3"/>
  <c r="I157" i="3"/>
  <c r="J170" i="3"/>
  <c r="AX192" i="3"/>
  <c r="H160" i="3"/>
  <c r="BA175" i="3"/>
  <c r="BM143" i="3"/>
  <c r="BC159" i="3"/>
  <c r="BL186" i="3"/>
  <c r="O174" i="3"/>
  <c r="BM159" i="3"/>
  <c r="BJ126" i="3"/>
  <c r="J152" i="3"/>
  <c r="BC174" i="3"/>
  <c r="J136" i="3"/>
  <c r="AN168" i="3"/>
  <c r="AW132" i="3"/>
  <c r="BF153" i="3"/>
  <c r="AO118" i="3"/>
  <c r="AR146" i="3"/>
  <c r="BK113" i="3"/>
  <c r="H140" i="3"/>
  <c r="AF183" i="3"/>
  <c r="Q134" i="3"/>
  <c r="G171" i="3"/>
  <c r="Z120" i="3"/>
  <c r="Z82" i="3"/>
  <c r="AR54" i="3"/>
  <c r="BM145" i="3"/>
  <c r="T107" i="3"/>
  <c r="AI80" i="3"/>
  <c r="W66" i="3"/>
  <c r="BJ190" i="3"/>
  <c r="BE129" i="3"/>
  <c r="AW97" i="3"/>
  <c r="V70" i="3"/>
  <c r="BK181" i="3"/>
  <c r="AV123" i="3"/>
  <c r="BF87" i="3"/>
  <c r="AO58" i="3"/>
  <c r="AA135" i="3"/>
  <c r="BD94" i="3"/>
  <c r="AI60" i="3"/>
  <c r="W30" i="3"/>
  <c r="AK136" i="3"/>
  <c r="AK95" i="3"/>
  <c r="Q61" i="3"/>
  <c r="V30" i="3"/>
  <c r="AE151" i="3"/>
  <c r="AM112" i="3"/>
  <c r="BD77" i="3"/>
  <c r="M44" i="3"/>
  <c r="AE167" i="3"/>
  <c r="AK109" i="3"/>
  <c r="AX74" i="3"/>
  <c r="V42" i="3"/>
  <c r="R169" i="3"/>
  <c r="AE104" i="3"/>
  <c r="BA70" i="3"/>
  <c r="H40" i="3"/>
  <c r="H9" i="3"/>
  <c r="BC124" i="3"/>
  <c r="AP77" i="3"/>
  <c r="AU36" i="3"/>
  <c r="G13" i="3"/>
  <c r="G131" i="3"/>
  <c r="N83" i="3"/>
  <c r="AN49" i="3"/>
  <c r="X22" i="3"/>
  <c r="AQ180" i="3"/>
  <c r="BM103" i="3"/>
  <c r="AM60" i="3"/>
  <c r="S22" i="3"/>
  <c r="O148" i="3"/>
  <c r="W83" i="3"/>
  <c r="BI31" i="3"/>
  <c r="BE156" i="3"/>
  <c r="AD102" i="3"/>
  <c r="BC49" i="3"/>
  <c r="BC9" i="3"/>
  <c r="K126" i="3"/>
  <c r="AP68" i="3"/>
  <c r="V32" i="3"/>
  <c r="AL154" i="3"/>
  <c r="AA84" i="3"/>
  <c r="U32" i="3"/>
  <c r="AT153" i="3"/>
  <c r="AZ86" i="3"/>
  <c r="AP145" i="3"/>
  <c r="AM119" i="3"/>
  <c r="AR103" i="3"/>
  <c r="AB36" i="3"/>
  <c r="BJ136" i="3"/>
  <c r="AI50" i="3"/>
  <c r="AP137" i="3"/>
  <c r="BK49" i="3"/>
  <c r="AK10" i="3"/>
  <c r="AP102" i="3"/>
  <c r="BK25" i="3"/>
  <c r="S186" i="3"/>
  <c r="O57" i="3"/>
  <c r="BL118" i="3"/>
  <c r="AD82" i="3"/>
  <c r="K14" i="3"/>
  <c r="AR173" i="3"/>
  <c r="N35" i="3"/>
  <c r="AD37" i="3"/>
  <c r="AT55" i="3"/>
  <c r="AS75" i="3"/>
  <c r="AD49" i="3"/>
  <c r="P44" i="3"/>
  <c r="Q68" i="3"/>
  <c r="V121" i="3"/>
  <c r="BI131" i="3"/>
  <c r="O24" i="3"/>
  <c r="BA75" i="3"/>
  <c r="R18" i="3"/>
  <c r="P78" i="3"/>
  <c r="AK101" i="3"/>
  <c r="AZ23" i="3"/>
  <c r="BC140" i="3"/>
  <c r="H111" i="3"/>
  <c r="AV70" i="3"/>
  <c r="M74" i="3"/>
  <c r="BE82" i="3"/>
  <c r="H182" i="3"/>
  <c r="AI101" i="3"/>
  <c r="AR18" i="3"/>
  <c r="AA7" i="3"/>
  <c r="AZ140" i="3"/>
  <c r="X171" i="3"/>
  <c r="AU27" i="3"/>
  <c r="X95" i="3"/>
  <c r="AW118" i="3"/>
  <c r="BM20" i="3"/>
  <c r="K99" i="3"/>
  <c r="F6" i="3"/>
  <c r="F29" i="3"/>
  <c r="BD190" i="3"/>
  <c r="BB188" i="3"/>
  <c r="AT166" i="3"/>
  <c r="BA188" i="3"/>
  <c r="O168" i="3"/>
  <c r="AV153" i="3"/>
  <c r="BB176" i="3"/>
  <c r="BB156" i="3"/>
  <c r="AQ177" i="3"/>
  <c r="P161" i="3"/>
  <c r="L192" i="3"/>
  <c r="AX159" i="3"/>
  <c r="BJ182" i="3"/>
  <c r="G160" i="3"/>
  <c r="W188" i="3"/>
  <c r="AC159" i="3"/>
  <c r="AQ179" i="3"/>
  <c r="R167" i="3"/>
  <c r="U164" i="3"/>
  <c r="AI159" i="3"/>
  <c r="G133" i="3"/>
  <c r="U174" i="3"/>
  <c r="AF143" i="3"/>
  <c r="T174" i="3"/>
  <c r="AE143" i="3"/>
  <c r="AQ190" i="3"/>
  <c r="BC157" i="3"/>
  <c r="AC132" i="3"/>
  <c r="BL125" i="3"/>
  <c r="BA166" i="3"/>
  <c r="AN142" i="3"/>
  <c r="S125" i="3"/>
  <c r="G186" i="3"/>
  <c r="I159" i="3"/>
  <c r="V137" i="3"/>
  <c r="Y121" i="3"/>
  <c r="V177" i="3"/>
  <c r="BD163" i="3"/>
  <c r="AL150" i="3"/>
  <c r="AW139" i="3"/>
  <c r="BM130" i="3"/>
  <c r="AH123" i="3"/>
  <c r="AZ115" i="3"/>
  <c r="BF182" i="3"/>
  <c r="AE168" i="3"/>
  <c r="BD154" i="3"/>
  <c r="AK142" i="3"/>
  <c r="BH133" i="3"/>
  <c r="BJ125" i="3"/>
  <c r="M119" i="3"/>
  <c r="AH187" i="3"/>
  <c r="AB170" i="3"/>
  <c r="Q153" i="3"/>
  <c r="AF129" i="3"/>
  <c r="AQ119" i="3"/>
  <c r="BI103" i="3"/>
  <c r="AJ96" i="3"/>
  <c r="K89" i="3"/>
  <c r="AY81" i="3"/>
  <c r="AM67" i="3"/>
  <c r="X54" i="3"/>
  <c r="AU176" i="3"/>
  <c r="AD145" i="3"/>
  <c r="AQ122" i="3"/>
  <c r="BM106" i="3"/>
  <c r="AD93" i="3"/>
  <c r="O80" i="3"/>
  <c r="AV65" i="3"/>
  <c r="AG52" i="3"/>
  <c r="N153" i="3"/>
  <c r="AD129" i="3"/>
  <c r="N104" i="3"/>
  <c r="N84" i="3"/>
  <c r="Q63" i="3"/>
  <c r="BC162" i="3"/>
  <c r="X123" i="3"/>
  <c r="W94" i="3"/>
  <c r="Z65" i="3"/>
  <c r="O149" i="3"/>
  <c r="J103" i="3"/>
  <c r="BC68" i="3"/>
  <c r="AG36" i="3"/>
  <c r="AV150" i="3"/>
  <c r="AG103" i="3"/>
  <c r="M69" i="3"/>
  <c r="AF36" i="3"/>
  <c r="AU150" i="3"/>
  <c r="AF103" i="3"/>
  <c r="AW68" i="3"/>
  <c r="BD35" i="3"/>
  <c r="AB144" i="3"/>
  <c r="BF100" i="3"/>
  <c r="AY65" i="3"/>
  <c r="T34" i="3"/>
  <c r="AY147" i="3"/>
  <c r="AJ103" i="3"/>
  <c r="Y70" i="3"/>
  <c r="AW39" i="3"/>
  <c r="BA8" i="3"/>
  <c r="AE140" i="3"/>
  <c r="V99" i="3"/>
  <c r="AE55" i="3"/>
  <c r="W36" i="3"/>
  <c r="AZ12" i="3"/>
  <c r="BK146" i="3"/>
  <c r="AJ102" i="3"/>
  <c r="AY70" i="3"/>
  <c r="BL38" i="3"/>
  <c r="BI14" i="3"/>
  <c r="P129" i="3"/>
  <c r="BE92" i="3"/>
  <c r="AP59" i="3"/>
  <c r="O30" i="3"/>
  <c r="J183" i="3"/>
  <c r="AY110" i="3"/>
  <c r="BD53" i="3"/>
  <c r="AH12" i="3"/>
  <c r="H115" i="3"/>
  <c r="BK60" i="3"/>
  <c r="AY17" i="3"/>
  <c r="AQ125" i="3"/>
  <c r="AS67" i="3"/>
  <c r="BC20" i="3"/>
  <c r="T129" i="3"/>
  <c r="P69" i="3"/>
  <c r="BB20" i="3"/>
  <c r="AD122" i="3"/>
  <c r="AC122" i="3"/>
  <c r="AC182" i="3"/>
  <c r="BA171" i="3"/>
  <c r="AH69" i="3"/>
  <c r="BJ12" i="3"/>
  <c r="Z84" i="3"/>
  <c r="AV23" i="3"/>
  <c r="AP103" i="3"/>
  <c r="O34" i="3"/>
  <c r="AE127" i="3"/>
  <c r="AK42" i="3"/>
  <c r="BF34" i="3"/>
  <c r="Y76" i="3"/>
  <c r="AG9" i="3"/>
  <c r="X103" i="3"/>
  <c r="AJ26" i="3"/>
  <c r="AR20" i="3"/>
  <c r="BI57" i="3"/>
  <c r="AQ36" i="3"/>
  <c r="G51" i="3"/>
  <c r="AP57" i="3"/>
  <c r="W109" i="3"/>
  <c r="BB10" i="3"/>
  <c r="AD67" i="3"/>
  <c r="BC89" i="3"/>
  <c r="O78" i="3"/>
  <c r="BA42" i="3"/>
  <c r="H6" i="3"/>
  <c r="AF14" i="3"/>
  <c r="U77" i="3"/>
  <c r="AZ98" i="3"/>
  <c r="AU188" i="3"/>
  <c r="Q93" i="3"/>
  <c r="AB99" i="3"/>
  <c r="AT108" i="3"/>
  <c r="AL44" i="3"/>
  <c r="T46" i="3"/>
  <c r="Q172" i="3"/>
  <c r="AA72" i="3"/>
  <c r="AS175" i="3"/>
  <c r="BK126" i="3"/>
  <c r="Q85" i="3"/>
  <c r="BM12" i="3"/>
  <c r="G39" i="3"/>
  <c r="W124" i="3"/>
  <c r="AF161" i="3"/>
  <c r="G11" i="3"/>
  <c r="AS28" i="3"/>
  <c r="F5" i="3"/>
  <c r="F45" i="3"/>
  <c r="T189" i="3"/>
  <c r="AE173" i="3"/>
  <c r="AB188" i="3"/>
  <c r="J161" i="3"/>
  <c r="AH176" i="3"/>
  <c r="AZ148" i="3"/>
  <c r="AB169" i="3"/>
  <c r="AU191" i="3"/>
  <c r="AA159" i="3"/>
  <c r="AM182" i="3"/>
  <c r="AY150" i="3"/>
  <c r="AL168" i="3"/>
  <c r="AE189" i="3"/>
  <c r="BC166" i="3"/>
  <c r="T180" i="3"/>
  <c r="AQ139" i="3"/>
  <c r="BI173" i="3"/>
  <c r="P135" i="3"/>
  <c r="T151" i="3"/>
  <c r="AG189" i="3"/>
  <c r="BB146" i="3"/>
  <c r="X180" i="3"/>
  <c r="AM133" i="3"/>
  <c r="BA170" i="3"/>
  <c r="AI128" i="3"/>
  <c r="R163" i="3"/>
  <c r="N123" i="3"/>
  <c r="N154" i="3"/>
  <c r="BF118" i="3"/>
  <c r="AP128" i="3"/>
  <c r="P96" i="3"/>
  <c r="S67" i="3"/>
  <c r="M175" i="3"/>
  <c r="O122" i="3"/>
  <c r="J93" i="3"/>
  <c r="AB65" i="3"/>
  <c r="BD169" i="3"/>
  <c r="Q119" i="3"/>
  <c r="AR90" i="3"/>
  <c r="BJ62" i="3"/>
  <c r="M162" i="3"/>
  <c r="BD113" i="3"/>
  <c r="R87" i="3"/>
  <c r="AY64" i="3"/>
  <c r="AE148" i="3"/>
  <c r="AZ102" i="3"/>
  <c r="AA68" i="3"/>
  <c r="M36" i="3"/>
  <c r="N149" i="3"/>
  <c r="I103" i="3"/>
  <c r="AX68" i="3"/>
  <c r="L36" i="3"/>
  <c r="AL171" i="3"/>
  <c r="AV122" i="3"/>
  <c r="J86" i="3"/>
  <c r="AT59" i="3"/>
  <c r="AL43" i="3"/>
  <c r="K28" i="3"/>
  <c r="U129" i="3"/>
  <c r="AD100" i="3"/>
  <c r="W65" i="3"/>
  <c r="AD40" i="3"/>
  <c r="V167" i="3"/>
  <c r="AL102" i="3"/>
  <c r="BF69" i="3"/>
  <c r="Y39" i="3"/>
  <c r="AG8" i="3"/>
  <c r="BE122" i="3"/>
  <c r="AX76" i="3"/>
  <c r="BL35" i="3"/>
  <c r="AU5" i="3"/>
  <c r="AT112" i="3"/>
  <c r="S70" i="3"/>
  <c r="BH29" i="3"/>
  <c r="N178" i="3"/>
  <c r="AI102" i="3"/>
  <c r="J59" i="3"/>
  <c r="AM21" i="3"/>
  <c r="V146" i="3"/>
  <c r="I82" i="3"/>
  <c r="AH30" i="3"/>
  <c r="BA153" i="3"/>
  <c r="U88" i="3"/>
  <c r="BH37" i="3"/>
  <c r="I179" i="3"/>
  <c r="AH94" i="3"/>
  <c r="BG42" i="3"/>
  <c r="AC190" i="3"/>
  <c r="BE96" i="3"/>
  <c r="O55" i="3"/>
  <c r="AR11" i="3"/>
  <c r="AH102" i="3"/>
  <c r="AJ187" i="3"/>
  <c r="BA140" i="3"/>
  <c r="S128" i="3"/>
  <c r="BM49" i="3"/>
  <c r="AG182" i="3"/>
  <c r="BA66" i="3"/>
  <c r="BM11" i="3"/>
  <c r="BF82" i="3"/>
  <c r="R20" i="3"/>
  <c r="BM100" i="3"/>
  <c r="AT24" i="3"/>
  <c r="AF177" i="3"/>
  <c r="AW55" i="3"/>
  <c r="T113" i="3"/>
  <c r="AY80" i="3"/>
  <c r="I13" i="3"/>
  <c r="BG168" i="3"/>
  <c r="AN33" i="3"/>
  <c r="S109" i="3"/>
  <c r="AX150" i="3"/>
  <c r="AN174" i="3"/>
  <c r="AR108" i="3"/>
  <c r="AD27" i="3"/>
  <c r="L183" i="3"/>
  <c r="AX15" i="3"/>
  <c r="AB7" i="3"/>
  <c r="BH65" i="3"/>
  <c r="BB75" i="3"/>
  <c r="AA104" i="3"/>
  <c r="AF119" i="3"/>
  <c r="M178" i="3"/>
  <c r="R135" i="3"/>
  <c r="AH39" i="3"/>
  <c r="AC95" i="3"/>
  <c r="AZ106" i="3"/>
  <c r="AH38" i="3"/>
  <c r="BJ40" i="3"/>
  <c r="BA109" i="3"/>
  <c r="AI8" i="3"/>
  <c r="Z52" i="3"/>
  <c r="AH17" i="3"/>
  <c r="Z10" i="3"/>
  <c r="K123" i="3"/>
  <c r="AH142" i="3"/>
  <c r="Y32" i="3"/>
  <c r="BH44" i="3"/>
  <c r="R176" i="3"/>
  <c r="AZ97" i="3"/>
  <c r="U157" i="3"/>
  <c r="AW26" i="3"/>
  <c r="F4" i="3"/>
  <c r="F46" i="3"/>
  <c r="F118" i="3"/>
  <c r="P190" i="3"/>
  <c r="AQ187" i="3"/>
  <c r="AY165" i="3"/>
  <c r="AP187" i="3"/>
  <c r="AN167" i="3"/>
  <c r="U190" i="3"/>
  <c r="AC169" i="3"/>
  <c r="AF148" i="3"/>
  <c r="AU168" i="3"/>
  <c r="AU143" i="3"/>
  <c r="AB174" i="3"/>
  <c r="AY149" i="3"/>
  <c r="AX174" i="3"/>
  <c r="AB150" i="3"/>
  <c r="AZ176" i="3"/>
  <c r="BJ147" i="3"/>
  <c r="H185" i="3"/>
  <c r="AI182" i="3"/>
  <c r="BD179" i="3"/>
  <c r="BL147" i="3"/>
  <c r="AU125" i="3"/>
  <c r="AV161" i="3"/>
  <c r="BI134" i="3"/>
  <c r="AU161" i="3"/>
  <c r="O135" i="3"/>
  <c r="BF177" i="3"/>
  <c r="AA146" i="3"/>
  <c r="X125" i="3"/>
  <c r="W152" i="3"/>
  <c r="AC116" i="3"/>
  <c r="G158" i="3"/>
  <c r="K128" i="3"/>
  <c r="X175" i="3"/>
  <c r="AJ148" i="3"/>
  <c r="P130" i="3"/>
  <c r="AN181" i="3"/>
  <c r="BC153" i="3"/>
  <c r="AX141" i="3"/>
  <c r="P125" i="3"/>
  <c r="Z168" i="3"/>
  <c r="O128" i="3"/>
  <c r="U103" i="3"/>
  <c r="K81" i="3"/>
  <c r="BL66" i="3"/>
  <c r="AZ191" i="3"/>
  <c r="AQ131" i="3"/>
  <c r="Y106" i="3"/>
  <c r="BC92" i="3"/>
  <c r="BF71" i="3"/>
  <c r="Y187" i="3"/>
  <c r="AJ138" i="3"/>
  <c r="AM103" i="3"/>
  <c r="BE75" i="3"/>
  <c r="G49" i="3"/>
  <c r="BL132" i="3"/>
  <c r="M100" i="3"/>
  <c r="BD71" i="3"/>
  <c r="AC168" i="3"/>
  <c r="AV110" i="3"/>
  <c r="W76" i="3"/>
  <c r="AN43" i="3"/>
  <c r="Z192" i="3"/>
  <c r="BC190" i="3"/>
  <c r="BG189" i="3"/>
  <c r="BJ187" i="3"/>
  <c r="BI187" i="3"/>
  <c r="W190" i="3"/>
  <c r="AT182" i="3"/>
  <c r="AO175" i="3"/>
  <c r="P168" i="3"/>
  <c r="BD160" i="3"/>
  <c r="BB152" i="3"/>
  <c r="V190" i="3"/>
  <c r="BM182" i="3"/>
  <c r="O176" i="3"/>
  <c r="AD169" i="3"/>
  <c r="BM162" i="3"/>
  <c r="O156" i="3"/>
  <c r="AG148" i="3"/>
  <c r="BG184" i="3"/>
  <c r="X178" i="3"/>
  <c r="AM171" i="3"/>
  <c r="BB164" i="3"/>
  <c r="X158" i="3"/>
  <c r="AP150" i="3"/>
  <c r="AH188" i="3"/>
  <c r="AY179" i="3"/>
  <c r="M171" i="3"/>
  <c r="AO162" i="3"/>
  <c r="V153" i="3"/>
  <c r="BE145" i="3"/>
  <c r="G139" i="3"/>
  <c r="AE184" i="3"/>
  <c r="AL176" i="3"/>
  <c r="AT168" i="3"/>
  <c r="O161" i="3"/>
  <c r="Q152" i="3"/>
  <c r="U144" i="3"/>
  <c r="BB184" i="3"/>
  <c r="BH176" i="3"/>
  <c r="Z169" i="3"/>
  <c r="AK161" i="3"/>
  <c r="AM152" i="3"/>
  <c r="BH144" i="3"/>
  <c r="Q192" i="3"/>
  <c r="AR179" i="3"/>
  <c r="AM170" i="3"/>
  <c r="AI161" i="3"/>
  <c r="AT150" i="3"/>
  <c r="S142" i="3"/>
  <c r="AZ181" i="3"/>
  <c r="U188" i="3"/>
  <c r="AD178" i="3"/>
  <c r="BJ168" i="3"/>
  <c r="G185" i="3"/>
  <c r="BJ175" i="3"/>
  <c r="AB166" i="3"/>
  <c r="BE182" i="3"/>
  <c r="AF172" i="3"/>
  <c r="V161" i="3"/>
  <c r="BE150" i="3"/>
  <c r="Z142" i="3"/>
  <c r="AP134" i="3"/>
  <c r="BE127" i="3"/>
  <c r="AV187" i="3"/>
  <c r="V176" i="3"/>
  <c r="BE164" i="3"/>
  <c r="BJ153" i="3"/>
  <c r="BK144" i="3"/>
  <c r="AY136" i="3"/>
  <c r="AU187" i="3"/>
  <c r="U176" i="3"/>
  <c r="AZ164" i="3"/>
  <c r="BI153" i="3"/>
  <c r="BG144" i="3"/>
  <c r="Y137" i="3"/>
  <c r="AN130" i="3"/>
  <c r="BC123" i="3"/>
  <c r="AU180" i="3"/>
  <c r="AD170" i="3"/>
  <c r="BJ159" i="3"/>
  <c r="AV148" i="3"/>
  <c r="AO140" i="3"/>
  <c r="BL133" i="3"/>
  <c r="N127" i="3"/>
  <c r="BF184" i="3"/>
  <c r="BC169" i="3"/>
  <c r="AP156" i="3"/>
  <c r="BC144" i="3"/>
  <c r="AE135" i="3"/>
  <c r="AC127" i="3"/>
  <c r="AJ119" i="3"/>
  <c r="AV189" i="3"/>
  <c r="J174" i="3"/>
  <c r="W161" i="3"/>
  <c r="AK148" i="3"/>
  <c r="BF138" i="3"/>
  <c r="Q130" i="3"/>
  <c r="AN122" i="3"/>
  <c r="BF114" i="3"/>
  <c r="V180" i="3"/>
  <c r="AY166" i="3"/>
  <c r="BD152" i="3"/>
  <c r="Y141" i="3"/>
  <c r="BD132" i="3"/>
  <c r="BI124" i="3"/>
  <c r="S118" i="3"/>
  <c r="AF185" i="3"/>
  <c r="P171" i="3"/>
  <c r="AL159" i="3"/>
  <c r="W144" i="3"/>
  <c r="AZ135" i="3"/>
  <c r="AW127" i="3"/>
  <c r="AB120" i="3"/>
  <c r="BA191" i="3"/>
  <c r="L173" i="3"/>
  <c r="AV157" i="3"/>
  <c r="AO141" i="3"/>
  <c r="P131" i="3"/>
  <c r="AH121" i="3"/>
  <c r="AJ112" i="3"/>
  <c r="K105" i="3"/>
  <c r="AY97" i="3"/>
  <c r="AT90" i="3"/>
  <c r="AO83" i="3"/>
  <c r="AM75" i="3"/>
  <c r="BB68" i="3"/>
  <c r="X62" i="3"/>
  <c r="AM55" i="3"/>
  <c r="BB48" i="3"/>
  <c r="AK179" i="3"/>
  <c r="BI162" i="3"/>
  <c r="L148" i="3"/>
  <c r="U135" i="3"/>
  <c r="AT124" i="3"/>
  <c r="AB115" i="3"/>
  <c r="O108" i="3"/>
  <c r="AD101" i="3"/>
  <c r="BM94" i="3"/>
  <c r="O88" i="3"/>
  <c r="AD81" i="3"/>
  <c r="AV73" i="3"/>
  <c r="R67" i="3"/>
  <c r="AG60" i="3"/>
  <c r="AV53" i="3"/>
  <c r="R47" i="3"/>
  <c r="AG174" i="3"/>
  <c r="AT157" i="3"/>
  <c r="J143" i="3"/>
  <c r="L131" i="3"/>
  <c r="H121" i="3"/>
  <c r="N112" i="3"/>
  <c r="AC105" i="3"/>
  <c r="BL98" i="3"/>
  <c r="N92" i="3"/>
  <c r="AC85" i="3"/>
  <c r="AU77" i="3"/>
  <c r="Q71" i="3"/>
  <c r="AF64" i="3"/>
  <c r="AU57" i="3"/>
  <c r="Q51" i="3"/>
  <c r="M184" i="3"/>
  <c r="Z165" i="3"/>
  <c r="BG149" i="3"/>
  <c r="AU135" i="3"/>
  <c r="AH125" i="3"/>
  <c r="M116" i="3"/>
  <c r="BA108" i="3"/>
  <c r="W102" i="3"/>
  <c r="AL95" i="3"/>
  <c r="BA88" i="3"/>
  <c r="W82" i="3"/>
  <c r="U74" i="3"/>
  <c r="BI66" i="3"/>
  <c r="AJ59" i="3"/>
  <c r="K52" i="3"/>
  <c r="BF175" i="3"/>
  <c r="L153" i="3"/>
  <c r="BB137" i="3"/>
  <c r="BA124" i="3"/>
  <c r="AB113" i="3"/>
  <c r="AS104" i="3"/>
  <c r="Y96" i="3"/>
  <c r="AT87" i="3"/>
  <c r="AK78" i="3"/>
  <c r="Q70" i="3"/>
  <c r="AP61" i="3"/>
  <c r="AX53" i="3"/>
  <c r="AD45" i="3"/>
  <c r="AV37" i="3"/>
  <c r="R31" i="3"/>
  <c r="AG24" i="3"/>
  <c r="BE175" i="3"/>
  <c r="AZ154" i="3"/>
  <c r="N138" i="3"/>
  <c r="T125" i="3"/>
  <c r="BC113" i="3"/>
  <c r="AA105" i="3"/>
  <c r="AV96" i="3"/>
  <c r="AZ88" i="3"/>
  <c r="H80" i="3"/>
  <c r="AN70" i="3"/>
  <c r="T62" i="3"/>
  <c r="AS53" i="3"/>
  <c r="AC45" i="3"/>
  <c r="AU37" i="3"/>
  <c r="Q31" i="3"/>
  <c r="AF24" i="3"/>
  <c r="AF176" i="3"/>
  <c r="AO154" i="3"/>
  <c r="M138" i="3"/>
  <c r="BA125" i="3"/>
  <c r="BB113" i="3"/>
  <c r="Z105" i="3"/>
  <c r="AU96" i="3"/>
  <c r="AA88" i="3"/>
  <c r="BG78" i="3"/>
  <c r="O70" i="3"/>
  <c r="BL61" i="3"/>
  <c r="T53" i="3"/>
  <c r="H45" i="3"/>
  <c r="Z37" i="3"/>
  <c r="U30" i="3"/>
  <c r="BI22" i="3"/>
  <c r="AW170" i="3"/>
  <c r="BA147" i="3"/>
  <c r="AQ133" i="3"/>
  <c r="Q121" i="3"/>
  <c r="AO110" i="3"/>
  <c r="U102" i="3"/>
  <c r="AS93" i="3"/>
  <c r="Y85" i="3"/>
  <c r="BI75" i="3"/>
  <c r="AO67" i="3"/>
  <c r="BF58" i="3"/>
  <c r="N50" i="3"/>
  <c r="Q43" i="3"/>
  <c r="AI35" i="3"/>
  <c r="AX28" i="3"/>
  <c r="T22" i="3"/>
  <c r="J172" i="3"/>
  <c r="Y151" i="3"/>
  <c r="Y134" i="3"/>
  <c r="BK118" i="3"/>
  <c r="BF105" i="3"/>
  <c r="AW94" i="3"/>
  <c r="K84" i="3"/>
  <c r="G72" i="3"/>
  <c r="AE62" i="3"/>
  <c r="X51" i="3"/>
  <c r="AB42" i="3"/>
  <c r="BL32" i="3"/>
  <c r="T24" i="3"/>
  <c r="BA16" i="3"/>
  <c r="W10" i="3"/>
  <c r="BE187" i="3"/>
  <c r="T166" i="3"/>
  <c r="S144" i="3"/>
  <c r="Y127" i="3"/>
  <c r="S112" i="3"/>
  <c r="P101" i="3"/>
  <c r="AK90" i="3"/>
  <c r="BM80" i="3"/>
  <c r="BJ68" i="3"/>
  <c r="BB57" i="3"/>
  <c r="BG46" i="3"/>
  <c r="BE37" i="3"/>
  <c r="AK29" i="3"/>
  <c r="BG20" i="3"/>
  <c r="V14" i="3"/>
  <c r="AK7" i="3"/>
  <c r="O178" i="3"/>
  <c r="L150" i="3"/>
  <c r="BI132" i="3"/>
  <c r="AI115" i="3"/>
  <c r="T105" i="3"/>
  <c r="AU94" i="3"/>
  <c r="AO84" i="3"/>
  <c r="AJ73" i="3"/>
  <c r="AC62" i="3"/>
  <c r="V51" i="3"/>
  <c r="BF40" i="3"/>
  <c r="N32" i="3"/>
  <c r="AE23" i="3"/>
  <c r="K16" i="3"/>
  <c r="AY8" i="3"/>
  <c r="AM183" i="3"/>
  <c r="K150" i="3"/>
  <c r="P132" i="3"/>
  <c r="AD115" i="3"/>
  <c r="S105" i="3"/>
  <c r="AP94" i="3"/>
  <c r="AN84" i="3"/>
  <c r="AI73" i="3"/>
  <c r="AB62" i="3"/>
  <c r="U51" i="3"/>
  <c r="BE40" i="3"/>
  <c r="I32" i="3"/>
  <c r="BB23" i="3"/>
  <c r="AD16" i="3"/>
  <c r="BM9" i="3"/>
  <c r="AQ189" i="3"/>
  <c r="AP151" i="3"/>
  <c r="BF130" i="3"/>
  <c r="AZ113" i="3"/>
  <c r="AJ99" i="3"/>
  <c r="AH85" i="3"/>
  <c r="BK69" i="3"/>
  <c r="BB55" i="3"/>
  <c r="BG44" i="3"/>
  <c r="R33" i="3"/>
  <c r="AS22" i="3"/>
  <c r="BL13" i="3"/>
  <c r="T5" i="3"/>
  <c r="AY163" i="3"/>
  <c r="BJ137" i="3"/>
  <c r="J119" i="3"/>
  <c r="AN104" i="3"/>
  <c r="AQ91" i="3"/>
  <c r="AS77" i="3"/>
  <c r="J64" i="3"/>
  <c r="AC51" i="3"/>
  <c r="P40" i="3"/>
  <c r="AO29" i="3"/>
  <c r="N19" i="3"/>
  <c r="BG10" i="3"/>
  <c r="AI188" i="3"/>
  <c r="AC151" i="3"/>
  <c r="AB129" i="3"/>
  <c r="BD111" i="3"/>
  <c r="BD97" i="3"/>
  <c r="AB84" i="3"/>
  <c r="AB70" i="3"/>
  <c r="BL56" i="3"/>
  <c r="P45" i="3"/>
  <c r="AZ33" i="3"/>
  <c r="AM22" i="3"/>
  <c r="BJ13" i="3"/>
  <c r="R5" i="3"/>
  <c r="AG162" i="3"/>
  <c r="BC133" i="3"/>
  <c r="AF114" i="3"/>
  <c r="AR100" i="3"/>
  <c r="AL86" i="3"/>
  <c r="AD71" i="3"/>
  <c r="AL58" i="3"/>
  <c r="O45" i="3"/>
  <c r="AY33" i="3"/>
  <c r="AL22" i="3"/>
  <c r="BI13" i="3"/>
  <c r="Q5" i="3"/>
  <c r="AD158" i="3"/>
  <c r="BC128" i="3"/>
  <c r="AC106" i="3"/>
  <c r="BM88" i="3"/>
  <c r="AP160" i="3"/>
  <c r="BB128" i="3"/>
  <c r="V104" i="3"/>
  <c r="BF150" i="3"/>
  <c r="M118" i="3"/>
  <c r="AF192" i="3"/>
  <c r="AB147" i="3"/>
  <c r="AT123" i="3"/>
  <c r="BB102" i="3"/>
  <c r="AZ182" i="3"/>
  <c r="BA133" i="3"/>
  <c r="AY106" i="3"/>
  <c r="BL87" i="3"/>
  <c r="P72" i="3"/>
  <c r="AT54" i="3"/>
  <c r="AV38" i="3"/>
  <c r="BF25" i="3"/>
  <c r="AZ14" i="3"/>
  <c r="Q4" i="3"/>
  <c r="BL142" i="3"/>
  <c r="AI107" i="3"/>
  <c r="AM88" i="3"/>
  <c r="BD70" i="3"/>
  <c r="AR52" i="3"/>
  <c r="AU38" i="3"/>
  <c r="BE25" i="3"/>
  <c r="O14" i="3"/>
  <c r="AC192" i="3"/>
  <c r="BJ142" i="3"/>
  <c r="AH107" i="3"/>
  <c r="BJ87" i="3"/>
  <c r="G70" i="3"/>
  <c r="BI51" i="3"/>
  <c r="Z36" i="3"/>
  <c r="P24" i="3"/>
  <c r="X12" i="3"/>
  <c r="BF179" i="3"/>
  <c r="G136" i="3"/>
  <c r="N105" i="3"/>
  <c r="BE85" i="3"/>
  <c r="T66" i="3"/>
  <c r="BK45" i="3"/>
  <c r="BH27" i="3"/>
  <c r="K13" i="3"/>
  <c r="AG116" i="3"/>
  <c r="BH45" i="3"/>
  <c r="AT4" i="3"/>
  <c r="Q137" i="3"/>
  <c r="AO102" i="3"/>
  <c r="AE82" i="3"/>
  <c r="R60" i="3"/>
  <c r="AJ42" i="3"/>
  <c r="BC25" i="3"/>
  <c r="AO12" i="3"/>
  <c r="AE139" i="3"/>
  <c r="AF59" i="3"/>
  <c r="BK158" i="3"/>
  <c r="AI110" i="3"/>
  <c r="V86" i="3"/>
  <c r="BL63" i="3"/>
  <c r="AB46" i="3"/>
  <c r="AX29" i="3"/>
  <c r="BH15" i="3"/>
  <c r="AL188" i="3"/>
  <c r="BA77" i="3"/>
  <c r="AW25" i="3"/>
  <c r="AW183" i="3"/>
  <c r="BK123" i="3"/>
  <c r="R98" i="3"/>
  <c r="U61" i="3"/>
  <c r="P38" i="3"/>
  <c r="AL18" i="3"/>
  <c r="AI173" i="3"/>
  <c r="V48" i="3"/>
  <c r="AN5" i="3"/>
  <c r="BF45" i="3"/>
  <c r="AX156" i="3"/>
  <c r="Y58" i="3"/>
  <c r="H8" i="3"/>
  <c r="BD65" i="3"/>
  <c r="BE4" i="3"/>
  <c r="L70" i="3"/>
  <c r="L11" i="3"/>
  <c r="AT91" i="3"/>
  <c r="AL173" i="3"/>
  <c r="BK115" i="3"/>
  <c r="AN80" i="3"/>
  <c r="Q52" i="3"/>
  <c r="BL31" i="3"/>
  <c r="AJ14" i="3"/>
  <c r="AS119" i="3"/>
  <c r="BD56" i="3"/>
  <c r="BC6" i="3"/>
  <c r="BE73" i="3"/>
  <c r="S18" i="3"/>
  <c r="AM74" i="3"/>
  <c r="J21" i="3"/>
  <c r="BF112" i="3"/>
  <c r="AE46" i="3"/>
  <c r="AE141" i="3"/>
  <c r="R26" i="3"/>
  <c r="AZ90" i="3"/>
  <c r="AR138" i="3"/>
  <c r="AW107" i="3"/>
  <c r="AG70" i="3"/>
  <c r="AX46" i="3"/>
  <c r="AC27" i="3"/>
  <c r="Y11" i="3"/>
  <c r="K114" i="3"/>
  <c r="J15" i="3"/>
  <c r="Q84" i="3"/>
  <c r="M17" i="3"/>
  <c r="X115" i="3"/>
  <c r="AT42" i="3"/>
  <c r="AF122" i="3"/>
  <c r="AQ57" i="3"/>
  <c r="AO150" i="3"/>
  <c r="BF88" i="3"/>
  <c r="AC42" i="3"/>
  <c r="BC139" i="3"/>
  <c r="BA62" i="3"/>
  <c r="L110" i="3"/>
  <c r="AY67" i="3"/>
  <c r="BF30" i="3"/>
  <c r="AJ6" i="3"/>
  <c r="AV11" i="3"/>
  <c r="AN39" i="3"/>
  <c r="K77" i="3"/>
  <c r="BC58" i="3"/>
  <c r="BA121" i="3"/>
  <c r="AR9" i="3"/>
  <c r="X53" i="3"/>
  <c r="AN78" i="3"/>
  <c r="U128" i="3"/>
  <c r="AJ8" i="3"/>
  <c r="AI152" i="3"/>
  <c r="BB149" i="3"/>
  <c r="N120" i="3"/>
  <c r="S77" i="3"/>
  <c r="AL36" i="3"/>
  <c r="AX11" i="3"/>
  <c r="BG61" i="3"/>
  <c r="AJ93" i="3"/>
  <c r="AP8" i="3"/>
  <c r="AX30" i="3"/>
  <c r="AP80" i="3"/>
  <c r="AY119" i="3"/>
  <c r="AC11" i="3"/>
  <c r="AB182" i="3"/>
  <c r="AJ21" i="3"/>
  <c r="BK33" i="3"/>
  <c r="N31" i="3"/>
  <c r="W71" i="3"/>
  <c r="AL105" i="3"/>
  <c r="J108" i="3"/>
  <c r="Z64" i="3"/>
  <c r="AD29" i="3"/>
  <c r="AU7" i="3"/>
  <c r="AF27" i="3"/>
  <c r="AM53" i="3"/>
  <c r="BE61" i="3"/>
  <c r="AC4" i="3"/>
  <c r="N18" i="3"/>
  <c r="V45" i="3"/>
  <c r="AN68" i="3"/>
  <c r="V125" i="3"/>
  <c r="M7" i="3"/>
  <c r="I22" i="3"/>
  <c r="AS51" i="3"/>
  <c r="Q38" i="3"/>
  <c r="M55" i="3"/>
  <c r="AB24" i="3"/>
  <c r="AB100" i="3"/>
  <c r="AG82" i="3"/>
  <c r="Q157" i="3"/>
  <c r="AV146" i="3"/>
  <c r="BG26" i="3"/>
  <c r="W171" i="3"/>
  <c r="AW34" i="3"/>
  <c r="AD74" i="3"/>
  <c r="BC16" i="3"/>
  <c r="AD88" i="3"/>
  <c r="AT15" i="3"/>
  <c r="Z72" i="3"/>
  <c r="AN51" i="3"/>
  <c r="BF84" i="3"/>
  <c r="BL29" i="3"/>
  <c r="AW35" i="3"/>
  <c r="BL22" i="3"/>
  <c r="AR83" i="3"/>
  <c r="BK5" i="3"/>
  <c r="BG22" i="3"/>
  <c r="F183" i="3"/>
  <c r="F76" i="3"/>
  <c r="F95" i="3"/>
  <c r="F189" i="3"/>
  <c r="F106" i="3"/>
  <c r="F131" i="3"/>
  <c r="F141" i="3"/>
  <c r="K191" i="3"/>
  <c r="Z174" i="3"/>
  <c r="K189" i="3"/>
  <c r="AX161" i="3"/>
  <c r="I177" i="3"/>
  <c r="AA149" i="3"/>
  <c r="AM161" i="3"/>
  <c r="BK182" i="3"/>
  <c r="J151" i="3"/>
  <c r="BL167" i="3"/>
  <c r="AF189" i="3"/>
  <c r="AH149" i="3"/>
  <c r="AX176" i="3"/>
  <c r="Y181" i="3"/>
  <c r="AS140" i="3"/>
  <c r="BD174" i="3"/>
  <c r="BD135" i="3"/>
  <c r="I152" i="3"/>
  <c r="T191" i="3"/>
  <c r="AJ147" i="3"/>
  <c r="T182" i="3"/>
  <c r="X134" i="3"/>
  <c r="BK171" i="3"/>
  <c r="N129" i="3"/>
  <c r="AE164" i="3"/>
  <c r="BD123" i="3"/>
  <c r="AB156" i="3"/>
  <c r="S188" i="3"/>
  <c r="BK129" i="3"/>
  <c r="P104" i="3"/>
  <c r="BD96" i="3"/>
  <c r="BG67" i="3"/>
  <c r="AK177" i="3"/>
  <c r="Z123" i="3"/>
  <c r="T87" i="3"/>
  <c r="BA52" i="3"/>
  <c r="G141" i="3"/>
  <c r="AH104" i="3"/>
  <c r="AH84" i="3"/>
  <c r="AZ56" i="3"/>
  <c r="J148" i="3"/>
  <c r="BF107" i="3"/>
  <c r="H81" i="3"/>
  <c r="P51" i="3"/>
  <c r="J123" i="3"/>
  <c r="AH77" i="3"/>
  <c r="BA36" i="3"/>
  <c r="AI151" i="3"/>
  <c r="BE103" i="3"/>
  <c r="AK69" i="3"/>
  <c r="AZ36" i="3"/>
  <c r="AJ136" i="3"/>
  <c r="AJ95" i="3"/>
  <c r="BE60" i="3"/>
  <c r="AY28" i="3"/>
  <c r="BH119" i="3"/>
  <c r="BC83" i="3"/>
  <c r="K49" i="3"/>
  <c r="Y21" i="3"/>
  <c r="AK115" i="3"/>
  <c r="J60" i="3"/>
  <c r="I23" i="3"/>
  <c r="M163" i="3"/>
  <c r="BB99" i="3"/>
  <c r="BD45" i="3"/>
  <c r="AP6" i="3"/>
  <c r="AW113" i="3"/>
  <c r="J71" i="3"/>
  <c r="AR30" i="3"/>
  <c r="AF147" i="3"/>
  <c r="M83" i="3"/>
  <c r="V39" i="3"/>
  <c r="AX8" i="3"/>
  <c r="V111" i="3"/>
  <c r="O54" i="3"/>
  <c r="N4" i="3"/>
  <c r="AF89" i="3"/>
  <c r="O28" i="3"/>
  <c r="I148" i="3"/>
  <c r="AM82" i="3"/>
  <c r="U21" i="3"/>
  <c r="BC130" i="3"/>
  <c r="AZ69" i="3"/>
  <c r="T21" i="3"/>
  <c r="AY103" i="3"/>
  <c r="BD101" i="3"/>
  <c r="BD142" i="3"/>
  <c r="W130" i="3"/>
  <c r="K51" i="3"/>
  <c r="AI187" i="3"/>
  <c r="AT68" i="3"/>
  <c r="BI12" i="3"/>
  <c r="Y67" i="3"/>
  <c r="BM173" i="3"/>
  <c r="K63" i="3"/>
  <c r="L104" i="3"/>
  <c r="BL99" i="3"/>
  <c r="BM23" i="3"/>
  <c r="AL145" i="3"/>
  <c r="AO44" i="3"/>
  <c r="AZ67" i="3"/>
  <c r="O85" i="3"/>
  <c r="AK121" i="3"/>
  <c r="BH54" i="3"/>
  <c r="Y59" i="3"/>
  <c r="BG110" i="3"/>
  <c r="Z11" i="3"/>
  <c r="R68" i="3"/>
  <c r="BE38" i="3"/>
  <c r="AT104" i="3"/>
  <c r="AL9" i="3"/>
  <c r="S11" i="3"/>
  <c r="AE43" i="3"/>
  <c r="AQ123" i="3"/>
  <c r="AT27" i="3"/>
  <c r="S52" i="3"/>
  <c r="AC38" i="3"/>
  <c r="AN100" i="3"/>
  <c r="AV7" i="3"/>
  <c r="U16" i="3"/>
  <c r="O121" i="3"/>
  <c r="N55" i="3"/>
  <c r="K26" i="3"/>
  <c r="X45" i="3"/>
  <c r="AE54" i="3"/>
  <c r="BJ33" i="3"/>
  <c r="AO51" i="3"/>
  <c r="AO93" i="3"/>
  <c r="U116" i="3"/>
  <c r="AJ13" i="3"/>
  <c r="T116" i="3"/>
  <c r="F43" i="3"/>
  <c r="F168" i="3"/>
  <c r="AR188" i="3"/>
  <c r="U111" i="3"/>
  <c r="AO119" i="3"/>
  <c r="Y180" i="3"/>
  <c r="O114" i="3"/>
  <c r="AL87" i="3"/>
  <c r="U58" i="3"/>
  <c r="BF134" i="3"/>
  <c r="AF94" i="3"/>
  <c r="G60" i="3"/>
  <c r="AV29" i="3"/>
  <c r="Z135" i="3"/>
  <c r="M95" i="3"/>
  <c r="BF60" i="3"/>
  <c r="AU29" i="3"/>
  <c r="BM135" i="3"/>
  <c r="L95" i="3"/>
  <c r="AC60" i="3"/>
  <c r="AE28" i="3"/>
  <c r="BC129" i="3"/>
  <c r="J92" i="3"/>
  <c r="AE57" i="3"/>
  <c r="AI27" i="3"/>
  <c r="BF131" i="3"/>
  <c r="BH92" i="3"/>
  <c r="AW59" i="3"/>
  <c r="AX22" i="3"/>
  <c r="AR183" i="3"/>
  <c r="AC123" i="3"/>
  <c r="N77" i="3"/>
  <c r="AJ7" i="3"/>
  <c r="BK21" i="3"/>
  <c r="BH96" i="3"/>
  <c r="BI42" i="3"/>
  <c r="AF191" i="3"/>
  <c r="BI101" i="3"/>
  <c r="S49" i="3"/>
  <c r="AE9" i="3"/>
  <c r="AP109" i="3"/>
  <c r="AW54" i="3"/>
  <c r="AB12" i="3"/>
  <c r="K111" i="3"/>
  <c r="AY55" i="3"/>
  <c r="AA12" i="3"/>
  <c r="K103" i="3"/>
  <c r="K190" i="3"/>
  <c r="BD141" i="3"/>
  <c r="AN129" i="3"/>
  <c r="AJ50" i="3"/>
  <c r="AB184" i="3"/>
  <c r="Z67" i="3"/>
  <c r="Y12" i="3"/>
  <c r="AK83" i="3"/>
  <c r="AW20" i="3"/>
  <c r="BF101" i="3"/>
  <c r="M25" i="3"/>
  <c r="Z181" i="3"/>
  <c r="AK56" i="3"/>
  <c r="AM115" i="3"/>
  <c r="AU81" i="3"/>
  <c r="AR13" i="3"/>
  <c r="T170" i="3"/>
  <c r="AE34" i="3"/>
  <c r="X118" i="3"/>
  <c r="BM152" i="3"/>
  <c r="BC186" i="3"/>
  <c r="Q72" i="3"/>
  <c r="AG110" i="3"/>
  <c r="AJ12" i="3"/>
  <c r="AN36" i="3"/>
  <c r="M130" i="3"/>
  <c r="AB23" i="3"/>
  <c r="BG74" i="3"/>
  <c r="O110" i="3"/>
  <c r="AH32" i="3"/>
  <c r="AM57" i="3"/>
  <c r="AA22" i="3"/>
  <c r="BD136" i="3"/>
  <c r="BG105" i="3"/>
  <c r="V67" i="3"/>
  <c r="AM153" i="3"/>
  <c r="W125" i="3"/>
  <c r="Q9" i="3"/>
  <c r="BE53" i="3"/>
  <c r="U19" i="3"/>
  <c r="P22" i="3"/>
  <c r="AW130" i="3"/>
  <c r="AP161" i="3"/>
  <c r="BM18" i="3"/>
  <c r="AV34" i="3"/>
  <c r="AW112" i="3"/>
  <c r="BI166" i="3"/>
  <c r="AQ96" i="3"/>
  <c r="F145" i="3"/>
  <c r="F181" i="3"/>
  <c r="X188" i="3"/>
  <c r="T186" i="3"/>
  <c r="Z166" i="3"/>
  <c r="AS174" i="3"/>
  <c r="AT190" i="3"/>
  <c r="S163" i="3"/>
  <c r="T177" i="3"/>
  <c r="V144" i="3"/>
  <c r="BG166" i="3"/>
  <c r="G175" i="3"/>
  <c r="Y143" i="3"/>
  <c r="AN158" i="3"/>
  <c r="AL185" i="3"/>
  <c r="AG173" i="3"/>
  <c r="H159" i="3"/>
  <c r="V126" i="3"/>
  <c r="U151" i="3"/>
  <c r="BF173" i="3"/>
  <c r="AX128" i="3"/>
  <c r="Y157" i="3"/>
  <c r="AR125" i="3"/>
  <c r="M142" i="3"/>
  <c r="AR185" i="3"/>
  <c r="BM136" i="3"/>
  <c r="AQ176" i="3"/>
  <c r="AO130" i="3"/>
  <c r="BJ167" i="3"/>
  <c r="AM125" i="3"/>
  <c r="AT152" i="3"/>
  <c r="AT110" i="3"/>
  <c r="AE81" i="3"/>
  <c r="AW53" i="3"/>
  <c r="AY144" i="3"/>
  <c r="AS106" i="3"/>
  <c r="BK78" i="3"/>
  <c r="M52" i="3"/>
  <c r="AJ139" i="3"/>
  <c r="BG103" i="3"/>
  <c r="L76" i="3"/>
  <c r="AA49" i="3"/>
  <c r="AH146" i="3"/>
  <c r="R107" i="3"/>
  <c r="AG80" i="3"/>
  <c r="AO50" i="3"/>
  <c r="V122" i="3"/>
  <c r="BD85" i="3"/>
  <c r="AZ51" i="3"/>
  <c r="BK22" i="3"/>
  <c r="BA111" i="3"/>
  <c r="AG77" i="3"/>
  <c r="AZ111" i="3"/>
  <c r="BH165" i="3"/>
  <c r="AQ73" i="3"/>
  <c r="O27" i="3"/>
  <c r="I131" i="3"/>
  <c r="BI81" i="3"/>
  <c r="AT30" i="3"/>
  <c r="AQ182" i="3"/>
  <c r="BM109" i="3"/>
  <c r="AJ54" i="3"/>
  <c r="AF12" i="3"/>
  <c r="Q129" i="3"/>
  <c r="P82" i="3"/>
  <c r="AJ38" i="3"/>
  <c r="P7" i="3"/>
  <c r="AS112" i="3"/>
  <c r="R70" i="3"/>
  <c r="BG29" i="3"/>
  <c r="BG180" i="3"/>
  <c r="T96" i="3"/>
  <c r="AG42" i="3"/>
  <c r="AE190" i="3"/>
  <c r="Y101" i="3"/>
  <c r="AU48" i="3"/>
  <c r="AS8" i="3"/>
  <c r="Y108" i="3"/>
  <c r="M54" i="3"/>
  <c r="AS11" i="3"/>
  <c r="AN110" i="3"/>
  <c r="BF42" i="3"/>
  <c r="BH150" i="3"/>
  <c r="AO153" i="3"/>
  <c r="AR111" i="3"/>
  <c r="AW98" i="3"/>
  <c r="AE84" i="3"/>
  <c r="M23" i="3"/>
  <c r="BC102" i="3"/>
  <c r="X35" i="3"/>
  <c r="BK135" i="3"/>
  <c r="AI48" i="3"/>
  <c r="X169" i="3"/>
  <c r="BD61" i="3"/>
  <c r="AH9" i="3"/>
  <c r="I126" i="3"/>
  <c r="BD36" i="3"/>
  <c r="AA46" i="3"/>
  <c r="AG59" i="3"/>
  <c r="K138" i="3"/>
  <c r="AA83" i="3"/>
  <c r="BI112" i="3"/>
  <c r="AS122" i="3"/>
  <c r="AU156" i="3"/>
  <c r="X147" i="3"/>
  <c r="O10" i="3"/>
  <c r="BM62" i="3"/>
  <c r="BA86" i="3"/>
  <c r="AF74" i="3"/>
  <c r="AL40" i="3"/>
  <c r="T185" i="3"/>
  <c r="H106" i="3"/>
  <c r="AE29" i="3"/>
  <c r="BG53" i="3"/>
  <c r="P20" i="3"/>
  <c r="P121" i="3"/>
  <c r="N99" i="3"/>
  <c r="BF29" i="3"/>
  <c r="BA143" i="3"/>
  <c r="AK113" i="3"/>
  <c r="BM48" i="3"/>
  <c r="BD22" i="3"/>
  <c r="BK40" i="3"/>
  <c r="R46" i="3"/>
  <c r="AJ25" i="3"/>
  <c r="AT185" i="3"/>
  <c r="BA141" i="3"/>
  <c r="X151" i="3"/>
  <c r="AH174" i="3"/>
  <c r="AN99" i="3"/>
  <c r="BF51" i="3"/>
  <c r="AR127" i="3"/>
  <c r="BB96" i="3"/>
  <c r="G69" i="3"/>
  <c r="BI178" i="3"/>
  <c r="AK122" i="3"/>
  <c r="BK86" i="3"/>
  <c r="Z57" i="3"/>
  <c r="AZ121" i="3"/>
  <c r="AF85" i="3"/>
  <c r="AB51" i="3"/>
  <c r="AY191" i="3"/>
  <c r="AI190" i="3"/>
  <c r="AM189" i="3"/>
  <c r="AM187" i="3"/>
  <c r="AL187" i="3"/>
  <c r="BM189" i="3"/>
  <c r="Z182" i="3"/>
  <c r="U175" i="3"/>
  <c r="BI167" i="3"/>
  <c r="AJ160" i="3"/>
  <c r="AH152" i="3"/>
  <c r="BL189" i="3"/>
  <c r="AS182" i="3"/>
  <c r="BH175" i="3"/>
  <c r="J169" i="3"/>
  <c r="AS162" i="3"/>
  <c r="BK154" i="3"/>
  <c r="AU192" i="3"/>
  <c r="AL184" i="3"/>
  <c r="AW177" i="3"/>
  <c r="S171" i="3"/>
  <c r="AH164" i="3"/>
  <c r="AW157" i="3"/>
  <c r="V150" i="3"/>
  <c r="AS187" i="3"/>
  <c r="AB179" i="3"/>
  <c r="BD170" i="3"/>
  <c r="R162" i="3"/>
  <c r="BL152" i="3"/>
  <c r="AK145" i="3"/>
  <c r="AZ138" i="3"/>
  <c r="AU183" i="3"/>
  <c r="L176" i="3"/>
  <c r="W168" i="3"/>
  <c r="BE160" i="3"/>
  <c r="BD151" i="3"/>
  <c r="AT143" i="3"/>
  <c r="AC184" i="3"/>
  <c r="AK176" i="3"/>
  <c r="AS168" i="3"/>
  <c r="N161" i="3"/>
  <c r="P152" i="3"/>
  <c r="AN144" i="3"/>
  <c r="AR191" i="3"/>
  <c r="O179" i="3"/>
  <c r="M170" i="3"/>
  <c r="AS160" i="3"/>
  <c r="Q150" i="3"/>
  <c r="BC192" i="3"/>
  <c r="W181" i="3"/>
  <c r="BK187" i="3"/>
  <c r="AN177" i="3"/>
  <c r="AG168" i="3"/>
  <c r="AS184" i="3"/>
  <c r="AG175" i="3"/>
  <c r="AN165" i="3"/>
  <c r="AA182" i="3"/>
  <c r="AG171" i="3"/>
  <c r="BH160" i="3"/>
  <c r="AA150" i="3"/>
  <c r="AT141" i="3"/>
  <c r="V134" i="3"/>
  <c r="AK127" i="3"/>
  <c r="AH186" i="3"/>
  <c r="AY175" i="3"/>
  <c r="V164" i="3"/>
  <c r="AI153" i="3"/>
  <c r="AJ144" i="3"/>
  <c r="AE136" i="3"/>
  <c r="AC186" i="3"/>
  <c r="AX175" i="3"/>
  <c r="T164" i="3"/>
  <c r="AH153" i="3"/>
  <c r="AI144" i="3"/>
  <c r="AX136" i="3"/>
  <c r="T130" i="3"/>
  <c r="AM192" i="3"/>
  <c r="Q180" i="3"/>
  <c r="BM169" i="3"/>
  <c r="AF159" i="3"/>
  <c r="Q148" i="3"/>
  <c r="R140" i="3"/>
  <c r="AR133" i="3"/>
  <c r="BG126" i="3"/>
  <c r="L184" i="3"/>
  <c r="M169" i="3"/>
  <c r="BG154" i="3"/>
  <c r="AA144" i="3"/>
  <c r="G135" i="3"/>
  <c r="AV126" i="3"/>
  <c r="P119" i="3"/>
  <c r="G188" i="3"/>
  <c r="AO173" i="3"/>
  <c r="AU160" i="3"/>
  <c r="AP147" i="3"/>
  <c r="AE138" i="3"/>
  <c r="BH129" i="3"/>
  <c r="T122" i="3"/>
  <c r="AL114" i="3"/>
  <c r="AU179" i="3"/>
  <c r="H166" i="3"/>
  <c r="U152" i="3"/>
  <c r="BI140" i="3"/>
  <c r="AB132" i="3"/>
  <c r="AL124" i="3"/>
  <c r="AU116" i="3"/>
  <c r="AZ184" i="3"/>
  <c r="AY170" i="3"/>
  <c r="AJ158" i="3"/>
  <c r="BH143" i="3"/>
  <c r="AB135" i="3"/>
  <c r="Z127" i="3"/>
  <c r="H120" i="3"/>
  <c r="BL190" i="3"/>
  <c r="AM172" i="3"/>
  <c r="G157" i="3"/>
  <c r="I141" i="3"/>
  <c r="BB130" i="3"/>
  <c r="J121" i="3"/>
  <c r="P112" i="3"/>
  <c r="BD104" i="3"/>
  <c r="AE97" i="3"/>
  <c r="Z90" i="3"/>
  <c r="U83" i="3"/>
  <c r="S75" i="3"/>
  <c r="AH68" i="3"/>
  <c r="AW61" i="3"/>
  <c r="S55" i="3"/>
  <c r="AH48" i="3"/>
  <c r="BK178" i="3"/>
  <c r="O162" i="3"/>
  <c r="AW147" i="3"/>
  <c r="BD134" i="3"/>
  <c r="S124" i="3"/>
  <c r="AS114" i="3"/>
  <c r="BH107" i="3"/>
  <c r="J101" i="3"/>
  <c r="AS94" i="3"/>
  <c r="BH87" i="3"/>
  <c r="J81" i="3"/>
  <c r="AB73" i="3"/>
  <c r="BK66" i="3"/>
  <c r="M60" i="3"/>
  <c r="AB53" i="3"/>
  <c r="BF192" i="3"/>
  <c r="BA173" i="3"/>
  <c r="AA156" i="3"/>
  <c r="AQ142" i="3"/>
  <c r="AZ130" i="3"/>
  <c r="AZ120" i="3"/>
  <c r="BG111" i="3"/>
  <c r="I105" i="3"/>
  <c r="AR98" i="3"/>
  <c r="BG91" i="3"/>
  <c r="I85" i="3"/>
  <c r="AA77" i="3"/>
  <c r="BJ70" i="3"/>
  <c r="L64" i="3"/>
  <c r="AA57" i="3"/>
  <c r="BJ50" i="3"/>
  <c r="R183" i="3"/>
  <c r="AT164" i="3"/>
  <c r="R149" i="3"/>
  <c r="S135" i="3"/>
  <c r="AR124" i="3"/>
  <c r="AX115" i="3"/>
  <c r="AG108" i="3"/>
  <c r="AV101" i="3"/>
  <c r="R95" i="3"/>
  <c r="AG88" i="3"/>
  <c r="AV81" i="3"/>
  <c r="AT73" i="3"/>
  <c r="AO66" i="3"/>
  <c r="P59" i="3"/>
  <c r="BD51" i="3"/>
  <c r="P173" i="3"/>
  <c r="AB152" i="3"/>
  <c r="N137" i="3"/>
  <c r="H124" i="3"/>
  <c r="BM112" i="3"/>
  <c r="U104" i="3"/>
  <c r="AP95" i="3"/>
  <c r="V87" i="3"/>
  <c r="M78" i="3"/>
  <c r="BJ69" i="3"/>
  <c r="R61" i="3"/>
  <c r="V53" i="3"/>
  <c r="J45" i="3"/>
  <c r="AB37" i="3"/>
  <c r="BK30" i="3"/>
  <c r="M24" i="3"/>
  <c r="BK174" i="3"/>
  <c r="K153" i="3"/>
  <c r="BA137" i="3"/>
  <c r="AY124" i="3"/>
  <c r="AA113" i="3"/>
  <c r="AR104" i="3"/>
  <c r="X96" i="3"/>
  <c r="AB88" i="3"/>
  <c r="BH78" i="3"/>
  <c r="P70" i="3"/>
  <c r="BM61" i="3"/>
  <c r="U53" i="3"/>
  <c r="I45" i="3"/>
  <c r="AA37" i="3"/>
  <c r="BJ30" i="3"/>
  <c r="L24" i="3"/>
  <c r="BD175" i="3"/>
  <c r="J153" i="3"/>
  <c r="AZ137" i="3"/>
  <c r="O125" i="3"/>
  <c r="Z113" i="3"/>
  <c r="AQ104" i="3"/>
  <c r="W96" i="3"/>
  <c r="AR87" i="3"/>
  <c r="AI78" i="3"/>
  <c r="BH69" i="3"/>
  <c r="AN61" i="3"/>
  <c r="BI52" i="3"/>
  <c r="BA44" i="3"/>
  <c r="AY36" i="3"/>
  <c r="AT29" i="3"/>
  <c r="AO22" i="3"/>
  <c r="BJ169" i="3"/>
  <c r="Y146" i="3"/>
  <c r="AN132" i="3"/>
  <c r="BE120" i="3"/>
  <c r="Q110" i="3"/>
  <c r="BM101" i="3"/>
  <c r="U93" i="3"/>
  <c r="AP84" i="3"/>
  <c r="AG75" i="3"/>
  <c r="M67" i="3"/>
  <c r="AH58" i="3"/>
  <c r="BG49" i="3"/>
  <c r="BJ42" i="3"/>
  <c r="O35" i="3"/>
  <c r="AD28" i="3"/>
  <c r="BM21" i="3"/>
  <c r="J171" i="3"/>
  <c r="N150" i="3"/>
  <c r="AO133" i="3"/>
  <c r="W118" i="3"/>
  <c r="V105" i="3"/>
  <c r="Q94" i="3"/>
  <c r="AV83" i="3"/>
  <c r="AR71" i="3"/>
  <c r="AK61" i="3"/>
  <c r="BM50" i="3"/>
  <c r="BH40" i="3"/>
  <c r="AN32" i="3"/>
  <c r="BI23" i="3"/>
  <c r="AG16" i="3"/>
  <c r="AV9" i="3"/>
  <c r="BA186" i="3"/>
  <c r="O165" i="3"/>
  <c r="X143" i="3"/>
  <c r="AQ126" i="3"/>
  <c r="AV111" i="3"/>
  <c r="AW100" i="3"/>
  <c r="I90" i="3"/>
  <c r="AC80" i="3"/>
  <c r="AD68" i="3"/>
  <c r="V57" i="3"/>
  <c r="AI46" i="3"/>
  <c r="AG37" i="3"/>
  <c r="M29" i="3"/>
  <c r="AI20" i="3"/>
  <c r="AU13" i="3"/>
  <c r="Q7" i="3"/>
  <c r="H177" i="3"/>
  <c r="W149" i="3"/>
  <c r="Q132" i="3"/>
  <c r="BL114" i="3"/>
  <c r="BI104" i="3"/>
  <c r="O94" i="3"/>
  <c r="I84" i="3"/>
  <c r="AO72" i="3"/>
  <c r="AI61" i="3"/>
  <c r="BG50" i="3"/>
  <c r="AH40" i="3"/>
  <c r="AY31" i="3"/>
  <c r="G23" i="3"/>
  <c r="BD15" i="3"/>
  <c r="AE8" i="3"/>
  <c r="AH182" i="3"/>
  <c r="V149" i="3"/>
  <c r="AZ131" i="3"/>
  <c r="BK114" i="3"/>
  <c r="BH104" i="3"/>
  <c r="N94" i="3"/>
  <c r="H84" i="3"/>
  <c r="AN72" i="3"/>
  <c r="BJ61" i="3"/>
  <c r="BF50" i="3"/>
  <c r="AC40" i="3"/>
  <c r="AX31" i="3"/>
  <c r="AD23" i="3"/>
  <c r="J16" i="3"/>
  <c r="AS9" i="3"/>
  <c r="AK188" i="3"/>
  <c r="T150" i="3"/>
  <c r="H130" i="3"/>
  <c r="AC112" i="3"/>
  <c r="AF98" i="3"/>
  <c r="AD84" i="3"/>
  <c r="S69" i="3"/>
  <c r="V55" i="3"/>
  <c r="AA44" i="3"/>
  <c r="BD32" i="3"/>
  <c r="M22" i="3"/>
  <c r="AN13" i="3"/>
  <c r="BJ4" i="3"/>
  <c r="AI162" i="3"/>
  <c r="W136" i="3"/>
  <c r="AP118" i="3"/>
  <c r="AB103" i="3"/>
  <c r="G91" i="3"/>
  <c r="AK76" i="3"/>
  <c r="AQ63" i="3"/>
  <c r="BB50" i="3"/>
  <c r="AX39" i="3"/>
  <c r="I29" i="3"/>
  <c r="BC18" i="3"/>
  <c r="AI10" i="3"/>
  <c r="BC185" i="3"/>
  <c r="R150" i="3"/>
  <c r="AL128" i="3"/>
  <c r="L111" i="3"/>
  <c r="T97" i="3"/>
  <c r="BA83" i="3"/>
  <c r="BA69" i="3"/>
  <c r="X56" i="3"/>
  <c r="BE44" i="3"/>
  <c r="P33" i="3"/>
  <c r="K22" i="3"/>
  <c r="AL13" i="3"/>
  <c r="BH4" i="3"/>
  <c r="BJ157" i="3"/>
  <c r="M132" i="3"/>
  <c r="AS113" i="3"/>
  <c r="AG99" i="3"/>
  <c r="W85" i="3"/>
  <c r="BG70" i="3"/>
  <c r="AI57" i="3"/>
  <c r="BD44" i="3"/>
  <c r="O33" i="3"/>
  <c r="J22" i="3"/>
  <c r="AK13" i="3"/>
  <c r="BG4" i="3"/>
  <c r="O157" i="3"/>
  <c r="AV127" i="3"/>
  <c r="AS105" i="3"/>
  <c r="I88" i="3"/>
  <c r="AV159" i="3"/>
  <c r="AU127" i="3"/>
  <c r="AX103" i="3"/>
  <c r="AG149" i="3"/>
  <c r="AH116" i="3"/>
  <c r="BA189" i="3"/>
  <c r="R146" i="3"/>
  <c r="BB122" i="3"/>
  <c r="AG101" i="3"/>
  <c r="Q181" i="3"/>
  <c r="AT132" i="3"/>
  <c r="BJ105" i="3"/>
  <c r="G87" i="3"/>
  <c r="AI71" i="3"/>
  <c r="AE53" i="3"/>
  <c r="H38" i="3"/>
  <c r="R25" i="3"/>
  <c r="P14" i="3"/>
  <c r="AD192" i="3"/>
  <c r="AW141" i="3"/>
  <c r="AP106" i="3"/>
  <c r="BK87" i="3"/>
  <c r="H70" i="3"/>
  <c r="BJ51" i="3"/>
  <c r="G38" i="3"/>
  <c r="Q25" i="3"/>
  <c r="BC13" i="3"/>
  <c r="BG190" i="3"/>
  <c r="AV141" i="3"/>
  <c r="AN106" i="3"/>
  <c r="R86" i="3"/>
  <c r="AF69" i="3"/>
  <c r="I51" i="3"/>
  <c r="BG35" i="3"/>
  <c r="AU23" i="3"/>
  <c r="BL11" i="3"/>
  <c r="AG177" i="3"/>
  <c r="Z132" i="3"/>
  <c r="Z104" i="3"/>
  <c r="L84" i="3"/>
  <c r="AN65" i="3"/>
  <c r="T45" i="3"/>
  <c r="I27" i="3"/>
  <c r="AP12" i="3"/>
  <c r="AD112" i="3"/>
  <c r="AB39" i="3"/>
  <c r="I190" i="3"/>
  <c r="BB133" i="3"/>
  <c r="BB101" i="3"/>
  <c r="AZ81" i="3"/>
  <c r="AH59" i="3"/>
  <c r="BB40" i="3"/>
  <c r="L25" i="3"/>
  <c r="AN11" i="3"/>
  <c r="AA128" i="3"/>
  <c r="M57" i="3"/>
  <c r="J150" i="3"/>
  <c r="AI109" i="3"/>
  <c r="AR85" i="3"/>
  <c r="I63" i="3"/>
  <c r="BI45" i="3"/>
  <c r="X28" i="3"/>
  <c r="U15" i="3"/>
  <c r="AW172" i="3"/>
  <c r="O76" i="3"/>
  <c r="BK23" i="3"/>
  <c r="BM179" i="3"/>
  <c r="BK122" i="3"/>
  <c r="N93" i="3"/>
  <c r="AQ60" i="3"/>
  <c r="AO37" i="3"/>
  <c r="BH17" i="3"/>
  <c r="BK141" i="3"/>
  <c r="AE47" i="3"/>
  <c r="AH138" i="3"/>
  <c r="K44" i="3"/>
  <c r="AB138" i="3"/>
  <c r="AR57" i="3"/>
  <c r="N191" i="3"/>
  <c r="AU63" i="3"/>
  <c r="S173" i="3"/>
  <c r="AU66" i="3"/>
  <c r="AW8" i="3"/>
  <c r="AZ87" i="3"/>
  <c r="S170" i="3"/>
  <c r="M114" i="3"/>
  <c r="AD78" i="3"/>
  <c r="N51" i="3"/>
  <c r="I31" i="3"/>
  <c r="S13" i="3"/>
  <c r="BG116" i="3"/>
  <c r="L51" i="3"/>
  <c r="BL4" i="3"/>
  <c r="M71" i="3"/>
  <c r="AK16" i="3"/>
  <c r="BD73" i="3"/>
  <c r="V20" i="3"/>
  <c r="Q109" i="3"/>
  <c r="I44" i="3"/>
  <c r="BH136" i="3"/>
  <c r="AC22" i="3"/>
  <c r="BA89" i="3"/>
  <c r="BK134" i="3"/>
  <c r="AE106" i="3"/>
  <c r="AO69" i="3"/>
  <c r="BL45" i="3"/>
  <c r="AT26" i="3"/>
  <c r="BA10" i="3"/>
  <c r="M101" i="3"/>
  <c r="BK11" i="3"/>
  <c r="L81" i="3"/>
  <c r="AG14" i="3"/>
  <c r="AP111" i="3"/>
  <c r="AB30" i="3"/>
  <c r="BD116" i="3"/>
  <c r="BG54" i="3"/>
  <c r="BE144" i="3"/>
  <c r="BE87" i="3"/>
  <c r="AO39" i="3"/>
  <c r="AF134" i="3"/>
  <c r="O60" i="3"/>
  <c r="AV108" i="3"/>
  <c r="AB64" i="3"/>
  <c r="BK29" i="3"/>
  <c r="BG5" i="3"/>
  <c r="AU8" i="3"/>
  <c r="AX37" i="3"/>
  <c r="G64" i="3"/>
  <c r="AQ55" i="3"/>
  <c r="AX104" i="3"/>
  <c r="AC5" i="3"/>
  <c r="BB47" i="3"/>
  <c r="AS71" i="3"/>
  <c r="I111" i="3"/>
  <c r="Y140" i="3"/>
  <c r="BC149" i="3"/>
  <c r="BB142" i="3"/>
  <c r="R116" i="3"/>
  <c r="P74" i="3"/>
  <c r="AB35" i="3"/>
  <c r="AU10" i="3"/>
  <c r="AU54" i="3"/>
  <c r="AV84" i="3"/>
  <c r="AH4" i="3"/>
  <c r="AI28" i="3"/>
  <c r="BH71" i="3"/>
  <c r="AL113" i="3"/>
  <c r="AV172" i="3"/>
  <c r="BA167" i="3"/>
  <c r="AK8" i="3"/>
  <c r="X21" i="3"/>
  <c r="BM26" i="3"/>
  <c r="AS66" i="3"/>
  <c r="AG87" i="3"/>
  <c r="AM106" i="3"/>
  <c r="AU60" i="3"/>
  <c r="AL28" i="3"/>
  <c r="AH6" i="3"/>
  <c r="BA23" i="3"/>
  <c r="Y45" i="3"/>
  <c r="BD58" i="3"/>
  <c r="AA185" i="3"/>
  <c r="I14" i="3"/>
  <c r="AQ37" i="3"/>
  <c r="R65" i="3"/>
  <c r="AW119" i="3"/>
  <c r="Y4" i="3"/>
  <c r="I12" i="3"/>
  <c r="T42" i="3"/>
  <c r="K37" i="3"/>
  <c r="BL48" i="3"/>
  <c r="BH19" i="3"/>
  <c r="AR92" i="3"/>
  <c r="Z66" i="3"/>
  <c r="AJ137" i="3"/>
  <c r="V116" i="3"/>
  <c r="AY178" i="3"/>
  <c r="AG161" i="3"/>
  <c r="AD19" i="3"/>
  <c r="G56" i="3"/>
  <c r="AE137" i="3"/>
  <c r="AJ83" i="3"/>
  <c r="L9" i="3"/>
  <c r="AX69" i="3"/>
  <c r="AZ43" i="3"/>
  <c r="AH51" i="3"/>
  <c r="AV27" i="3"/>
  <c r="N25" i="3"/>
  <c r="AT149" i="3"/>
  <c r="R73" i="3"/>
  <c r="W186" i="3"/>
  <c r="BB12" i="3"/>
  <c r="F38" i="3"/>
  <c r="F188" i="3"/>
  <c r="F104" i="3"/>
  <c r="F90" i="3"/>
  <c r="F81" i="3"/>
  <c r="F122" i="3"/>
  <c r="F65" i="3"/>
  <c r="F178" i="3"/>
  <c r="F36" i="3"/>
  <c r="F39" i="3"/>
  <c r="F73" i="3"/>
  <c r="BL188" i="3"/>
  <c r="BH186" i="3"/>
  <c r="U167" i="3"/>
  <c r="AX181" i="3"/>
  <c r="W154" i="3"/>
  <c r="AR170" i="3"/>
  <c r="AZ186" i="3"/>
  <c r="R152" i="3"/>
  <c r="AE175" i="3"/>
  <c r="AP192" i="3"/>
  <c r="AD160" i="3"/>
  <c r="AF178" i="3"/>
  <c r="AQ191" i="3"/>
  <c r="BA183" i="3"/>
  <c r="AM169" i="3"/>
  <c r="AA133" i="3"/>
  <c r="AE163" i="3"/>
  <c r="BK184" i="3"/>
  <c r="BC143" i="3"/>
  <c r="Q179" i="3"/>
  <c r="AN139" i="3"/>
  <c r="AC167" i="3"/>
  <c r="AP125" i="3"/>
  <c r="AQ159" i="3"/>
  <c r="AS121" i="3"/>
  <c r="H151" i="3"/>
  <c r="G116" i="3"/>
  <c r="BM142" i="3"/>
  <c r="AG119" i="3"/>
  <c r="K140" i="3"/>
  <c r="AR74" i="3"/>
  <c r="BG47" i="3"/>
  <c r="BG133" i="3"/>
  <c r="AI100" i="3"/>
  <c r="AL59" i="3"/>
  <c r="BL153" i="3"/>
  <c r="S111" i="3"/>
  <c r="AZ76" i="3"/>
  <c r="V50" i="3"/>
  <c r="Z134" i="3"/>
  <c r="H101" i="3"/>
  <c r="AY72" i="3"/>
  <c r="AQ171" i="3"/>
  <c r="Q112" i="3"/>
  <c r="AJ86" i="3"/>
  <c r="AM52" i="3"/>
  <c r="AL23" i="3"/>
  <c r="AO123" i="3"/>
  <c r="L78" i="3"/>
  <c r="AH44" i="3"/>
  <c r="N173" i="3"/>
  <c r="BD103" i="3"/>
  <c r="L69" i="3"/>
  <c r="K36" i="3"/>
  <c r="G145" i="3"/>
  <c r="Q101" i="3"/>
  <c r="AD66" i="3"/>
  <c r="AN34" i="3"/>
  <c r="S132" i="3"/>
  <c r="BB82" i="3"/>
  <c r="BA31" i="3"/>
  <c r="AW184" i="3"/>
  <c r="BE110" i="3"/>
  <c r="AM66" i="3"/>
  <c r="AA28" i="3"/>
  <c r="H172" i="3"/>
  <c r="AD103" i="3"/>
  <c r="H60" i="3"/>
  <c r="P15" i="3"/>
  <c r="AV113" i="3"/>
  <c r="I71" i="3"/>
  <c r="AM30" i="3"/>
  <c r="AO184" i="3"/>
  <c r="V97" i="3"/>
  <c r="AB43" i="3"/>
  <c r="BF12" i="3"/>
  <c r="BH115" i="3"/>
  <c r="AD61" i="3"/>
  <c r="G18" i="3"/>
  <c r="I110" i="3"/>
  <c r="T55" i="3"/>
  <c r="BD12" i="3"/>
  <c r="BC111" i="3"/>
  <c r="S56" i="3"/>
  <c r="BC12" i="3"/>
  <c r="V123" i="3"/>
  <c r="U123" i="3"/>
  <c r="Z185" i="3"/>
  <c r="BB177" i="3"/>
  <c r="I70" i="3"/>
  <c r="X13" i="3"/>
  <c r="AU85" i="3"/>
  <c r="U24" i="3"/>
  <c r="Y84" i="3"/>
  <c r="AE21" i="3"/>
  <c r="AF82" i="3"/>
  <c r="AO11" i="3"/>
  <c r="AE128" i="3"/>
  <c r="AW38" i="3"/>
  <c r="AT51" i="3"/>
  <c r="BB61" i="3"/>
  <c r="BF158" i="3"/>
  <c r="BI120" i="3"/>
  <c r="AV16" i="3"/>
  <c r="AP120" i="3"/>
  <c r="AE158" i="3"/>
  <c r="AG5" i="3"/>
  <c r="BK76" i="3"/>
  <c r="BK111" i="3"/>
  <c r="BF13" i="3"/>
  <c r="BI92" i="3"/>
  <c r="BI82" i="3"/>
  <c r="AQ43" i="3"/>
  <c r="AN7" i="3"/>
  <c r="AK111" i="3"/>
  <c r="AX35" i="3"/>
  <c r="BH60" i="3"/>
  <c r="AG6" i="3"/>
  <c r="AJ98" i="3"/>
  <c r="AZ100" i="3"/>
  <c r="G110" i="3"/>
  <c r="AH45" i="3"/>
  <c r="AG53" i="3"/>
  <c r="AL174" i="3"/>
  <c r="AI82" i="3"/>
  <c r="AN4" i="3"/>
  <c r="J158" i="3"/>
  <c r="AI91" i="3"/>
  <c r="AI25" i="3"/>
  <c r="BJ48" i="3"/>
  <c r="AG136" i="3"/>
  <c r="N171" i="3"/>
  <c r="AR34" i="3"/>
  <c r="S40" i="3"/>
  <c r="F14" i="3"/>
  <c r="F27" i="3"/>
  <c r="AN189" i="3"/>
  <c r="AN186" i="3"/>
  <c r="AY173" i="3"/>
  <c r="AM151" i="3"/>
  <c r="BM174" i="3"/>
  <c r="AN183" i="3"/>
  <c r="AM163" i="3"/>
  <c r="AA186" i="3"/>
  <c r="BH151" i="3"/>
  <c r="H175" i="3"/>
  <c r="AZ150" i="3"/>
  <c r="AD175" i="3"/>
  <c r="I151" i="3"/>
  <c r="AS177" i="3"/>
  <c r="AU148" i="3"/>
  <c r="X176" i="3"/>
  <c r="BG173" i="3"/>
  <c r="G169" i="3"/>
  <c r="W140" i="3"/>
  <c r="Z184" i="3"/>
  <c r="AV151" i="3"/>
  <c r="Y184" i="3"/>
  <c r="AU151" i="3"/>
  <c r="Y129" i="3"/>
  <c r="AJ167" i="3"/>
  <c r="R139" i="3"/>
  <c r="AQ181" i="3"/>
  <c r="X153" i="3"/>
  <c r="BK133" i="3"/>
  <c r="U118" i="3"/>
  <c r="R171" i="3"/>
  <c r="P146" i="3"/>
  <c r="BF128" i="3"/>
  <c r="AQ113" i="3"/>
  <c r="AL139" i="3"/>
  <c r="X74" i="3"/>
  <c r="AM47" i="3"/>
  <c r="Q160" i="3"/>
  <c r="AE133" i="3"/>
  <c r="AH113" i="3"/>
  <c r="O100" i="3"/>
  <c r="BM86" i="3"/>
  <c r="AG72" i="3"/>
  <c r="R59" i="3"/>
  <c r="W170" i="3"/>
  <c r="AM140" i="3"/>
  <c r="BL110" i="3"/>
  <c r="BL90" i="3"/>
  <c r="AU69" i="3"/>
  <c r="AU49" i="3"/>
  <c r="BE133" i="3"/>
  <c r="BA100" i="3"/>
  <c r="AE72" i="3"/>
  <c r="BG170" i="3"/>
  <c r="BB111" i="3"/>
  <c r="J77" i="3"/>
  <c r="O44" i="3"/>
  <c r="AP171" i="3"/>
  <c r="L112" i="3"/>
  <c r="BE77" i="3"/>
  <c r="N44" i="3"/>
  <c r="W172" i="3"/>
  <c r="K112" i="3"/>
  <c r="AF77" i="3"/>
  <c r="BF43" i="3"/>
  <c r="AL166" i="3"/>
  <c r="M109" i="3"/>
  <c r="Z74" i="3"/>
  <c r="AX40" i="3"/>
  <c r="AD168" i="3"/>
  <c r="AD114" i="3"/>
  <c r="R82" i="3"/>
  <c r="J49" i="3"/>
  <c r="AL15" i="3"/>
  <c r="AE162" i="3"/>
  <c r="AC110" i="3"/>
  <c r="K66" i="3"/>
  <c r="AF45" i="3"/>
  <c r="AK19" i="3"/>
  <c r="H171" i="3"/>
  <c r="M113" i="3"/>
  <c r="AV82" i="3"/>
  <c r="AO48" i="3"/>
  <c r="BL21" i="3"/>
  <c r="BJ146" i="3"/>
  <c r="AC103" i="3"/>
  <c r="AX70" i="3"/>
  <c r="BG38" i="3"/>
  <c r="AD8" i="3"/>
  <c r="BK127" i="3"/>
  <c r="AU67" i="3"/>
  <c r="BI20" i="3"/>
  <c r="O132" i="3"/>
  <c r="K74" i="3"/>
  <c r="AZ27" i="3"/>
  <c r="S147" i="3"/>
  <c r="G82" i="3"/>
  <c r="BG31" i="3"/>
  <c r="AY153" i="3"/>
  <c r="AZ83" i="3"/>
  <c r="BB31" i="3"/>
  <c r="AC152" i="3"/>
  <c r="J156" i="3"/>
  <c r="AE112" i="3"/>
  <c r="M99" i="3"/>
  <c r="G85" i="3"/>
  <c r="AW23" i="3"/>
  <c r="AQ103" i="3"/>
  <c r="BH35" i="3"/>
  <c r="BI136" i="3"/>
  <c r="O49" i="3"/>
  <c r="BA172" i="3"/>
  <c r="Z62" i="3"/>
  <c r="BJ99" i="3"/>
  <c r="L98" i="3"/>
  <c r="V23" i="3"/>
  <c r="BL143" i="3"/>
  <c r="P43" i="3"/>
  <c r="AK65" i="3"/>
  <c r="AK84" i="3"/>
  <c r="Y118" i="3"/>
  <c r="BH125" i="3"/>
  <c r="L158" i="3"/>
  <c r="AL160" i="3"/>
  <c r="S28" i="3"/>
  <c r="AY189" i="3"/>
  <c r="AJ16" i="3"/>
  <c r="AD14" i="3"/>
  <c r="BG66" i="3"/>
  <c r="T78" i="3"/>
  <c r="R105" i="3"/>
  <c r="AR123" i="3"/>
  <c r="AX183" i="3"/>
  <c r="X146" i="3"/>
  <c r="W45" i="3"/>
  <c r="AB55" i="3"/>
  <c r="AZ96" i="3"/>
  <c r="AI6" i="3"/>
  <c r="AF10" i="3"/>
  <c r="S113" i="3"/>
  <c r="AU50" i="3"/>
  <c r="BJ23" i="3"/>
  <c r="AJ44" i="3"/>
  <c r="AY50" i="3"/>
  <c r="I30" i="3"/>
  <c r="BL27" i="3"/>
  <c r="AW83" i="3"/>
  <c r="AM101" i="3"/>
  <c r="AR144" i="3"/>
  <c r="BI110" i="3"/>
  <c r="F132" i="3"/>
  <c r="F91" i="3"/>
  <c r="F116" i="3"/>
  <c r="U186" i="3"/>
  <c r="AC188" i="3"/>
  <c r="U159" i="3"/>
  <c r="J181" i="3"/>
  <c r="AB153" i="3"/>
  <c r="AW169" i="3"/>
  <c r="AO185" i="3"/>
  <c r="AH151" i="3"/>
  <c r="AY174" i="3"/>
  <c r="AT191" i="3"/>
  <c r="AW159" i="3"/>
  <c r="P177" i="3"/>
  <c r="N179" i="3"/>
  <c r="BI182" i="3"/>
  <c r="AQ168" i="3"/>
  <c r="AZ132" i="3"/>
  <c r="K162" i="3"/>
  <c r="AZ183" i="3"/>
  <c r="AU142" i="3"/>
  <c r="P178" i="3"/>
  <c r="BJ138" i="3"/>
  <c r="Q166" i="3"/>
  <c r="BK124" i="3"/>
  <c r="AL158" i="3"/>
  <c r="AX120" i="3"/>
  <c r="Q139" i="3"/>
  <c r="N182" i="3"/>
  <c r="AJ133" i="3"/>
  <c r="BF169" i="3"/>
  <c r="S119" i="3"/>
  <c r="BD88" i="3"/>
  <c r="AH60" i="3"/>
  <c r="AD159" i="3"/>
  <c r="J113" i="3"/>
  <c r="AS86" i="3"/>
  <c r="BK58" i="3"/>
  <c r="AK152" i="3"/>
  <c r="AR110" i="3"/>
  <c r="BG83" i="3"/>
  <c r="L56" i="3"/>
  <c r="AC133" i="3"/>
  <c r="AG100" i="3"/>
  <c r="K72" i="3"/>
  <c r="O169" i="3"/>
  <c r="AD111" i="3"/>
  <c r="AU76" i="3"/>
  <c r="BH43" i="3"/>
  <c r="BF170" i="3"/>
  <c r="AW122" i="3"/>
  <c r="AI86" i="3"/>
  <c r="AY51" i="3"/>
  <c r="AA29" i="3"/>
  <c r="BF149" i="3"/>
  <c r="H103" i="3"/>
  <c r="AS76" i="3"/>
  <c r="Z51" i="3"/>
  <c r="AY20" i="3"/>
  <c r="BM118" i="3"/>
  <c r="G83" i="3"/>
  <c r="X48" i="3"/>
  <c r="W192" i="3"/>
  <c r="AY113" i="3"/>
  <c r="M59" i="3"/>
  <c r="Z22" i="3"/>
  <c r="Z161" i="3"/>
  <c r="BF98" i="3"/>
  <c r="AR65" i="3"/>
  <c r="T27" i="3"/>
  <c r="P169" i="3"/>
  <c r="H102" i="3"/>
  <c r="K59" i="3"/>
  <c r="AO14" i="3"/>
  <c r="AS128" i="3"/>
  <c r="O82" i="3"/>
  <c r="AI38" i="3"/>
  <c r="J8" i="3"/>
  <c r="Q126" i="3"/>
  <c r="AH66" i="3"/>
  <c r="Z20" i="3"/>
  <c r="AF131" i="3"/>
  <c r="BA73" i="3"/>
  <c r="X27" i="3"/>
  <c r="T146" i="3"/>
  <c r="AL81" i="3"/>
  <c r="W31" i="3"/>
  <c r="AW152" i="3"/>
  <c r="L83" i="3"/>
  <c r="V31" i="3"/>
  <c r="M189" i="3"/>
  <c r="AO85" i="3"/>
  <c r="P143" i="3"/>
  <c r="BH116" i="3"/>
  <c r="G101" i="3"/>
  <c r="Y35" i="3"/>
  <c r="AZ133" i="3"/>
  <c r="P49" i="3"/>
  <c r="AH177" i="3"/>
  <c r="AH65" i="3"/>
  <c r="M9" i="3"/>
  <c r="J80" i="3"/>
  <c r="P97" i="3"/>
  <c r="AD75" i="3"/>
  <c r="BL8" i="3"/>
  <c r="AN102" i="3"/>
  <c r="AX25" i="3"/>
  <c r="AH19" i="3"/>
  <c r="R54" i="3"/>
  <c r="G35" i="3"/>
  <c r="AC47" i="3"/>
  <c r="Z46" i="3"/>
  <c r="T71" i="3"/>
  <c r="U109" i="3"/>
  <c r="Z60" i="3"/>
  <c r="X107" i="3"/>
  <c r="O102" i="3"/>
  <c r="O8" i="3"/>
  <c r="AJ9" i="3"/>
  <c r="AY35" i="3"/>
  <c r="W111" i="3"/>
  <c r="BF22" i="3"/>
  <c r="AM39" i="3"/>
  <c r="Q29" i="3"/>
  <c r="AQ88" i="3"/>
  <c r="BF5" i="3"/>
  <c r="AR7" i="3"/>
  <c r="AZ147" i="3"/>
  <c r="V71" i="3"/>
  <c r="J129" i="3"/>
  <c r="AL123" i="3"/>
  <c r="BC82" i="3"/>
  <c r="H11" i="3"/>
  <c r="BB11" i="3"/>
  <c r="AY83" i="3"/>
  <c r="BM27" i="3"/>
  <c r="H136" i="3"/>
  <c r="BL120" i="3"/>
  <c r="AL101" i="3"/>
  <c r="BE28" i="3"/>
  <c r="F85" i="3"/>
  <c r="F87" i="3"/>
  <c r="F148" i="3"/>
  <c r="AW187" i="3"/>
  <c r="AJ180" i="3"/>
  <c r="AT158" i="3"/>
  <c r="BC180" i="3"/>
  <c r="BC160" i="3"/>
  <c r="BL182" i="3"/>
  <c r="BL162" i="3"/>
  <c r="Q185" i="3"/>
  <c r="AF160" i="3"/>
  <c r="R191" i="3"/>
  <c r="AJ166" i="3"/>
  <c r="Q191" i="3"/>
  <c r="BF166" i="3"/>
  <c r="AX142" i="3"/>
  <c r="I168" i="3"/>
  <c r="BG188" i="3"/>
  <c r="AH175" i="3"/>
  <c r="AR172" i="3"/>
  <c r="K168" i="3"/>
  <c r="U139" i="3"/>
  <c r="P183" i="3"/>
  <c r="BD150" i="3"/>
  <c r="O183" i="3"/>
  <c r="BC150" i="3"/>
  <c r="AD128" i="3"/>
  <c r="AO166" i="3"/>
  <c r="AN138" i="3"/>
  <c r="AZ179" i="3"/>
  <c r="O133" i="3"/>
  <c r="BE184" i="3"/>
  <c r="X145" i="3"/>
  <c r="AI192" i="3"/>
  <c r="BF162" i="3"/>
  <c r="BE138" i="3"/>
  <c r="L115" i="3"/>
  <c r="Z167" i="3"/>
  <c r="L133" i="3"/>
  <c r="BJ185" i="3"/>
  <c r="AL138" i="3"/>
  <c r="Z110" i="3"/>
  <c r="BI95" i="3"/>
  <c r="AC73" i="3"/>
  <c r="AC53" i="3"/>
  <c r="O144" i="3"/>
  <c r="BC112" i="3"/>
  <c r="AQ78" i="3"/>
  <c r="AQ58" i="3"/>
  <c r="BK151" i="3"/>
  <c r="X110" i="3"/>
  <c r="AM83" i="3"/>
  <c r="BE55" i="3"/>
  <c r="BK145" i="3"/>
  <c r="BK106" i="3"/>
  <c r="M80" i="3"/>
  <c r="U50" i="3"/>
  <c r="AX133" i="3"/>
  <c r="AZ93" i="3"/>
  <c r="X59" i="3"/>
  <c r="H29" i="3"/>
  <c r="AE191" i="3"/>
  <c r="O190" i="3"/>
  <c r="S189" i="3"/>
  <c r="P187" i="3"/>
  <c r="O187" i="3"/>
  <c r="AK189" i="3"/>
  <c r="AY181" i="3"/>
  <c r="AT174" i="3"/>
  <c r="AO167" i="3"/>
  <c r="P160" i="3"/>
  <c r="N152" i="3"/>
  <c r="AJ189" i="3"/>
  <c r="Y182" i="3"/>
  <c r="AN175" i="3"/>
  <c r="BC168" i="3"/>
  <c r="Y162" i="3"/>
  <c r="AQ154" i="3"/>
  <c r="S192" i="3"/>
  <c r="Q184" i="3"/>
  <c r="AC177" i="3"/>
  <c r="BL170" i="3"/>
  <c r="N164" i="3"/>
  <c r="AC157" i="3"/>
  <c r="AU149" i="3"/>
  <c r="L187" i="3"/>
  <c r="AV178" i="3"/>
  <c r="AG170" i="3"/>
  <c r="BJ161" i="3"/>
  <c r="AO152" i="3"/>
  <c r="Q145" i="3"/>
  <c r="AF138" i="3"/>
  <c r="W183" i="3"/>
  <c r="BB175" i="3"/>
  <c r="BM167" i="3"/>
  <c r="AE160" i="3"/>
  <c r="AG151" i="3"/>
  <c r="Z143" i="3"/>
  <c r="AT183" i="3"/>
  <c r="K176" i="3"/>
  <c r="V168" i="3"/>
  <c r="BA160" i="3"/>
  <c r="BC151" i="3"/>
  <c r="T144" i="3"/>
  <c r="AL190" i="3"/>
  <c r="BF178" i="3"/>
  <c r="AV169" i="3"/>
  <c r="S160" i="3"/>
  <c r="BH149" i="3"/>
  <c r="P192" i="3"/>
  <c r="BJ180" i="3"/>
  <c r="AA187" i="3"/>
  <c r="N177" i="3"/>
  <c r="G168" i="3"/>
  <c r="O184" i="3"/>
  <c r="AO174" i="3"/>
  <c r="N165" i="3"/>
  <c r="BF181" i="3"/>
  <c r="AL170" i="3"/>
  <c r="AA160" i="3"/>
  <c r="AM149" i="3"/>
  <c r="X141" i="3"/>
  <c r="AU133" i="3"/>
  <c r="Q127" i="3"/>
  <c r="AD185" i="3"/>
  <c r="R175" i="3"/>
  <c r="BJ163" i="3"/>
  <c r="AQ152" i="3"/>
  <c r="L144" i="3"/>
  <c r="K136" i="3"/>
  <c r="AC185" i="3"/>
  <c r="Q175" i="3"/>
  <c r="BF163" i="3"/>
  <c r="AP152" i="3"/>
  <c r="K144" i="3"/>
  <c r="AD136" i="3"/>
  <c r="BM129" i="3"/>
  <c r="BM191" i="3"/>
  <c r="BA179" i="3"/>
  <c r="AJ169" i="3"/>
  <c r="AP158" i="3"/>
  <c r="BH147" i="3"/>
  <c r="BJ139" i="3"/>
  <c r="X133" i="3"/>
  <c r="AM126" i="3"/>
  <c r="AJ183" i="3"/>
  <c r="AR168" i="3"/>
  <c r="AA154" i="3"/>
  <c r="BK143" i="3"/>
  <c r="AV134" i="3"/>
  <c r="Y126" i="3"/>
  <c r="BI118" i="3"/>
  <c r="W187" i="3"/>
  <c r="AB172" i="3"/>
  <c r="L160" i="3"/>
  <c r="I147" i="3"/>
  <c r="G138" i="3"/>
  <c r="AK129" i="3"/>
  <c r="BM121" i="3"/>
  <c r="R114" i="3"/>
  <c r="AI178" i="3"/>
  <c r="AM165" i="3"/>
  <c r="AS151" i="3"/>
  <c r="AH140" i="3"/>
  <c r="AT131" i="3"/>
  <c r="O124" i="3"/>
  <c r="AA116" i="3"/>
  <c r="H184" i="3"/>
  <c r="O170" i="3"/>
  <c r="AJ157" i="3"/>
  <c r="AB143" i="3"/>
  <c r="AS134" i="3"/>
  <c r="AS126" i="3"/>
  <c r="BA119" i="3"/>
  <c r="I189" i="3"/>
  <c r="AX171" i="3"/>
  <c r="AR156" i="3"/>
  <c r="AU140" i="3"/>
  <c r="AA130" i="3"/>
  <c r="BB120" i="3"/>
  <c r="BI111" i="3"/>
  <c r="AJ104" i="3"/>
  <c r="K97" i="3"/>
  <c r="AY89" i="3"/>
  <c r="AT82" i="3"/>
  <c r="BL74" i="3"/>
  <c r="N68" i="3"/>
  <c r="AC61" i="3"/>
  <c r="BL54" i="3"/>
  <c r="N48" i="3"/>
  <c r="K178" i="3"/>
  <c r="AN161" i="3"/>
  <c r="AK146" i="3"/>
  <c r="AB134" i="3"/>
  <c r="AX123" i="3"/>
  <c r="U114" i="3"/>
  <c r="AN107" i="3"/>
  <c r="BC100" i="3"/>
  <c r="Y94" i="3"/>
  <c r="AN87" i="3"/>
  <c r="BC80" i="3"/>
  <c r="H73" i="3"/>
  <c r="AQ66" i="3"/>
  <c r="BF59" i="3"/>
  <c r="H53" i="3"/>
  <c r="AS191" i="3"/>
  <c r="AK172" i="3"/>
  <c r="AH154" i="3"/>
  <c r="AM141" i="3"/>
  <c r="Y130" i="3"/>
  <c r="X120" i="3"/>
  <c r="AM111" i="3"/>
  <c r="BB104" i="3"/>
  <c r="X98" i="3"/>
  <c r="AM91" i="3"/>
  <c r="BB84" i="3"/>
  <c r="G77" i="3"/>
  <c r="AP70" i="3"/>
  <c r="BE63" i="3"/>
  <c r="G57" i="3"/>
  <c r="AP50" i="3"/>
  <c r="AU182" i="3"/>
  <c r="G164" i="3"/>
  <c r="BD148" i="3"/>
  <c r="BB134" i="3"/>
  <c r="M124" i="3"/>
  <c r="Z115" i="3"/>
  <c r="M108" i="3"/>
  <c r="AB101" i="3"/>
  <c r="BK94" i="3"/>
  <c r="M88" i="3"/>
  <c r="AB81" i="3"/>
  <c r="Z73" i="3"/>
  <c r="U66" i="3"/>
  <c r="BI58" i="3"/>
  <c r="AJ51" i="3"/>
  <c r="AN172" i="3"/>
  <c r="AN151" i="3"/>
  <c r="AL136" i="3"/>
  <c r="AP123" i="3"/>
  <c r="AO112" i="3"/>
  <c r="BJ103" i="3"/>
  <c r="N95" i="3"/>
  <c r="BH86" i="3"/>
  <c r="BF77" i="3"/>
  <c r="AL69" i="3"/>
  <c r="BG60" i="3"/>
  <c r="BK52" i="3"/>
  <c r="BC44" i="3"/>
  <c r="H37" i="3"/>
  <c r="AQ30" i="3"/>
  <c r="BF23" i="3"/>
  <c r="O173" i="3"/>
  <c r="AA152" i="3"/>
  <c r="I137" i="3"/>
  <c r="G124" i="3"/>
  <c r="BL112" i="3"/>
  <c r="T104" i="3"/>
  <c r="BM95" i="3"/>
  <c r="AS87" i="3"/>
  <c r="AJ78" i="3"/>
  <c r="BI69" i="3"/>
  <c r="AO61" i="3"/>
  <c r="BJ52" i="3"/>
  <c r="BB44" i="3"/>
  <c r="G37" i="3"/>
  <c r="AP30" i="3"/>
  <c r="BE23" i="3"/>
  <c r="BJ174" i="3"/>
  <c r="Y152" i="3"/>
  <c r="H137" i="3"/>
  <c r="AV124" i="3"/>
  <c r="BK112" i="3"/>
  <c r="S104" i="3"/>
  <c r="BL95" i="3"/>
  <c r="P87" i="3"/>
  <c r="K78" i="3"/>
  <c r="AJ69" i="3"/>
  <c r="P61" i="3"/>
  <c r="AK52" i="3"/>
  <c r="AG44" i="3"/>
  <c r="AE36" i="3"/>
  <c r="Z29" i="3"/>
  <c r="U22" i="3"/>
  <c r="S168" i="3"/>
  <c r="BF145" i="3"/>
  <c r="AG131" i="3"/>
  <c r="U120" i="3"/>
  <c r="BI109" i="3"/>
  <c r="AO101" i="3"/>
  <c r="BJ92" i="3"/>
  <c r="R84" i="3"/>
  <c r="I75" i="3"/>
  <c r="BB66" i="3"/>
  <c r="J58" i="3"/>
  <c r="AI49" i="3"/>
  <c r="AP42" i="3"/>
  <c r="BH34" i="3"/>
  <c r="J28" i="3"/>
  <c r="AS21" i="3"/>
  <c r="N170" i="3"/>
  <c r="AE149" i="3"/>
  <c r="BK132" i="3"/>
  <c r="AZ116" i="3"/>
  <c r="BK104" i="3"/>
  <c r="BG93" i="3"/>
  <c r="P83" i="3"/>
  <c r="L71" i="3"/>
  <c r="AP60" i="3"/>
  <c r="AG50" i="3"/>
  <c r="AJ40" i="3"/>
  <c r="P32" i="3"/>
  <c r="AG23" i="3"/>
  <c r="M16" i="3"/>
  <c r="AB9" i="3"/>
  <c r="BA185" i="3"/>
  <c r="AC164" i="3"/>
  <c r="BG142" i="3"/>
  <c r="AD125" i="3"/>
  <c r="P111" i="3"/>
  <c r="U100" i="3"/>
  <c r="AS89" i="3"/>
  <c r="AG78" i="3"/>
  <c r="AH67" i="3"/>
  <c r="BJ56" i="3"/>
  <c r="K46" i="3"/>
  <c r="I37" i="3"/>
  <c r="BC28" i="3"/>
  <c r="L20" i="3"/>
  <c r="AA13" i="3"/>
  <c r="BJ6" i="3"/>
  <c r="G176" i="3"/>
  <c r="AM148" i="3"/>
  <c r="BA131" i="3"/>
  <c r="AB114" i="3"/>
  <c r="AC104" i="3"/>
  <c r="BE93" i="3"/>
  <c r="AT83" i="3"/>
  <c r="AP71" i="3"/>
  <c r="AN60" i="3"/>
  <c r="AE50" i="3"/>
  <c r="AU39" i="3"/>
  <c r="AA31" i="3"/>
  <c r="AV22" i="3"/>
  <c r="AJ15" i="3"/>
  <c r="K8" i="3"/>
  <c r="AI181" i="3"/>
  <c r="AA148" i="3"/>
  <c r="AI130" i="3"/>
  <c r="W114" i="3"/>
  <c r="AB104" i="3"/>
  <c r="BD93" i="3"/>
  <c r="AS83" i="3"/>
  <c r="AO71" i="3"/>
  <c r="AH61" i="3"/>
  <c r="AD50" i="3"/>
  <c r="AT39" i="3"/>
  <c r="Z31" i="3"/>
  <c r="AU22" i="3"/>
  <c r="BC15" i="3"/>
  <c r="Y9" i="3"/>
  <c r="G187" i="3"/>
  <c r="AF149" i="3"/>
  <c r="AH129" i="3"/>
  <c r="BJ111" i="3"/>
  <c r="BJ97" i="3"/>
  <c r="BK83" i="3"/>
  <c r="AR68" i="3"/>
  <c r="BC54" i="3"/>
  <c r="BL43" i="3"/>
  <c r="X32" i="3"/>
  <c r="BC21" i="3"/>
  <c r="P13" i="3"/>
  <c r="AL4" i="3"/>
  <c r="H161" i="3"/>
  <c r="AL135" i="3"/>
  <c r="AE116" i="3"/>
  <c r="BJ102" i="3"/>
  <c r="AN90" i="3"/>
  <c r="Z75" i="3"/>
  <c r="AG62" i="3"/>
  <c r="R50" i="3"/>
  <c r="N39" i="3"/>
  <c r="AQ28" i="3"/>
  <c r="AE18" i="3"/>
  <c r="K10" i="3"/>
  <c r="AJ184" i="3"/>
  <c r="P149" i="3"/>
  <c r="BD127" i="3"/>
  <c r="AW110" i="3"/>
  <c r="BF96" i="3"/>
  <c r="Q83" i="3"/>
  <c r="Q69" i="3"/>
  <c r="AZ55" i="3"/>
  <c r="Y44" i="3"/>
  <c r="BB32" i="3"/>
  <c r="BA21" i="3"/>
  <c r="N13" i="3"/>
  <c r="AJ4" i="3"/>
  <c r="AZ156" i="3"/>
  <c r="AD131" i="3"/>
  <c r="Z112" i="3"/>
  <c r="U98" i="3"/>
  <c r="BK84" i="3"/>
  <c r="AA70" i="3"/>
  <c r="BG56" i="3"/>
  <c r="X44" i="3"/>
  <c r="AW32" i="3"/>
  <c r="AZ21" i="3"/>
  <c r="M13" i="3"/>
  <c r="AI4" i="3"/>
  <c r="Q156" i="3"/>
  <c r="K124" i="3"/>
  <c r="W104" i="3"/>
  <c r="AH87" i="3"/>
  <c r="AC158" i="3"/>
  <c r="BM126" i="3"/>
  <c r="AG102" i="3"/>
  <c r="BH146" i="3"/>
  <c r="AU115" i="3"/>
  <c r="AD188" i="3"/>
  <c r="BF143" i="3"/>
  <c r="P120" i="3"/>
  <c r="AP100" i="3"/>
  <c r="BE179" i="3"/>
  <c r="AX131" i="3"/>
  <c r="K104" i="3"/>
  <c r="T86" i="3"/>
  <c r="BE70" i="3"/>
  <c r="AS52" i="3"/>
  <c r="AN37" i="3"/>
  <c r="BF24" i="3"/>
  <c r="BD13" i="3"/>
  <c r="O189" i="3"/>
  <c r="P140" i="3"/>
  <c r="BI105" i="3"/>
  <c r="S86" i="3"/>
  <c r="AG69" i="3"/>
  <c r="J51" i="3"/>
  <c r="AM37" i="3"/>
  <c r="BE24" i="3"/>
  <c r="W13" i="3"/>
  <c r="N189" i="3"/>
  <c r="O140" i="3"/>
  <c r="BH105" i="3"/>
  <c r="AT85" i="3"/>
  <c r="AS68" i="3"/>
  <c r="AH50" i="3"/>
  <c r="W35" i="3"/>
  <c r="AG22" i="3"/>
  <c r="AF11" i="3"/>
  <c r="AK175" i="3"/>
  <c r="J131" i="3"/>
  <c r="AS103" i="3"/>
  <c r="Y83" i="3"/>
  <c r="BH64" i="3"/>
  <c r="AU44" i="3"/>
  <c r="AL26" i="3"/>
  <c r="G12" i="3"/>
  <c r="AG111" i="3"/>
  <c r="R37" i="3"/>
  <c r="AP188" i="3"/>
  <c r="Y132" i="3"/>
  <c r="BL100" i="3"/>
  <c r="AA78" i="3"/>
  <c r="AZ58" i="3"/>
  <c r="AD39" i="3"/>
  <c r="AS24" i="3"/>
  <c r="AD10" i="3"/>
  <c r="H127" i="3"/>
  <c r="AA56" i="3"/>
  <c r="BJ148" i="3"/>
  <c r="BI108" i="3"/>
  <c r="K83" i="3"/>
  <c r="P62" i="3"/>
  <c r="N45" i="3"/>
  <c r="BB27" i="3"/>
  <c r="BA14" i="3"/>
  <c r="Y165" i="3"/>
  <c r="AH74" i="3"/>
  <c r="T23" i="3"/>
  <c r="AL175" i="3"/>
  <c r="AN121" i="3"/>
  <c r="J88" i="3"/>
  <c r="AY59" i="3"/>
  <c r="BF36" i="3"/>
  <c r="Q17" i="3"/>
  <c r="L130" i="3"/>
  <c r="AK40" i="3"/>
  <c r="AC121" i="3"/>
  <c r="AU42" i="3"/>
  <c r="AJ134" i="3"/>
  <c r="BC55" i="3"/>
  <c r="AS161" i="3"/>
  <c r="Z59" i="3"/>
  <c r="BH169" i="3"/>
  <c r="J61" i="3"/>
  <c r="AM6" i="3"/>
  <c r="BG85" i="3"/>
  <c r="L168" i="3"/>
  <c r="BM111" i="3"/>
  <c r="AL77" i="3"/>
  <c r="AB50" i="3"/>
  <c r="AJ30" i="3"/>
  <c r="AQ12" i="3"/>
  <c r="AL115" i="3"/>
  <c r="AW46" i="3"/>
  <c r="U4" i="3"/>
  <c r="AM69" i="3"/>
  <c r="I15" i="3"/>
  <c r="Z70" i="3"/>
  <c r="AU19" i="3"/>
  <c r="P105" i="3"/>
  <c r="W40" i="3"/>
  <c r="AG124" i="3"/>
  <c r="AG19" i="3"/>
  <c r="AW88" i="3"/>
  <c r="S133" i="3"/>
  <c r="AG105" i="3"/>
  <c r="AJ68" i="3"/>
  <c r="Q44" i="3"/>
  <c r="AR25" i="3"/>
  <c r="N10" i="3"/>
  <c r="BD91" i="3"/>
  <c r="AK9" i="3"/>
  <c r="S78" i="3"/>
  <c r="L13" i="3"/>
  <c r="P110" i="3"/>
  <c r="AO25" i="3"/>
  <c r="W115" i="3"/>
  <c r="G50" i="3"/>
  <c r="BD139" i="3"/>
  <c r="K80" i="3"/>
  <c r="O37" i="3"/>
  <c r="V128" i="3"/>
  <c r="H59" i="3"/>
  <c r="BI106" i="3"/>
  <c r="M63" i="3"/>
  <c r="AN28" i="3"/>
  <c r="AP4" i="3"/>
  <c r="AT7" i="3"/>
  <c r="X29" i="3"/>
  <c r="K57" i="3"/>
  <c r="AG54" i="3"/>
  <c r="AP99" i="3"/>
  <c r="AD182" i="3"/>
  <c r="BD40" i="3"/>
  <c r="AM68" i="3"/>
  <c r="BE107" i="3"/>
  <c r="AJ126" i="3"/>
  <c r="AQ136" i="3"/>
  <c r="N107" i="3"/>
  <c r="W112" i="3"/>
  <c r="P73" i="3"/>
  <c r="AH34" i="3"/>
  <c r="BF9" i="3"/>
  <c r="Y52" i="3"/>
  <c r="AR80" i="3"/>
  <c r="AV185" i="3"/>
  <c r="O20" i="3"/>
  <c r="AZ61" i="3"/>
  <c r="BF109" i="3"/>
  <c r="AY162" i="3"/>
  <c r="AE123" i="3"/>
  <c r="W5" i="3"/>
  <c r="L7" i="3"/>
  <c r="H22" i="3"/>
  <c r="J65" i="3"/>
  <c r="M86" i="3"/>
  <c r="BG104" i="3"/>
  <c r="Y57" i="3"/>
  <c r="AG27" i="3"/>
  <c r="BA5" i="3"/>
  <c r="AB22" i="3"/>
  <c r="AG38" i="3"/>
  <c r="AL54" i="3"/>
  <c r="AC170" i="3"/>
  <c r="AD11" i="3"/>
  <c r="U29" i="3"/>
  <c r="AX61" i="3"/>
  <c r="BJ107" i="3"/>
  <c r="M182" i="3"/>
  <c r="J11" i="3"/>
  <c r="Z38" i="3"/>
  <c r="M31" i="3"/>
  <c r="AB192" i="3"/>
  <c r="BI9" i="3"/>
  <c r="AS69" i="3"/>
  <c r="AI51" i="3"/>
  <c r="O66" i="3"/>
  <c r="BK101" i="3"/>
  <c r="AO127" i="3"/>
  <c r="O142" i="3"/>
  <c r="AY13" i="3"/>
  <c r="AB63" i="3"/>
  <c r="H122" i="3"/>
  <c r="Q26" i="3"/>
  <c r="AZ151" i="3"/>
  <c r="J56" i="3"/>
  <c r="Z32" i="3"/>
  <c r="AU43" i="3"/>
  <c r="U25" i="3"/>
  <c r="AY18" i="3"/>
  <c r="H134" i="3"/>
  <c r="O42" i="3"/>
  <c r="BL122" i="3"/>
  <c r="AS149" i="3"/>
  <c r="F30" i="3"/>
  <c r="F17" i="3"/>
  <c r="F165" i="3"/>
  <c r="F22" i="3"/>
  <c r="BI186" i="3"/>
  <c r="AE181" i="3"/>
  <c r="BI159" i="3"/>
  <c r="T175" i="3"/>
  <c r="BI191" i="3"/>
  <c r="BG163" i="3"/>
  <c r="V178" i="3"/>
  <c r="BJ144" i="3"/>
  <c r="AP167" i="3"/>
  <c r="V183" i="3"/>
  <c r="AF151" i="3"/>
  <c r="V169" i="3"/>
  <c r="AG180" i="3"/>
  <c r="AU167" i="3"/>
  <c r="AU164" i="3"/>
  <c r="L149" i="3"/>
  <c r="BL184" i="3"/>
  <c r="BD143" i="3"/>
  <c r="AD163" i="3"/>
  <c r="AS129" i="3"/>
  <c r="O158" i="3"/>
  <c r="S126" i="3"/>
  <c r="AI143" i="3"/>
  <c r="AV186" i="3"/>
  <c r="AX137" i="3"/>
  <c r="BK177" i="3"/>
  <c r="W131" i="3"/>
  <c r="AQ169" i="3"/>
  <c r="U126" i="3"/>
  <c r="AJ154" i="3"/>
  <c r="AO111" i="3"/>
  <c r="AE89" i="3"/>
  <c r="I61" i="3"/>
  <c r="BK160" i="3"/>
  <c r="BF113" i="3"/>
  <c r="AX93" i="3"/>
  <c r="BA72" i="3"/>
  <c r="AV171" i="3"/>
  <c r="BM119" i="3"/>
  <c r="S91" i="3"/>
  <c r="AK63" i="3"/>
  <c r="AG163" i="3"/>
  <c r="AQ114" i="3"/>
  <c r="AQ94" i="3"/>
  <c r="AT65" i="3"/>
  <c r="AW150" i="3"/>
  <c r="AH103" i="3"/>
  <c r="N69" i="3"/>
  <c r="AI44" i="3"/>
  <c r="X172" i="3"/>
  <c r="AN112" i="3"/>
  <c r="Q87" i="3"/>
  <c r="AL52" i="3"/>
  <c r="AK23" i="3"/>
  <c r="AN123" i="3"/>
  <c r="BF86" i="3"/>
  <c r="I52" i="3"/>
  <c r="AT21" i="3"/>
  <c r="AE130" i="3"/>
  <c r="AL92" i="3"/>
  <c r="BC57" i="3"/>
  <c r="BC27" i="3"/>
  <c r="AO148" i="3"/>
  <c r="AA93" i="3"/>
  <c r="AP49" i="3"/>
  <c r="BF15" i="3"/>
  <c r="AC141" i="3"/>
  <c r="Q89" i="3"/>
  <c r="AD56" i="3"/>
  <c r="BE19" i="3"/>
  <c r="AG147" i="3"/>
  <c r="Y93" i="3"/>
  <c r="W39" i="3"/>
  <c r="BD7" i="3"/>
  <c r="BB129" i="3"/>
  <c r="T93" i="3"/>
  <c r="AM49" i="3"/>
  <c r="AI15" i="3"/>
  <c r="AR128" i="3"/>
  <c r="H68" i="3"/>
  <c r="W21" i="3"/>
  <c r="AW134" i="3"/>
  <c r="AU74" i="3"/>
  <c r="AZ38" i="3"/>
  <c r="H183" i="3"/>
  <c r="R96" i="3"/>
  <c r="BB43" i="3"/>
  <c r="H4" i="3"/>
  <c r="BC97" i="3"/>
  <c r="BA43" i="3"/>
  <c r="G4" i="3"/>
  <c r="N157" i="3"/>
  <c r="BI114" i="3"/>
  <c r="BM99" i="3"/>
  <c r="AZ85" i="3"/>
  <c r="V24" i="3"/>
  <c r="J104" i="3"/>
  <c r="AA36" i="3"/>
  <c r="S187" i="3"/>
  <c r="I104" i="3"/>
  <c r="BC34" i="3"/>
  <c r="AY128" i="3"/>
  <c r="V43" i="3"/>
  <c r="AC35" i="3"/>
  <c r="BG77" i="3"/>
  <c r="BL9" i="3"/>
  <c r="X104" i="3"/>
  <c r="G27" i="3"/>
  <c r="AK22" i="3"/>
  <c r="AD58" i="3"/>
  <c r="AI37" i="3"/>
  <c r="J130" i="3"/>
  <c r="BB165" i="3"/>
  <c r="Q164" i="3"/>
  <c r="BA29" i="3"/>
  <c r="P191" i="3"/>
  <c r="L17" i="3"/>
  <c r="P18" i="3"/>
  <c r="AV67" i="3"/>
  <c r="W84" i="3"/>
  <c r="U106" i="3"/>
  <c r="BH128" i="3"/>
  <c r="AO57" i="3"/>
  <c r="AV188" i="3"/>
  <c r="BE50" i="3"/>
  <c r="AM62" i="3"/>
  <c r="BA132" i="3"/>
  <c r="M33" i="3"/>
  <c r="BI170" i="3"/>
  <c r="BI130" i="3"/>
  <c r="I18" i="3"/>
  <c r="BD54" i="3"/>
  <c r="AJ28" i="3"/>
  <c r="U28" i="3"/>
  <c r="N5" i="3"/>
  <c r="BC4" i="3"/>
  <c r="AB96" i="3"/>
  <c r="AC43" i="3"/>
  <c r="AP17" i="3"/>
  <c r="BF14" i="3"/>
  <c r="O47" i="3"/>
  <c r="F149" i="3"/>
  <c r="F69" i="3"/>
  <c r="F53" i="3"/>
  <c r="AO186" i="3"/>
  <c r="K181" i="3"/>
  <c r="AO159" i="3"/>
  <c r="AD181" i="3"/>
  <c r="AD161" i="3"/>
  <c r="AJ191" i="3"/>
  <c r="X170" i="3"/>
  <c r="G149" i="3"/>
  <c r="BB169" i="3"/>
  <c r="AP144" i="3"/>
  <c r="AN182" i="3"/>
  <c r="P167" i="3"/>
  <c r="K192" i="3"/>
  <c r="AL167" i="3"/>
  <c r="AS143" i="3"/>
  <c r="BL168" i="3"/>
  <c r="AK190" i="3"/>
  <c r="AE186" i="3"/>
  <c r="Z183" i="3"/>
  <c r="AX180" i="3"/>
  <c r="AY148" i="3"/>
  <c r="AP126" i="3"/>
  <c r="AL162" i="3"/>
  <c r="AJ135" i="3"/>
  <c r="AK162" i="3"/>
  <c r="BC135" i="3"/>
  <c r="AZ178" i="3"/>
  <c r="L147" i="3"/>
  <c r="BB60" i="3"/>
  <c r="G189" i="3"/>
  <c r="AC97" i="3"/>
  <c r="AF76" i="3"/>
  <c r="AF56" i="3"/>
  <c r="AR147" i="3"/>
  <c r="AL107" i="3"/>
  <c r="BA80" i="3"/>
  <c r="BI50" i="3"/>
  <c r="AX122" i="3"/>
  <c r="L86" i="3"/>
  <c r="O52" i="3"/>
  <c r="R23" i="3"/>
  <c r="I123" i="3"/>
  <c r="BG86" i="3"/>
  <c r="J52" i="3"/>
  <c r="Q23" i="3"/>
  <c r="H123" i="3"/>
  <c r="AH86" i="3"/>
  <c r="AX51" i="3"/>
  <c r="Z21" i="3"/>
  <c r="AB119" i="3"/>
  <c r="AE83" i="3"/>
  <c r="AV48" i="3"/>
  <c r="AX20" i="3"/>
  <c r="AC31" i="3"/>
  <c r="AT88" i="3"/>
  <c r="AR27" i="3"/>
  <c r="V6" i="3"/>
  <c r="AJ130" i="3"/>
  <c r="BF92" i="3"/>
  <c r="AQ59" i="3"/>
  <c r="P30" i="3"/>
  <c r="AE179" i="3"/>
  <c r="L113" i="3"/>
  <c r="AU82" i="3"/>
  <c r="AN48" i="3"/>
  <c r="O15" i="3"/>
  <c r="U147" i="3"/>
  <c r="AO82" i="3"/>
  <c r="Y31" i="3"/>
  <c r="BB154" i="3"/>
  <c r="BI88" i="3"/>
  <c r="X38" i="3"/>
  <c r="AY180" i="3"/>
  <c r="AV95" i="3"/>
  <c r="Z43" i="3"/>
  <c r="AA191" i="3"/>
  <c r="S97" i="3"/>
  <c r="Y43" i="3"/>
  <c r="Z190" i="3"/>
  <c r="H86" i="3"/>
  <c r="AG144" i="3"/>
  <c r="AU118" i="3"/>
  <c r="BD102" i="3"/>
  <c r="BI35" i="3"/>
  <c r="BM134" i="3"/>
  <c r="BL49" i="3"/>
  <c r="AF182" i="3"/>
  <c r="AZ66" i="3"/>
  <c r="AO9" i="3"/>
  <c r="BA81" i="3"/>
  <c r="AE10" i="3"/>
  <c r="K127" i="3"/>
  <c r="T37" i="3"/>
  <c r="AR48" i="3"/>
  <c r="Q60" i="3"/>
  <c r="AI142" i="3"/>
  <c r="AV119" i="3"/>
  <c r="X15" i="3"/>
  <c r="AF33" i="3"/>
  <c r="AB47" i="3"/>
  <c r="BL71" i="3"/>
  <c r="AB48" i="3"/>
  <c r="AP43" i="3"/>
  <c r="AV63" i="3"/>
  <c r="V115" i="3"/>
  <c r="Q103" i="3"/>
  <c r="BI8" i="3"/>
  <c r="H10" i="3"/>
  <c r="P37" i="3"/>
  <c r="AA122" i="3"/>
  <c r="M26" i="3"/>
  <c r="U46" i="3"/>
  <c r="BF32" i="3"/>
  <c r="AI126" i="3"/>
  <c r="BB30" i="3"/>
  <c r="BG68" i="3"/>
  <c r="AT78" i="3"/>
  <c r="AR136" i="3"/>
  <c r="AX98" i="3"/>
  <c r="W16" i="3"/>
  <c r="AB4" i="3"/>
  <c r="AO190" i="3"/>
  <c r="AZ129" i="3"/>
  <c r="I134" i="3"/>
  <c r="BL5" i="3"/>
  <c r="AO15" i="3"/>
  <c r="BL12" i="3"/>
  <c r="T40" i="3"/>
  <c r="F176" i="3"/>
  <c r="F23" i="3"/>
  <c r="AJ190" i="3"/>
  <c r="BD180" i="3"/>
  <c r="S151" i="3"/>
  <c r="BH167" i="3"/>
  <c r="S183" i="3"/>
  <c r="AH156" i="3"/>
  <c r="BF160" i="3"/>
  <c r="Q182" i="3"/>
  <c r="AC150" i="3"/>
  <c r="O167" i="3"/>
  <c r="BM187" i="3"/>
  <c r="R148" i="3"/>
  <c r="BK175" i="3"/>
  <c r="BK163" i="3"/>
  <c r="X148" i="3"/>
  <c r="BF183" i="3"/>
  <c r="H143" i="3"/>
  <c r="J162" i="3"/>
  <c r="AI135" i="3"/>
  <c r="G167" i="3"/>
  <c r="I132" i="3"/>
  <c r="BF152" i="3"/>
  <c r="AW116" i="3"/>
  <c r="BA145" i="3"/>
  <c r="W113" i="3"/>
  <c r="AN149" i="3"/>
  <c r="AF115" i="3"/>
  <c r="H142" i="3"/>
  <c r="AR186" i="3"/>
  <c r="H139" i="3"/>
  <c r="AO103" i="3"/>
  <c r="AW73" i="3"/>
  <c r="BI192" i="3"/>
  <c r="AL132" i="3"/>
  <c r="BH99" i="3"/>
  <c r="M72" i="3"/>
  <c r="O188" i="3"/>
  <c r="AN128" i="3"/>
  <c r="I97" i="3"/>
  <c r="AA69" i="3"/>
  <c r="AI179" i="3"/>
  <c r="BM122" i="3"/>
  <c r="AV93" i="3"/>
  <c r="AT57" i="3"/>
  <c r="N134" i="3"/>
  <c r="H94" i="3"/>
  <c r="AV59" i="3"/>
  <c r="AB29" i="3"/>
  <c r="BA134" i="3"/>
  <c r="BC94" i="3"/>
  <c r="AD60" i="3"/>
  <c r="BG43" i="3"/>
  <c r="BJ22" i="3"/>
  <c r="Y135" i="3"/>
  <c r="BB94" i="3"/>
  <c r="Y68" i="3"/>
  <c r="AJ35" i="3"/>
  <c r="AN143" i="3"/>
  <c r="AX108" i="3"/>
  <c r="AY91" i="3"/>
  <c r="AR56" i="3"/>
  <c r="BM33" i="3"/>
  <c r="BM146" i="3"/>
  <c r="AB92" i="3"/>
  <c r="AQ48" i="3"/>
  <c r="R15" i="3"/>
  <c r="BG139" i="3"/>
  <c r="R88" i="3"/>
  <c r="AS44" i="3"/>
  <c r="Q19" i="3"/>
  <c r="G146" i="3"/>
  <c r="Z92" i="3"/>
  <c r="I48" i="3"/>
  <c r="AN21" i="3"/>
  <c r="L145" i="3"/>
  <c r="Y92" i="3"/>
  <c r="H48" i="3"/>
  <c r="BH14" i="3"/>
  <c r="K110" i="3"/>
  <c r="L53" i="3"/>
  <c r="AU11" i="3"/>
  <c r="AH114" i="3"/>
  <c r="W60" i="3"/>
  <c r="W17" i="3"/>
  <c r="AO124" i="3"/>
  <c r="AB66" i="3"/>
  <c r="X20" i="3"/>
  <c r="AK128" i="3"/>
  <c r="AO68" i="3"/>
  <c r="W20" i="3"/>
  <c r="AJ121" i="3"/>
  <c r="AI121" i="3"/>
  <c r="AD179" i="3"/>
  <c r="BF168" i="3"/>
  <c r="AU68" i="3"/>
  <c r="Z12" i="3"/>
  <c r="AP83" i="3"/>
  <c r="AH22" i="3"/>
  <c r="BA102" i="3"/>
  <c r="AP33" i="3"/>
  <c r="R126" i="3"/>
  <c r="BC40" i="3"/>
  <c r="H32" i="3"/>
  <c r="R97" i="3"/>
  <c r="AY22" i="3"/>
  <c r="AJ142" i="3"/>
  <c r="AI42" i="3"/>
  <c r="BK63" i="3"/>
  <c r="AR118" i="3"/>
  <c r="AK14" i="3"/>
  <c r="AW31" i="3"/>
  <c r="AZ45" i="3"/>
  <c r="J68" i="3"/>
  <c r="AG47" i="3"/>
  <c r="BA39" i="3"/>
  <c r="I8" i="3"/>
  <c r="AU31" i="3"/>
  <c r="AG127" i="3"/>
  <c r="BA22" i="3"/>
  <c r="AE70" i="3"/>
  <c r="BE13" i="3"/>
  <c r="AT75" i="3"/>
  <c r="AQ97" i="3"/>
  <c r="AN180" i="3"/>
  <c r="AS91" i="3"/>
  <c r="BA47" i="3"/>
  <c r="AB95" i="3"/>
  <c r="AA64" i="3"/>
  <c r="K67" i="3"/>
  <c r="BC71" i="3"/>
  <c r="AV130" i="3"/>
  <c r="AO97" i="3"/>
  <c r="T12" i="3"/>
  <c r="AE182" i="3"/>
  <c r="AK174" i="3"/>
  <c r="Y95" i="3"/>
  <c r="BG16" i="3"/>
  <c r="AY118" i="3"/>
  <c r="AO88" i="3"/>
  <c r="J9" i="3"/>
  <c r="AD76" i="3"/>
  <c r="W159" i="3"/>
  <c r="AF169" i="3"/>
  <c r="F12" i="3"/>
  <c r="F123" i="3"/>
  <c r="F107" i="3"/>
  <c r="BM188" i="3"/>
  <c r="BM185" i="3"/>
  <c r="K173" i="3"/>
  <c r="BL150" i="3"/>
  <c r="Y174" i="3"/>
  <c r="H153" i="3"/>
  <c r="N176" i="3"/>
  <c r="N156" i="3"/>
  <c r="BJ176" i="3"/>
  <c r="K151" i="3"/>
  <c r="BI181" i="3"/>
  <c r="AU158" i="3"/>
  <c r="P182" i="3"/>
  <c r="Z159" i="3"/>
  <c r="AF187" i="3"/>
  <c r="N158" i="3"/>
  <c r="BE178" i="3"/>
  <c r="AC166" i="3"/>
  <c r="AH163" i="3"/>
  <c r="AY158" i="3"/>
  <c r="AF132" i="3"/>
  <c r="AA173" i="3"/>
  <c r="AV142" i="3"/>
  <c r="Z173" i="3"/>
  <c r="X142" i="3"/>
  <c r="AY188" i="3"/>
  <c r="BL156" i="3"/>
  <c r="BB131" i="3"/>
  <c r="AR165" i="3"/>
  <c r="AN124" i="3"/>
  <c r="Q170" i="3"/>
  <c r="AO136" i="3"/>
  <c r="AD120" i="3"/>
  <c r="BG122" i="3"/>
  <c r="AL118" i="3"/>
  <c r="BD118" i="3"/>
  <c r="AJ88" i="3"/>
  <c r="N60" i="3"/>
  <c r="BI158" i="3"/>
  <c r="BE121" i="3"/>
  <c r="Y86" i="3"/>
  <c r="H65" i="3"/>
  <c r="U168" i="3"/>
  <c r="BB118" i="3"/>
  <c r="X90" i="3"/>
  <c r="AP62" i="3"/>
  <c r="AH161" i="3"/>
  <c r="AF113" i="3"/>
  <c r="AB93" i="3"/>
  <c r="AE64" i="3"/>
  <c r="BD147" i="3"/>
  <c r="AB102" i="3"/>
  <c r="AR67" i="3"/>
  <c r="BI189" i="3"/>
  <c r="AC191" i="3"/>
  <c r="AH191" i="3"/>
  <c r="R187" i="3"/>
  <c r="K177" i="3"/>
  <c r="P164" i="3"/>
  <c r="AR150" i="3"/>
  <c r="AM184" i="3"/>
  <c r="AI172" i="3"/>
  <c r="AI160" i="3"/>
  <c r="W150" i="3"/>
  <c r="I181" i="3"/>
  <c r="I169" i="3"/>
  <c r="BG159" i="3"/>
  <c r="AY192" i="3"/>
  <c r="AM176" i="3"/>
  <c r="L165" i="3"/>
  <c r="Z149" i="3"/>
  <c r="AZ190" i="3"/>
  <c r="U178" i="3"/>
  <c r="AX164" i="3"/>
  <c r="Y149" i="3"/>
  <c r="AX186" i="3"/>
  <c r="AO172" i="3"/>
  <c r="AQ158" i="3"/>
  <c r="AD146" i="3"/>
  <c r="U184" i="3"/>
  <c r="AW167" i="3"/>
  <c r="BC152" i="3"/>
  <c r="AF186" i="3"/>
  <c r="AT184" i="3"/>
  <c r="BK170" i="3"/>
  <c r="AB180" i="3"/>
  <c r="AZ192" i="3"/>
  <c r="V175" i="3"/>
  <c r="G156" i="3"/>
  <c r="BM138" i="3"/>
  <c r="AA129" i="3"/>
  <c r="AW180" i="3"/>
  <c r="U161" i="3"/>
  <c r="N147" i="3"/>
  <c r="AY132" i="3"/>
  <c r="BJ172" i="3"/>
  <c r="Z157" i="3"/>
  <c r="S140" i="3"/>
  <c r="J128" i="3"/>
  <c r="N183" i="3"/>
  <c r="S164" i="3"/>
  <c r="AR145" i="3"/>
  <c r="AH135" i="3"/>
  <c r="BE192" i="3"/>
  <c r="AG164" i="3"/>
  <c r="J147" i="3"/>
  <c r="AR130" i="3"/>
  <c r="I116" i="3"/>
  <c r="AJ178" i="3"/>
  <c r="BE153" i="3"/>
  <c r="Q136" i="3"/>
  <c r="P124" i="3"/>
  <c r="V187" i="3"/>
  <c r="AA162" i="3"/>
  <c r="BI143" i="3"/>
  <c r="AH128" i="3"/>
  <c r="BE114" i="3"/>
  <c r="AQ174" i="3"/>
  <c r="AK150" i="3"/>
  <c r="BC132" i="3"/>
  <c r="R122" i="3"/>
  <c r="H181" i="3"/>
  <c r="AJ150" i="3"/>
  <c r="AC134" i="3"/>
  <c r="P116" i="3"/>
  <c r="AT102" i="3"/>
  <c r="AJ92" i="3"/>
  <c r="AR78" i="3"/>
  <c r="AR66" i="3"/>
  <c r="I57" i="3"/>
  <c r="AQ186" i="3"/>
  <c r="W158" i="3"/>
  <c r="AN137" i="3"/>
  <c r="AP119" i="3"/>
  <c r="AX105" i="3"/>
  <c r="AI96" i="3"/>
  <c r="AI84" i="3"/>
  <c r="AL71" i="3"/>
  <c r="W62" i="3"/>
  <c r="W50" i="3"/>
  <c r="AX167" i="3"/>
  <c r="BL145" i="3"/>
  <c r="H125" i="3"/>
  <c r="AW109" i="3"/>
  <c r="AH100" i="3"/>
  <c r="AH88" i="3"/>
  <c r="AK75" i="3"/>
  <c r="V66" i="3"/>
  <c r="V54" i="3"/>
  <c r="I178" i="3"/>
  <c r="M153" i="3"/>
  <c r="X130" i="3"/>
  <c r="H113" i="3"/>
  <c r="BF103" i="3"/>
  <c r="BF91" i="3"/>
  <c r="BI78" i="3"/>
  <c r="AE68" i="3"/>
  <c r="AJ55" i="3"/>
  <c r="AH167" i="3"/>
  <c r="P141" i="3"/>
  <c r="AE119" i="3"/>
  <c r="AR101" i="3"/>
  <c r="BL89" i="3"/>
  <c r="AC74" i="3"/>
  <c r="BM58" i="3"/>
  <c r="V47" i="3"/>
  <c r="AQ34" i="3"/>
  <c r="H25" i="3"/>
  <c r="L164" i="3"/>
  <c r="M134" i="3"/>
  <c r="AI118" i="3"/>
  <c r="AA102" i="3"/>
  <c r="AC91" i="3"/>
  <c r="BK75" i="3"/>
  <c r="R64" i="3"/>
  <c r="BI49" i="3"/>
  <c r="Q39" i="3"/>
  <c r="BE27" i="3"/>
  <c r="X179" i="3"/>
  <c r="H145" i="3"/>
  <c r="AY126" i="3"/>
  <c r="AY108" i="3"/>
  <c r="AD94" i="3"/>
  <c r="AX82" i="3"/>
  <c r="N67" i="3"/>
  <c r="BJ55" i="3"/>
  <c r="AQ42" i="3"/>
  <c r="BD31" i="3"/>
  <c r="BD186" i="3"/>
  <c r="AD151" i="3"/>
  <c r="AX126" i="3"/>
  <c r="J112" i="3"/>
  <c r="BE97" i="3"/>
  <c r="I86" i="3"/>
  <c r="AL70" i="3"/>
  <c r="T56" i="3"/>
  <c r="AA45" i="3"/>
  <c r="Y33" i="3"/>
  <c r="J24" i="3"/>
  <c r="AK164" i="3"/>
  <c r="L139" i="3"/>
  <c r="AW111" i="3"/>
  <c r="AO96" i="3"/>
  <c r="O77" i="3"/>
  <c r="BI63" i="3"/>
  <c r="L46" i="3"/>
  <c r="AX33" i="3"/>
  <c r="AL19" i="3"/>
  <c r="M8" i="3"/>
  <c r="Q173" i="3"/>
  <c r="Z138" i="3"/>
  <c r="AJ115" i="3"/>
  <c r="AN96" i="3"/>
  <c r="O83" i="3"/>
  <c r="AZ63" i="3"/>
  <c r="AP48" i="3"/>
  <c r="AW33" i="3"/>
  <c r="Y22" i="3"/>
  <c r="AP10" i="3"/>
  <c r="AR180" i="3"/>
  <c r="BF139" i="3"/>
  <c r="R112" i="3"/>
  <c r="AC98" i="3"/>
  <c r="AA81" i="3"/>
  <c r="O65" i="3"/>
  <c r="BF46" i="3"/>
  <c r="AB34" i="3"/>
  <c r="K20" i="3"/>
  <c r="AO10" i="3"/>
  <c r="R164" i="3"/>
  <c r="J134" i="3"/>
  <c r="BG109" i="3"/>
  <c r="AR95" i="3"/>
  <c r="L77" i="3"/>
  <c r="AU58" i="3"/>
  <c r="AQ44" i="3"/>
  <c r="K29" i="3"/>
  <c r="AN18" i="3"/>
  <c r="O7" i="3"/>
  <c r="AX162" i="3"/>
  <c r="AJ122" i="3"/>
  <c r="BJ101" i="3"/>
  <c r="AX77" i="3"/>
  <c r="AS58" i="3"/>
  <c r="Y38" i="3"/>
  <c r="AR23" i="3"/>
  <c r="AT8" i="3"/>
  <c r="BG152" i="3"/>
  <c r="BE124" i="3"/>
  <c r="J100" i="3"/>
  <c r="AN82" i="3"/>
  <c r="AN58" i="3"/>
  <c r="BC43" i="3"/>
  <c r="AG25" i="3"/>
  <c r="BE12" i="3"/>
  <c r="AY168" i="3"/>
  <c r="N132" i="3"/>
  <c r="AM104" i="3"/>
  <c r="X85" i="3"/>
  <c r="BI61" i="3"/>
  <c r="AE42" i="3"/>
  <c r="AZ26" i="3"/>
  <c r="BF10" i="3"/>
  <c r="AQ170" i="3"/>
  <c r="AL125" i="3"/>
  <c r="Z103" i="3"/>
  <c r="AU78" i="3"/>
  <c r="BI60" i="3"/>
  <c r="L39" i="3"/>
  <c r="BL24" i="3"/>
  <c r="AC9" i="3"/>
  <c r="AQ160" i="3"/>
  <c r="P113" i="3"/>
  <c r="BJ84" i="3"/>
  <c r="J141" i="3"/>
  <c r="BB181" i="3"/>
  <c r="AP127" i="3"/>
  <c r="AX172" i="3"/>
  <c r="Q128" i="3"/>
  <c r="AN94" i="3"/>
  <c r="BJ145" i="3"/>
  <c r="Z97" i="3"/>
  <c r="BF74" i="3"/>
  <c r="AK45" i="3"/>
  <c r="AO27" i="3"/>
  <c r="Y8" i="3"/>
  <c r="AS132" i="3"/>
  <c r="P95" i="3"/>
  <c r="AI65" i="3"/>
  <c r="N43" i="3"/>
  <c r="S20" i="3"/>
  <c r="AD6" i="3"/>
  <c r="AC131" i="3"/>
  <c r="Q91" i="3"/>
  <c r="AV60" i="3"/>
  <c r="T39" i="3"/>
  <c r="AI17" i="3"/>
  <c r="V186" i="3"/>
  <c r="AE113" i="3"/>
  <c r="AB78" i="3"/>
  <c r="AK53" i="3"/>
  <c r="AZ22" i="3"/>
  <c r="AW4" i="3"/>
  <c r="AW27" i="3"/>
  <c r="BK148" i="3"/>
  <c r="L93" i="3"/>
  <c r="BM63" i="3"/>
  <c r="AL33" i="3"/>
  <c r="L14" i="3"/>
  <c r="U86" i="3"/>
  <c r="AY172" i="3"/>
  <c r="AG95" i="3"/>
  <c r="AF58" i="3"/>
  <c r="BG34" i="3"/>
  <c r="AM11" i="3"/>
  <c r="AF95" i="3"/>
  <c r="BH16" i="3"/>
  <c r="U133" i="3"/>
  <c r="AM78" i="3"/>
  <c r="AS43" i="3"/>
  <c r="P10" i="3"/>
  <c r="BJ63" i="3"/>
  <c r="U80" i="3"/>
  <c r="AB181" i="3"/>
  <c r="BJ28" i="3"/>
  <c r="AO42" i="3"/>
  <c r="S120" i="3"/>
  <c r="G163" i="3"/>
  <c r="I187" i="3"/>
  <c r="AH105" i="3"/>
  <c r="AX59" i="3"/>
  <c r="AC23" i="3"/>
  <c r="R133" i="3"/>
  <c r="BL28" i="3"/>
  <c r="AF110" i="3"/>
  <c r="AO120" i="3"/>
  <c r="H24" i="3"/>
  <c r="G71" i="3"/>
  <c r="L103" i="3"/>
  <c r="S131" i="3"/>
  <c r="BI123" i="3"/>
  <c r="AC78" i="3"/>
  <c r="AJ37" i="3"/>
  <c r="N15" i="3"/>
  <c r="AA58" i="3"/>
  <c r="AO108" i="3"/>
  <c r="AX189" i="3"/>
  <c r="AX56" i="3"/>
  <c r="BK88" i="3"/>
  <c r="AC171" i="3"/>
  <c r="T60" i="3"/>
  <c r="K108" i="3"/>
  <c r="AM127" i="3"/>
  <c r="AF51" i="3"/>
  <c r="AH13" i="3"/>
  <c r="V133" i="3"/>
  <c r="AW125" i="3"/>
  <c r="Y15" i="3"/>
  <c r="BB24" i="3"/>
  <c r="X5" i="3"/>
  <c r="H162" i="3"/>
  <c r="BM59" i="3"/>
  <c r="Q10" i="3"/>
  <c r="AD92" i="3"/>
  <c r="AM28" i="3"/>
  <c r="AK93" i="3"/>
  <c r="L57" i="3"/>
  <c r="AJ70" i="3"/>
  <c r="V29" i="3"/>
  <c r="AT23" i="3"/>
  <c r="L94" i="3"/>
  <c r="AW50" i="3"/>
  <c r="AZ107" i="3"/>
  <c r="AO169" i="3"/>
  <c r="W88" i="3"/>
  <c r="I33" i="3"/>
  <c r="BL68" i="3"/>
  <c r="V16" i="3"/>
  <c r="AR21" i="3"/>
  <c r="BE136" i="3"/>
  <c r="BE109" i="3"/>
  <c r="AS61" i="3"/>
  <c r="AA38" i="3"/>
  <c r="G7" i="3"/>
  <c r="BL83" i="3"/>
  <c r="AB154" i="3"/>
  <c r="BA11" i="3"/>
  <c r="Z63" i="3"/>
  <c r="BF33" i="3"/>
  <c r="O26" i="3"/>
  <c r="S25" i="3"/>
  <c r="P42" i="3"/>
  <c r="Y24" i="3"/>
  <c r="I9" i="3"/>
  <c r="AX114" i="3"/>
  <c r="BJ5" i="3"/>
  <c r="BI44" i="3"/>
  <c r="BL20" i="3"/>
  <c r="BB103" i="3"/>
  <c r="F152" i="3"/>
  <c r="F124" i="3"/>
  <c r="F51" i="3"/>
  <c r="F13" i="3"/>
  <c r="F49" i="3"/>
  <c r="F172" i="3"/>
  <c r="AV86" i="3"/>
  <c r="Y14" i="3"/>
  <c r="BG185" i="3"/>
  <c r="AO6" i="3"/>
  <c r="P157" i="3"/>
  <c r="AY46" i="3"/>
  <c r="AD7" i="3"/>
  <c r="AY23" i="3"/>
  <c r="AP85" i="3"/>
  <c r="K19" i="3"/>
  <c r="AT50" i="3"/>
  <c r="R12" i="3"/>
  <c r="K172" i="3"/>
  <c r="J122" i="3"/>
  <c r="L159" i="3"/>
  <c r="AF137" i="3"/>
  <c r="F134" i="3"/>
  <c r="F112" i="3"/>
  <c r="AK185" i="3"/>
  <c r="Z162" i="3"/>
  <c r="BM158" i="3"/>
  <c r="AP154" i="3"/>
  <c r="AG188" i="3"/>
  <c r="AK181" i="3"/>
  <c r="BA181" i="3"/>
  <c r="J182" i="3"/>
  <c r="J167" i="3"/>
  <c r="R178" i="3"/>
  <c r="AO168" i="3"/>
  <c r="BE176" i="3"/>
  <c r="X187" i="3"/>
  <c r="AM114" i="3"/>
  <c r="BC119" i="3"/>
  <c r="W126" i="3"/>
  <c r="AL130" i="3"/>
  <c r="S127" i="3"/>
  <c r="BB76" i="3"/>
  <c r="O153" i="3"/>
  <c r="O92" i="3"/>
  <c r="AG48" i="3"/>
  <c r="N108" i="3"/>
  <c r="AU61" i="3"/>
  <c r="M127" i="3"/>
  <c r="AY76" i="3"/>
  <c r="AQ132" i="3"/>
  <c r="O72" i="3"/>
  <c r="H21" i="3"/>
  <c r="H100" i="3"/>
  <c r="Q35" i="3"/>
  <c r="V120" i="3"/>
  <c r="X65" i="3"/>
  <c r="AE176" i="3"/>
  <c r="AI95" i="3"/>
  <c r="BE43" i="3"/>
  <c r="S129" i="3"/>
  <c r="W57" i="3"/>
  <c r="AQ6" i="3"/>
  <c r="P94" i="3"/>
  <c r="AZ31" i="3"/>
  <c r="AR135" i="3"/>
  <c r="AV58" i="3"/>
  <c r="AO18" i="3"/>
  <c r="I107" i="3"/>
  <c r="AW42" i="3"/>
  <c r="K119" i="3"/>
  <c r="AP35" i="3"/>
  <c r="AI120" i="3"/>
  <c r="BL36" i="3"/>
  <c r="BH121" i="3"/>
  <c r="AY38" i="3"/>
  <c r="BG121" i="3"/>
  <c r="BJ36" i="3"/>
  <c r="AG142" i="3"/>
  <c r="V166" i="3"/>
  <c r="AF90" i="3"/>
  <c r="H42" i="3"/>
  <c r="BC90" i="3"/>
  <c r="BH172" i="3"/>
  <c r="U31" i="3"/>
  <c r="BJ73" i="3"/>
  <c r="Y16" i="3"/>
  <c r="AY29" i="3"/>
  <c r="AG90" i="3"/>
  <c r="BA61" i="3"/>
  <c r="AK30" i="3"/>
  <c r="BF90" i="3"/>
  <c r="BE125" i="3"/>
  <c r="H19" i="3"/>
  <c r="BL88" i="3"/>
  <c r="AO94" i="3"/>
  <c r="BD6" i="3"/>
  <c r="AI5" i="3"/>
  <c r="AU92" i="3"/>
  <c r="AW86" i="3"/>
  <c r="AU102" i="3"/>
  <c r="Q56" i="3"/>
  <c r="V35" i="3"/>
  <c r="AU40" i="3"/>
  <c r="O74" i="3"/>
  <c r="AP11" i="3"/>
  <c r="AQ164" i="3"/>
  <c r="AK92" i="3"/>
  <c r="Z124" i="3"/>
  <c r="AP88" i="3"/>
  <c r="F89" i="3"/>
  <c r="F184" i="3"/>
  <c r="BK188" i="3"/>
  <c r="AH148" i="3"/>
  <c r="J189" i="3"/>
  <c r="BD189" i="3"/>
  <c r="AR187" i="3"/>
  <c r="N181" i="3"/>
  <c r="X181" i="3"/>
  <c r="AV181" i="3"/>
  <c r="AU166" i="3"/>
  <c r="BH177" i="3"/>
  <c r="H168" i="3"/>
  <c r="T176" i="3"/>
  <c r="AD143" i="3"/>
  <c r="AV160" i="3"/>
  <c r="AM168" i="3"/>
  <c r="BG182" i="3"/>
  <c r="AH192" i="3"/>
  <c r="Z116" i="3"/>
  <c r="AI113" i="3"/>
  <c r="AH64" i="3"/>
  <c r="Z130" i="3"/>
  <c r="AS82" i="3"/>
  <c r="BD162" i="3"/>
  <c r="BG95" i="3"/>
  <c r="AA61" i="3"/>
  <c r="BB126" i="3"/>
  <c r="AE76" i="3"/>
  <c r="AM131" i="3"/>
  <c r="AZ71" i="3"/>
  <c r="BA20" i="3"/>
  <c r="AW99" i="3"/>
  <c r="U47" i="3"/>
  <c r="AK140" i="3"/>
  <c r="U76" i="3"/>
  <c r="P27" i="3"/>
  <c r="AG106" i="3"/>
  <c r="AQ53" i="3"/>
  <c r="BC158" i="3"/>
  <c r="Y74" i="3"/>
  <c r="AB17" i="3"/>
  <c r="AL108" i="3"/>
  <c r="J43" i="3"/>
  <c r="AD162" i="3"/>
  <c r="P58" i="3"/>
  <c r="AT5" i="3"/>
  <c r="G89" i="3"/>
  <c r="AE26" i="3"/>
  <c r="AQ118" i="3"/>
  <c r="AM34" i="3"/>
  <c r="AU113" i="3"/>
  <c r="AJ36" i="3"/>
  <c r="AH120" i="3"/>
  <c r="S38" i="3"/>
  <c r="AG120" i="3"/>
  <c r="AD52" i="3"/>
  <c r="AW6" i="3"/>
  <c r="BG181" i="3"/>
  <c r="AB161" i="3"/>
  <c r="W91" i="3"/>
  <c r="K5" i="3"/>
  <c r="P34" i="3"/>
  <c r="L80" i="3"/>
  <c r="AE152" i="3"/>
  <c r="AG17" i="3"/>
  <c r="X87" i="3"/>
  <c r="AB128" i="3"/>
  <c r="AY7" i="3"/>
  <c r="AQ69" i="3"/>
  <c r="M61" i="3"/>
  <c r="BK44" i="3"/>
  <c r="R44" i="3"/>
  <c r="Y40" i="3"/>
  <c r="BL53" i="3"/>
  <c r="AL62" i="3"/>
  <c r="BM83" i="3"/>
  <c r="R94" i="3"/>
  <c r="AD83" i="3"/>
  <c r="AY44" i="3"/>
  <c r="AQ151" i="3"/>
  <c r="AA124" i="3"/>
  <c r="F77" i="3"/>
  <c r="BM192" i="3"/>
  <c r="AE161" i="3"/>
  <c r="Y170" i="3"/>
  <c r="BL166" i="3"/>
  <c r="AV158" i="3"/>
  <c r="BI161" i="3"/>
  <c r="K156" i="3"/>
  <c r="AJ146" i="3"/>
  <c r="AW176" i="3"/>
  <c r="AF136" i="3"/>
  <c r="AR140" i="3"/>
  <c r="BM137" i="3"/>
  <c r="AM130" i="3"/>
  <c r="BL113" i="3"/>
  <c r="O119" i="3"/>
  <c r="AN125" i="3"/>
  <c r="BF129" i="3"/>
  <c r="AD126" i="3"/>
  <c r="N76" i="3"/>
  <c r="BL151" i="3"/>
  <c r="AN91" i="3"/>
  <c r="BF47" i="3"/>
  <c r="AM107" i="3"/>
  <c r="G61" i="3"/>
  <c r="AA126" i="3"/>
  <c r="K76" i="3"/>
  <c r="AH130" i="3"/>
  <c r="AB71" i="3"/>
  <c r="AG20" i="3"/>
  <c r="Y99" i="3"/>
  <c r="BL46" i="3"/>
  <c r="BI165" i="3"/>
  <c r="AB91" i="3"/>
  <c r="P39" i="3"/>
  <c r="AU122" i="3"/>
  <c r="BL64" i="3"/>
  <c r="AY184" i="3"/>
  <c r="AT89" i="3"/>
  <c r="AS27" i="3"/>
  <c r="R132" i="3"/>
  <c r="AR59" i="3"/>
  <c r="L8" i="3"/>
  <c r="AE91" i="3"/>
  <c r="Z28" i="3"/>
  <c r="W123" i="3"/>
  <c r="AC55" i="3"/>
  <c r="AX4" i="3"/>
  <c r="AT72" i="3"/>
  <c r="Y189" i="3"/>
  <c r="AF71" i="3"/>
  <c r="AY6" i="3"/>
  <c r="Y75" i="3"/>
  <c r="BI7" i="3"/>
  <c r="I74" i="3"/>
  <c r="Y6" i="3"/>
  <c r="N118" i="3"/>
  <c r="BE112" i="3"/>
  <c r="T63" i="3"/>
  <c r="K118" i="3"/>
  <c r="AQ16" i="3"/>
  <c r="BM53" i="3"/>
  <c r="G99" i="3"/>
  <c r="N87" i="3"/>
  <c r="K50" i="3"/>
  <c r="I127" i="3"/>
  <c r="T7" i="3"/>
  <c r="AL68" i="3"/>
  <c r="H51" i="3"/>
  <c r="V40" i="3"/>
  <c r="AR43" i="3"/>
  <c r="AZ39" i="3"/>
  <c r="AT63" i="3"/>
  <c r="AK60" i="3"/>
  <c r="AS57" i="3"/>
  <c r="G106" i="3"/>
  <c r="K42" i="3"/>
  <c r="BA162" i="3"/>
  <c r="AP164" i="3"/>
  <c r="Z35" i="3"/>
  <c r="AF39" i="3"/>
  <c r="BL180" i="3"/>
  <c r="N97" i="3"/>
  <c r="O36" i="3"/>
  <c r="AW80" i="3"/>
  <c r="AO33" i="3"/>
  <c r="AY129" i="3"/>
  <c r="AF88" i="3"/>
  <c r="F10" i="3"/>
  <c r="AS192" i="3"/>
  <c r="Z158" i="3"/>
  <c r="T167" i="3"/>
  <c r="BG175" i="3"/>
  <c r="BD184" i="3"/>
  <c r="AA143" i="3"/>
  <c r="U158" i="3"/>
  <c r="AI166" i="3"/>
  <c r="Z176" i="3"/>
  <c r="AE178" i="3"/>
  <c r="L172" i="3"/>
  <c r="L136" i="3"/>
  <c r="BF157" i="3"/>
  <c r="H167" i="3"/>
  <c r="AS125" i="3"/>
  <c r="W142" i="3"/>
  <c r="AR159" i="3"/>
  <c r="AR113" i="3"/>
  <c r="BE132" i="3"/>
  <c r="AC156" i="3"/>
  <c r="M190" i="3"/>
  <c r="AI129" i="3"/>
  <c r="P144" i="3"/>
  <c r="BI99" i="3"/>
  <c r="BG63" i="3"/>
  <c r="W151" i="3"/>
  <c r="T103" i="3"/>
  <c r="BA68" i="3"/>
  <c r="AJ161" i="3"/>
  <c r="S107" i="3"/>
  <c r="AZ60" i="3"/>
  <c r="AP142" i="3"/>
  <c r="AQ98" i="3"/>
  <c r="BI62" i="3"/>
  <c r="Z129" i="3"/>
  <c r="J83" i="3"/>
  <c r="BL55" i="3"/>
  <c r="G192" i="3"/>
  <c r="S110" i="3"/>
  <c r="AL72" i="3"/>
  <c r="V34" i="3"/>
  <c r="AZ134" i="3"/>
  <c r="AP90" i="3"/>
  <c r="AJ49" i="3"/>
  <c r="M173" i="3"/>
  <c r="BA105" i="3"/>
  <c r="AN64" i="3"/>
  <c r="AN30" i="3"/>
  <c r="AR126" i="3"/>
  <c r="J73" i="3"/>
  <c r="U27" i="3"/>
  <c r="BB158" i="3"/>
  <c r="BG92" i="3"/>
  <c r="AA42" i="3"/>
  <c r="AC160" i="3"/>
  <c r="AJ90" i="3"/>
  <c r="U57" i="3"/>
  <c r="Z17" i="3"/>
  <c r="BC122" i="3"/>
  <c r="W69" i="3"/>
  <c r="AY25" i="3"/>
  <c r="AY140" i="3"/>
  <c r="AG71" i="3"/>
  <c r="AP16" i="3"/>
  <c r="BE111" i="3"/>
  <c r="BC53" i="3"/>
  <c r="AA6" i="3"/>
  <c r="BL93" i="3"/>
  <c r="W37" i="3"/>
  <c r="R147" i="3"/>
  <c r="AY73" i="3"/>
  <c r="U17" i="3"/>
  <c r="Z100" i="3"/>
  <c r="AJ159" i="3"/>
  <c r="Z111" i="3"/>
  <c r="X89" i="3"/>
  <c r="AB18" i="3"/>
  <c r="AI81" i="3"/>
  <c r="G16" i="3"/>
  <c r="X77" i="3"/>
  <c r="BC8" i="3"/>
  <c r="BB71" i="3"/>
  <c r="AQ85" i="3"/>
  <c r="AS85" i="3"/>
  <c r="U5" i="3"/>
  <c r="H126" i="3"/>
  <c r="AT6" i="3"/>
  <c r="AS108" i="3"/>
  <c r="AG181" i="3"/>
  <c r="T80" i="3"/>
  <c r="AM36" i="3"/>
  <c r="AF84" i="3"/>
  <c r="L85" i="3"/>
  <c r="AA59" i="3"/>
  <c r="M27" i="3"/>
  <c r="BE54" i="3"/>
  <c r="AI30" i="3"/>
  <c r="BC56" i="3"/>
  <c r="AD33" i="3"/>
  <c r="T77" i="3"/>
  <c r="AT70" i="3"/>
  <c r="BG147" i="3"/>
  <c r="P46" i="3"/>
  <c r="BC60" i="3"/>
  <c r="K27" i="3"/>
  <c r="P36" i="3"/>
  <c r="V81" i="3"/>
  <c r="AB14" i="3"/>
  <c r="O75" i="3"/>
  <c r="AE147" i="3"/>
  <c r="AE126" i="3"/>
  <c r="O139" i="3"/>
  <c r="AV103" i="3"/>
  <c r="BH48" i="3"/>
  <c r="AV35" i="3"/>
  <c r="F160" i="3"/>
  <c r="F170" i="3"/>
  <c r="Y185" i="3"/>
  <c r="S184" i="3"/>
  <c r="BJ191" i="3"/>
  <c r="AD157" i="3"/>
  <c r="X166" i="3"/>
  <c r="AQ172" i="3"/>
  <c r="Z186" i="3"/>
  <c r="AJ145" i="3"/>
  <c r="U154" i="3"/>
  <c r="K163" i="3"/>
  <c r="AC180" i="3"/>
  <c r="BM184" i="3"/>
  <c r="BE135" i="3"/>
  <c r="AB157" i="3"/>
  <c r="AP166" i="3"/>
  <c r="Z144" i="3"/>
  <c r="AR189" i="3"/>
  <c r="K115" i="3"/>
  <c r="AE109" i="3"/>
  <c r="BB72" i="3"/>
  <c r="H173" i="3"/>
  <c r="O112" i="3"/>
  <c r="AV77" i="3"/>
  <c r="BH185" i="3"/>
  <c r="BJ116" i="3"/>
  <c r="BL82" i="3"/>
  <c r="AF48" i="3"/>
  <c r="BC121" i="3"/>
  <c r="W86" i="3"/>
  <c r="Z49" i="3"/>
  <c r="BL109" i="3"/>
  <c r="BE66" i="3"/>
  <c r="L181" i="3"/>
  <c r="BK109" i="3"/>
  <c r="J72" i="3"/>
  <c r="AU33" i="3"/>
  <c r="L134" i="3"/>
  <c r="R90" i="3"/>
  <c r="L49" i="3"/>
  <c r="V172" i="3"/>
  <c r="Y105" i="3"/>
  <c r="P64" i="3"/>
  <c r="T30" i="3"/>
  <c r="AE125" i="3"/>
  <c r="AU88" i="3"/>
  <c r="N38" i="3"/>
  <c r="W14" i="3"/>
  <c r="AR157" i="3"/>
  <c r="AW106" i="3"/>
  <c r="BM73" i="3"/>
  <c r="BG40" i="3"/>
  <c r="AF16" i="3"/>
  <c r="AS159" i="3"/>
  <c r="AP107" i="3"/>
  <c r="V75" i="3"/>
  <c r="I43" i="3"/>
  <c r="AY16" i="3"/>
  <c r="Q144" i="3"/>
  <c r="AT101" i="3"/>
  <c r="BH68" i="3"/>
  <c r="AS36" i="3"/>
  <c r="Y13" i="3"/>
  <c r="BA139" i="3"/>
  <c r="H91" i="3"/>
  <c r="P48" i="3"/>
  <c r="R16" i="3"/>
  <c r="T142" i="3"/>
  <c r="BM93" i="3"/>
  <c r="K53" i="3"/>
  <c r="Y20" i="3"/>
  <c r="K145" i="3"/>
  <c r="J74" i="3"/>
  <c r="BK36" i="3"/>
  <c r="I7" i="3"/>
  <c r="AB118" i="3"/>
  <c r="K73" i="3"/>
  <c r="BG30" i="3"/>
  <c r="L186" i="3"/>
  <c r="AS99" i="3"/>
  <c r="AV115" i="3"/>
  <c r="AA106" i="3"/>
  <c r="AM110" i="3"/>
  <c r="J115" i="3"/>
  <c r="AG61" i="3"/>
  <c r="AT171" i="3"/>
  <c r="BE80" i="3"/>
  <c r="AO32" i="3"/>
  <c r="AP163" i="3"/>
  <c r="BH76" i="3"/>
  <c r="W8" i="3"/>
  <c r="AA97" i="3"/>
  <c r="W15" i="3"/>
  <c r="W9" i="3"/>
  <c r="BF48" i="3"/>
  <c r="BB36" i="3"/>
  <c r="J50" i="3"/>
  <c r="BD47" i="3"/>
  <c r="BM66" i="3"/>
  <c r="BE17" i="3"/>
  <c r="BM128" i="3"/>
  <c r="AC33" i="3"/>
  <c r="Z83" i="3"/>
  <c r="M81" i="3"/>
  <c r="V49" i="3"/>
  <c r="AO56" i="3"/>
  <c r="AB58" i="3"/>
  <c r="AB20" i="3"/>
  <c r="BC165" i="3"/>
  <c r="G104" i="3"/>
  <c r="AD90" i="3"/>
  <c r="AM54" i="3"/>
  <c r="M90" i="3"/>
  <c r="M37" i="3"/>
  <c r="AD57" i="3"/>
  <c r="AW21" i="3"/>
  <c r="AU30" i="3"/>
  <c r="S42" i="3"/>
  <c r="AF13" i="3"/>
  <c r="BC81" i="3"/>
  <c r="N22" i="3"/>
  <c r="BH67" i="3"/>
  <c r="BG52" i="3"/>
  <c r="Y169" i="3"/>
  <c r="S72" i="3"/>
  <c r="AO178" i="3"/>
  <c r="F32" i="3"/>
  <c r="F182" i="3"/>
  <c r="L191" i="3"/>
  <c r="AT170" i="3"/>
  <c r="AS178" i="3"/>
  <c r="N187" i="3"/>
  <c r="AZ152" i="3"/>
  <c r="T157" i="3"/>
  <c r="AN185" i="3"/>
  <c r="P145" i="3"/>
  <c r="AQ153" i="3"/>
  <c r="AZ162" i="3"/>
  <c r="AP179" i="3"/>
  <c r="AA184" i="3"/>
  <c r="AK135" i="3"/>
  <c r="AG156" i="3"/>
  <c r="J166" i="3"/>
  <c r="AX124" i="3"/>
  <c r="AQ141" i="3"/>
  <c r="AM158" i="3"/>
  <c r="AL192" i="3"/>
  <c r="BJ143" i="3"/>
  <c r="AN173" i="3"/>
  <c r="BA135" i="3"/>
  <c r="Q163" i="3"/>
  <c r="BD114" i="3"/>
  <c r="AU124" i="3"/>
  <c r="AY85" i="3"/>
  <c r="S51" i="3"/>
  <c r="N128" i="3"/>
  <c r="AS90" i="3"/>
  <c r="M56" i="3"/>
  <c r="BC134" i="3"/>
  <c r="AR94" i="3"/>
  <c r="L72" i="3"/>
  <c r="T168" i="3"/>
  <c r="AV109" i="3"/>
  <c r="P75" i="3"/>
  <c r="H157" i="3"/>
  <c r="AJ97" i="3"/>
  <c r="L55" i="3"/>
  <c r="K180" i="3"/>
  <c r="AM109" i="3"/>
  <c r="AY71" i="3"/>
  <c r="AA33" i="3"/>
  <c r="AU162" i="3"/>
  <c r="R101" i="3"/>
  <c r="AD63" i="3"/>
  <c r="AT25" i="3"/>
  <c r="AP116" i="3"/>
  <c r="J78" i="3"/>
  <c r="BH38" i="3"/>
  <c r="AS181" i="3"/>
  <c r="J102" i="3"/>
  <c r="I54" i="3"/>
  <c r="AV13" i="3"/>
  <c r="AK130" i="3"/>
  <c r="AK73" i="3"/>
  <c r="AG26" i="3"/>
  <c r="BA158" i="3"/>
  <c r="AR89" i="3"/>
  <c r="AX42" i="3"/>
  <c r="K4" i="3"/>
  <c r="N101" i="3"/>
  <c r="U36" i="3"/>
  <c r="AM191" i="3"/>
  <c r="AW90" i="3"/>
  <c r="AR28" i="3"/>
  <c r="AH141" i="3"/>
  <c r="AG93" i="3"/>
  <c r="BA33" i="3"/>
  <c r="R142" i="3"/>
  <c r="AZ73" i="3"/>
  <c r="AD18" i="3"/>
  <c r="Y116" i="3"/>
  <c r="L50" i="3"/>
  <c r="Q133" i="3"/>
  <c r="BJ114" i="3"/>
  <c r="Z151" i="3"/>
  <c r="I114" i="3"/>
  <c r="BD33" i="3"/>
  <c r="Y111" i="3"/>
  <c r="AD31" i="3"/>
  <c r="U160" i="3"/>
  <c r="L47" i="3"/>
  <c r="AN145" i="3"/>
  <c r="N36" i="3"/>
  <c r="S7" i="3"/>
  <c r="BL47" i="3"/>
  <c r="AJ33" i="3"/>
  <c r="AF49" i="3"/>
  <c r="M45" i="3"/>
  <c r="W53" i="3"/>
  <c r="AS16" i="3"/>
  <c r="AA121" i="3"/>
  <c r="M110" i="3"/>
  <c r="BG39" i="3"/>
  <c r="AF173" i="3"/>
  <c r="BH135" i="3"/>
  <c r="BE189" i="3"/>
  <c r="BM28" i="3"/>
  <c r="Y50" i="3"/>
  <c r="BI28" i="3"/>
  <c r="AO73" i="3"/>
  <c r="AT60" i="3"/>
  <c r="AU87" i="3"/>
  <c r="S31" i="3"/>
  <c r="BF53" i="3"/>
  <c r="AM18" i="3"/>
  <c r="AW24" i="3"/>
  <c r="I39" i="3"/>
  <c r="U12" i="3"/>
  <c r="AY78" i="3"/>
  <c r="AY61" i="3"/>
  <c r="BB132" i="3"/>
  <c r="Z126" i="3"/>
  <c r="N62" i="3"/>
  <c r="BK77" i="3"/>
  <c r="BM22" i="3"/>
  <c r="F127" i="3"/>
  <c r="F60" i="3"/>
  <c r="AY190" i="3"/>
  <c r="G191" i="3"/>
  <c r="BC156" i="3"/>
  <c r="AC165" i="3"/>
  <c r="BJ171" i="3"/>
  <c r="AF142" i="3"/>
  <c r="L171" i="3"/>
  <c r="Z179" i="3"/>
  <c r="T140" i="3"/>
  <c r="AV144" i="3"/>
  <c r="T188" i="3"/>
  <c r="BG183" i="3"/>
  <c r="V191" i="3"/>
  <c r="T139" i="3"/>
  <c r="AK147" i="3"/>
  <c r="BE173" i="3"/>
  <c r="X129" i="3"/>
  <c r="H138" i="3"/>
  <c r="AF164" i="3"/>
  <c r="AV116" i="3"/>
  <c r="AC135" i="3"/>
  <c r="BE162" i="3"/>
  <c r="AG128" i="3"/>
  <c r="AS142" i="3"/>
  <c r="AT98" i="3"/>
  <c r="BL62" i="3"/>
  <c r="T149" i="3"/>
  <c r="AN111" i="3"/>
  <c r="Y90" i="3"/>
  <c r="BF67" i="3"/>
  <c r="BH158" i="3"/>
  <c r="N116" i="3"/>
  <c r="X94" i="3"/>
  <c r="BE59" i="3"/>
  <c r="AI139" i="3"/>
  <c r="AB109" i="3"/>
  <c r="BI74" i="3"/>
  <c r="AE48" i="3"/>
  <c r="P109" i="3"/>
  <c r="AR81" i="3"/>
  <c r="BF39" i="3"/>
  <c r="BH145" i="3"/>
  <c r="AI97" i="3"/>
  <c r="AT56" i="3"/>
  <c r="AU21" i="3"/>
  <c r="H133" i="3"/>
  <c r="AL89" i="3"/>
  <c r="Y48" i="3"/>
  <c r="AQ162" i="3"/>
  <c r="R104" i="3"/>
  <c r="BC77" i="3"/>
  <c r="AN38" i="3"/>
  <c r="I146" i="3"/>
  <c r="BD87" i="3"/>
  <c r="BB53" i="3"/>
  <c r="AB13" i="3"/>
  <c r="R129" i="3"/>
  <c r="BA53" i="3"/>
  <c r="I26" i="3"/>
  <c r="AN157" i="3"/>
  <c r="L89" i="3"/>
  <c r="L38" i="3"/>
  <c r="BH190" i="3"/>
  <c r="AU100" i="3"/>
  <c r="AV52" i="3"/>
  <c r="AD12" i="3"/>
  <c r="AE108" i="3"/>
  <c r="H47" i="3"/>
  <c r="AZ180" i="3"/>
  <c r="AX92" i="3"/>
  <c r="AF35" i="3"/>
  <c r="AA66" i="3"/>
  <c r="M180" i="3"/>
  <c r="G113" i="3"/>
  <c r="AG139" i="3"/>
  <c r="U112" i="3"/>
  <c r="L33" i="3"/>
  <c r="AK110" i="3"/>
  <c r="BD30" i="3"/>
  <c r="AE99" i="3"/>
  <c r="AM27" i="3"/>
  <c r="AZ95" i="3"/>
  <c r="M14" i="3"/>
  <c r="AZ110" i="3"/>
  <c r="H20" i="3"/>
  <c r="AP114" i="3"/>
  <c r="AD21" i="3"/>
  <c r="AM164" i="3"/>
  <c r="AH23" i="3"/>
  <c r="K21" i="3"/>
  <c r="AC7" i="3"/>
  <c r="AT130" i="3"/>
  <c r="P8" i="3"/>
  <c r="BK28" i="3"/>
  <c r="Q18" i="3"/>
  <c r="V109" i="3"/>
  <c r="M183" i="3"/>
  <c r="AZ94" i="3"/>
  <c r="BB97" i="3"/>
  <c r="Y88" i="3"/>
  <c r="AA15" i="3"/>
  <c r="AK86" i="3"/>
  <c r="BL69" i="3"/>
  <c r="AC14" i="3"/>
  <c r="K135" i="3"/>
  <c r="R113" i="3"/>
  <c r="AO146" i="3"/>
  <c r="AY99" i="3"/>
  <c r="AF54" i="3"/>
  <c r="Q113" i="3"/>
  <c r="AK105" i="3"/>
  <c r="R40" i="3"/>
  <c r="AC64" i="3"/>
  <c r="AM48" i="3"/>
  <c r="BJ110" i="3"/>
  <c r="F71" i="3"/>
  <c r="F84" i="3"/>
  <c r="AB190" i="3"/>
  <c r="AY169" i="3"/>
  <c r="AX177" i="3"/>
  <c r="AI186" i="3"/>
  <c r="L152" i="3"/>
  <c r="AM156" i="3"/>
  <c r="BC170" i="3"/>
  <c r="AQ178" i="3"/>
  <c r="BM139" i="3"/>
  <c r="Y144" i="3"/>
  <c r="BH187" i="3"/>
  <c r="BL163" i="3"/>
  <c r="AS190" i="3"/>
  <c r="BL138" i="3"/>
  <c r="M147" i="3"/>
  <c r="Y173" i="3"/>
  <c r="AW128" i="3"/>
  <c r="AY137" i="3"/>
  <c r="BM163" i="3"/>
  <c r="AY127" i="3"/>
  <c r="AO147" i="3"/>
  <c r="BM180" i="3"/>
  <c r="BH124" i="3"/>
  <c r="I138" i="3"/>
  <c r="AO95" i="3"/>
  <c r="BG59" i="3"/>
  <c r="AR143" i="3"/>
  <c r="T99" i="3"/>
  <c r="BA64" i="3"/>
  <c r="AV182" i="3"/>
  <c r="BC115" i="3"/>
  <c r="AW81" i="3"/>
  <c r="AK47" i="3"/>
  <c r="AU120" i="3"/>
  <c r="H85" i="3"/>
  <c r="K48" i="3"/>
  <c r="W127" i="3"/>
  <c r="T81" i="3"/>
  <c r="AL39" i="3"/>
  <c r="I145" i="3"/>
  <c r="AE94" i="3"/>
  <c r="V56" i="3"/>
  <c r="AA21" i="3"/>
  <c r="P115" i="3"/>
  <c r="AR73" i="3"/>
  <c r="BI34" i="3"/>
  <c r="AI136" i="3"/>
  <c r="AK89" i="3"/>
  <c r="Y51" i="3"/>
  <c r="Z145" i="3"/>
  <c r="U101" i="3"/>
  <c r="R53" i="3"/>
  <c r="H13" i="3"/>
  <c r="Y122" i="3"/>
  <c r="AQ71" i="3"/>
  <c r="BA25" i="3"/>
  <c r="BG156" i="3"/>
  <c r="AS88" i="3"/>
  <c r="BD37" i="3"/>
  <c r="BJ189" i="3"/>
  <c r="S100" i="3"/>
  <c r="AF67" i="3"/>
  <c r="O21" i="3"/>
  <c r="O137" i="3"/>
  <c r="O64" i="3"/>
  <c r="G15" i="3"/>
  <c r="AQ109" i="3"/>
  <c r="AN47" i="3"/>
  <c r="AK4" i="3"/>
  <c r="AP91" i="3"/>
  <c r="AK34" i="3"/>
  <c r="Z140" i="3"/>
  <c r="BI65" i="3"/>
  <c r="AZ15" i="3"/>
  <c r="AC96" i="3"/>
  <c r="P142" i="3"/>
  <c r="AE107" i="3"/>
  <c r="AJ81" i="3"/>
  <c r="H16" i="3"/>
  <c r="Y77" i="3"/>
  <c r="AL10" i="3"/>
  <c r="AN74" i="3"/>
  <c r="BE6" i="3"/>
  <c r="BH94" i="3"/>
  <c r="BM8" i="3"/>
  <c r="AJ109" i="3"/>
  <c r="AR19" i="3"/>
  <c r="AC113" i="3"/>
  <c r="AS20" i="3"/>
  <c r="G162" i="3"/>
  <c r="BC22" i="3"/>
  <c r="AV19" i="3"/>
  <c r="AR6" i="3"/>
  <c r="AJ127" i="3"/>
  <c r="AP7" i="3"/>
  <c r="AR26" i="3"/>
  <c r="AI16" i="3"/>
  <c r="V101" i="3"/>
  <c r="BE158" i="3"/>
  <c r="BJ93" i="3"/>
  <c r="AV10" i="3"/>
  <c r="BE21" i="3"/>
  <c r="AF125" i="3"/>
  <c r="P29" i="3"/>
  <c r="AO135" i="3"/>
  <c r="AE13" i="3"/>
  <c r="BB58" i="3"/>
  <c r="AV50" i="3"/>
  <c r="G43" i="3"/>
  <c r="BF68" i="3"/>
  <c r="Y10" i="3"/>
  <c r="V157" i="3"/>
  <c r="T32" i="3"/>
  <c r="AE74" i="3"/>
  <c r="AK6" i="3"/>
  <c r="BK12" i="3"/>
  <c r="F94" i="3"/>
  <c r="F64" i="3"/>
  <c r="AU189" i="3"/>
  <c r="AJ156" i="3"/>
  <c r="AD165" i="3"/>
  <c r="X174" i="3"/>
  <c r="AO182" i="3"/>
  <c r="M156" i="3"/>
  <c r="AF170" i="3"/>
  <c r="T178" i="3"/>
  <c r="AS139" i="3"/>
  <c r="AA157" i="3"/>
  <c r="P174" i="3"/>
  <c r="BG178" i="3"/>
  <c r="BE131" i="3"/>
  <c r="BM149" i="3"/>
  <c r="AZ160" i="3"/>
  <c r="AT187" i="3"/>
  <c r="BL137" i="3"/>
  <c r="M151" i="3"/>
  <c r="AH183" i="3"/>
  <c r="AB127" i="3"/>
  <c r="H147" i="3"/>
  <c r="U180" i="3"/>
  <c r="AK124" i="3"/>
  <c r="AO137" i="3"/>
  <c r="P108" i="3"/>
  <c r="AM71" i="3"/>
  <c r="BE169" i="3"/>
  <c r="BM110" i="3"/>
  <c r="AG76" i="3"/>
  <c r="AH150" i="3"/>
  <c r="BL102" i="3"/>
  <c r="AF68" i="3"/>
  <c r="X159" i="3"/>
  <c r="W106" i="3"/>
  <c r="P71" i="3"/>
  <c r="AN146" i="3"/>
  <c r="BM92" i="3"/>
  <c r="AD65" i="3"/>
  <c r="AL27" i="3"/>
  <c r="Q122" i="3"/>
  <c r="AY82" i="3"/>
  <c r="AR42" i="3"/>
  <c r="AH158" i="3"/>
  <c r="G100" i="3"/>
  <c r="BG58" i="3"/>
  <c r="AE24" i="3"/>
  <c r="BL135" i="3"/>
  <c r="M89" i="3"/>
  <c r="BM47" i="3"/>
  <c r="AM178" i="3"/>
  <c r="AX100" i="3"/>
  <c r="BC52" i="3"/>
  <c r="BA12" i="3"/>
  <c r="M150" i="3"/>
  <c r="BI86" i="3"/>
  <c r="X39" i="3"/>
  <c r="BD187" i="3"/>
  <c r="AU101" i="3"/>
  <c r="X69" i="3"/>
  <c r="AZ25" i="3"/>
  <c r="AC140" i="3"/>
  <c r="BK85" i="3"/>
  <c r="J35" i="3"/>
  <c r="AC175" i="3"/>
  <c r="V88" i="3"/>
  <c r="Y27" i="3"/>
  <c r="AC176" i="3"/>
  <c r="AD108" i="3"/>
  <c r="G47" i="3"/>
  <c r="BB15" i="3"/>
  <c r="AT139" i="3"/>
  <c r="AM90" i="3"/>
  <c r="BL30" i="3"/>
  <c r="AE188" i="3"/>
  <c r="X108" i="3"/>
  <c r="AS48" i="3"/>
  <c r="AB15" i="3"/>
  <c r="AY95" i="3"/>
  <c r="AS111" i="3"/>
  <c r="AC137" i="3"/>
  <c r="AL110" i="3"/>
  <c r="X57" i="3"/>
  <c r="AS15" i="3"/>
  <c r="Y100" i="3"/>
  <c r="BC29" i="3"/>
  <c r="G98" i="3"/>
  <c r="BD25" i="3"/>
  <c r="M93" i="3"/>
  <c r="AH8" i="3"/>
  <c r="W169" i="3"/>
  <c r="BJ45" i="3"/>
  <c r="AW14" i="3"/>
  <c r="AW40" i="3"/>
  <c r="AV40" i="3"/>
  <c r="AU103" i="3"/>
  <c r="AJ77" i="3"/>
  <c r="BE65" i="3"/>
  <c r="BH24" i="3"/>
  <c r="AK68" i="3"/>
  <c r="G62" i="3"/>
  <c r="AP25" i="3"/>
  <c r="AW15" i="3"/>
  <c r="H99" i="3"/>
  <c r="BJ141" i="3"/>
  <c r="AH134" i="3"/>
  <c r="U9" i="3"/>
  <c r="AP20" i="3"/>
  <c r="AR99" i="3"/>
  <c r="K18" i="3"/>
  <c r="R131" i="3"/>
  <c r="AZ9" i="3"/>
  <c r="AF53" i="3"/>
  <c r="T98" i="3"/>
  <c r="AO129" i="3"/>
  <c r="V90" i="3"/>
  <c r="W7" i="3"/>
  <c r="J94" i="3"/>
  <c r="AR97" i="3"/>
  <c r="BI19" i="3"/>
  <c r="G59" i="3"/>
  <c r="AA63" i="3"/>
  <c r="G86" i="3"/>
  <c r="F105" i="3"/>
  <c r="F126" i="3"/>
  <c r="AI183" i="3"/>
  <c r="AD167" i="3"/>
  <c r="AA171" i="3"/>
  <c r="BD68" i="3"/>
  <c r="S10" i="3"/>
  <c r="BL104" i="3"/>
  <c r="AO180" i="3"/>
  <c r="U90" i="3"/>
  <c r="G44" i="3"/>
  <c r="K90" i="3"/>
  <c r="BK19" i="3"/>
  <c r="BM39" i="3"/>
  <c r="V85" i="3"/>
  <c r="S36" i="3"/>
  <c r="R6" i="3"/>
  <c r="AH91" i="3"/>
  <c r="AH136" i="3"/>
  <c r="AQ92" i="3"/>
  <c r="BL127" i="3"/>
  <c r="BI53" i="3"/>
  <c r="P56" i="3"/>
  <c r="BF16" i="3"/>
  <c r="BJ59" i="3"/>
  <c r="F190" i="3"/>
  <c r="F42" i="3"/>
  <c r="F35" i="3"/>
  <c r="AD187" i="3"/>
  <c r="BD168" i="3"/>
  <c r="BC176" i="3"/>
  <c r="AI185" i="3"/>
  <c r="Q151" i="3"/>
  <c r="Z154" i="3"/>
  <c r="BA169" i="3"/>
  <c r="AO177" i="3"/>
  <c r="T148" i="3"/>
  <c r="AJ173" i="3"/>
  <c r="BB192" i="3"/>
  <c r="S169" i="3"/>
  <c r="AK144" i="3"/>
  <c r="AR167" i="3"/>
  <c r="R179" i="3"/>
  <c r="AD132" i="3"/>
  <c r="AT151" i="3"/>
  <c r="AP173" i="3"/>
  <c r="AT121" i="3"/>
  <c r="Z141" i="3"/>
  <c r="P170" i="3"/>
  <c r="I120" i="3"/>
  <c r="AC138" i="3"/>
  <c r="AO161" i="3"/>
  <c r="AO107" i="3"/>
  <c r="P84" i="3"/>
  <c r="AC49" i="3"/>
  <c r="AJ125" i="3"/>
  <c r="BC88" i="3"/>
  <c r="AQ54" i="3"/>
  <c r="AK132" i="3"/>
  <c r="BB92" i="3"/>
  <c r="BE67" i="3"/>
  <c r="M158" i="3"/>
  <c r="AB105" i="3"/>
  <c r="AO70" i="3"/>
  <c r="J145" i="3"/>
  <c r="Q92" i="3"/>
  <c r="AL49" i="3"/>
  <c r="N169" i="3"/>
  <c r="Q107" i="3"/>
  <c r="AQ81" i="3"/>
  <c r="AZ40" i="3"/>
  <c r="M149" i="3"/>
  <c r="X99" i="3"/>
  <c r="K58" i="3"/>
  <c r="BD23" i="3"/>
  <c r="X114" i="3"/>
  <c r="BH72" i="3"/>
  <c r="Y37" i="3"/>
  <c r="BH142" i="3"/>
  <c r="AL85" i="3"/>
  <c r="BM35" i="3"/>
  <c r="AG179" i="3"/>
  <c r="AM120" i="3"/>
  <c r="T70" i="3"/>
  <c r="S24" i="3"/>
  <c r="R144" i="3"/>
  <c r="Z87" i="3"/>
  <c r="M174" i="3"/>
  <c r="BI137" i="3"/>
  <c r="P16" i="3"/>
  <c r="K88" i="3"/>
  <c r="V27" i="3"/>
  <c r="G119" i="3"/>
  <c r="AU109" i="3"/>
  <c r="AN135" i="3"/>
  <c r="S108" i="3"/>
  <c r="Y30" i="3"/>
  <c r="BC98" i="3"/>
  <c r="AU28" i="3"/>
  <c r="AR96" i="3"/>
  <c r="I5" i="3"/>
  <c r="BA58" i="3"/>
  <c r="J54" i="3"/>
  <c r="V68" i="3"/>
  <c r="AH110" i="3"/>
  <c r="O69" i="3"/>
  <c r="BH108" i="3"/>
  <c r="AF101" i="3"/>
  <c r="BH74" i="3"/>
  <c r="BA45" i="3"/>
  <c r="Q20" i="3"/>
  <c r="BH66" i="3"/>
  <c r="AN59" i="3"/>
  <c r="G34" i="3"/>
  <c r="BH11" i="3"/>
  <c r="BK179" i="3"/>
  <c r="AA50" i="3"/>
  <c r="BH131" i="3"/>
  <c r="AF22" i="3"/>
  <c r="BB17" i="3"/>
  <c r="BB167" i="3"/>
  <c r="AU146" i="3"/>
  <c r="AU18" i="3"/>
  <c r="T85" i="3"/>
  <c r="I58" i="3"/>
  <c r="N46" i="3"/>
  <c r="BH168" i="3"/>
  <c r="AO98" i="3"/>
  <c r="P86" i="3"/>
  <c r="BM14" i="3"/>
  <c r="AH101" i="3"/>
  <c r="AE44" i="3"/>
  <c r="AK87" i="3"/>
  <c r="AV132" i="3"/>
  <c r="AI137" i="3"/>
  <c r="H39" i="3"/>
  <c r="Y72" i="3"/>
  <c r="V159" i="3"/>
  <c r="F142" i="3"/>
  <c r="F61" i="3"/>
  <c r="BL192" i="3"/>
  <c r="AR154" i="3"/>
  <c r="AI164" i="3"/>
  <c r="I173" i="3"/>
  <c r="AM181" i="3"/>
  <c r="BJ140" i="3"/>
  <c r="Y154" i="3"/>
  <c r="V163" i="3"/>
  <c r="G173" i="3"/>
  <c r="J192" i="3"/>
  <c r="BI168" i="3"/>
  <c r="M144" i="3"/>
  <c r="I167" i="3"/>
  <c r="BA178" i="3"/>
  <c r="J132" i="3"/>
  <c r="I166" i="3"/>
  <c r="AW124" i="3"/>
  <c r="BF132" i="3"/>
  <c r="AL157" i="3"/>
  <c r="BD191" i="3"/>
  <c r="BG129" i="3"/>
  <c r="R153" i="3"/>
  <c r="R185" i="3"/>
  <c r="AF118" i="3"/>
  <c r="BD80" i="3"/>
  <c r="BK190" i="3"/>
  <c r="AG121" i="3"/>
  <c r="AX85" i="3"/>
  <c r="AL51" i="3"/>
  <c r="P127" i="3"/>
  <c r="AW89" i="3"/>
  <c r="AK55" i="3"/>
  <c r="AJ132" i="3"/>
  <c r="H93" i="3"/>
  <c r="AY56" i="3"/>
  <c r="T121" i="3"/>
  <c r="BL75" i="3"/>
  <c r="AQ26" i="3"/>
  <c r="BH141" i="3"/>
  <c r="BL92" i="3"/>
  <c r="AZ54" i="3"/>
  <c r="BG187" i="3"/>
  <c r="R110" i="3"/>
  <c r="I72" i="3"/>
  <c r="Z33" i="3"/>
  <c r="BI128" i="3"/>
  <c r="AQ87" i="3"/>
  <c r="BJ46" i="3"/>
  <c r="O175" i="3"/>
  <c r="AA99" i="3"/>
  <c r="AZ47" i="3"/>
  <c r="BF11" i="3"/>
  <c r="Z119" i="3"/>
  <c r="BE69" i="3"/>
  <c r="BH23" i="3"/>
  <c r="W143" i="3"/>
  <c r="BD86" i="3"/>
  <c r="BK35" i="3"/>
  <c r="G177" i="3"/>
  <c r="AB98" i="3"/>
  <c r="AW64" i="3"/>
  <c r="BC19" i="3"/>
  <c r="T132" i="3"/>
  <c r="BL60" i="3"/>
  <c r="AJ10" i="3"/>
  <c r="BC106" i="3"/>
  <c r="AS45" i="3"/>
  <c r="AB176" i="3"/>
  <c r="T88" i="3"/>
  <c r="AT48" i="3"/>
  <c r="G183" i="3"/>
  <c r="AV87" i="3"/>
  <c r="AY26" i="3"/>
  <c r="O118" i="3"/>
  <c r="V108" i="3"/>
  <c r="AI134" i="3"/>
  <c r="AA100" i="3"/>
  <c r="BD29" i="3"/>
  <c r="H98" i="3"/>
  <c r="G28" i="3"/>
  <c r="BE95" i="3"/>
  <c r="Y19" i="3"/>
  <c r="AY90" i="3"/>
  <c r="AV6" i="3"/>
  <c r="Y104" i="3"/>
  <c r="AA16" i="3"/>
  <c r="BK99" i="3"/>
  <c r="BJ17" i="3"/>
  <c r="AZ143" i="3"/>
  <c r="AH47" i="3"/>
  <c r="O103" i="3"/>
  <c r="BK97" i="3"/>
  <c r="BA17" i="3"/>
  <c r="BM65" i="3"/>
  <c r="I38" i="3"/>
  <c r="AE33" i="3"/>
  <c r="K158" i="3"/>
  <c r="Y49" i="3"/>
  <c r="BG124" i="3"/>
  <c r="H71" i="3"/>
  <c r="BM71" i="3"/>
  <c r="AZ77" i="3"/>
  <c r="I188" i="3"/>
  <c r="AK21" i="3"/>
  <c r="U40" i="3"/>
  <c r="W133" i="3"/>
  <c r="S94" i="3"/>
  <c r="AD72" i="3"/>
  <c r="AM94" i="3"/>
  <c r="AL94" i="3"/>
  <c r="AE38" i="3"/>
  <c r="P85" i="3"/>
  <c r="BJ77" i="3"/>
  <c r="AP93" i="3"/>
  <c r="BB139" i="3"/>
  <c r="AQ144" i="3"/>
  <c r="BH183" i="3"/>
  <c r="F48" i="3"/>
  <c r="F66" i="3"/>
  <c r="AR192" i="3"/>
  <c r="K165" i="3"/>
  <c r="AJ185" i="3"/>
  <c r="O164" i="3"/>
  <c r="X182" i="3"/>
  <c r="BB160" i="3"/>
  <c r="P181" i="3"/>
  <c r="N166" i="3"/>
  <c r="AP140" i="3"/>
  <c r="AR153" i="3"/>
  <c r="AS173" i="3"/>
  <c r="AQ185" i="3"/>
  <c r="AC154" i="3"/>
  <c r="M172" i="3"/>
  <c r="BK176" i="3"/>
  <c r="AP130" i="3"/>
  <c r="U134" i="3"/>
  <c r="AW158" i="3"/>
  <c r="BJ184" i="3"/>
  <c r="AC136" i="3"/>
  <c r="AL148" i="3"/>
  <c r="W180" i="3"/>
  <c r="R125" i="3"/>
  <c r="S145" i="3"/>
  <c r="U177" i="3"/>
  <c r="T137" i="3"/>
  <c r="R160" i="3"/>
  <c r="AT106" i="3"/>
  <c r="X70" i="3"/>
  <c r="AB165" i="3"/>
  <c r="AD109" i="3"/>
  <c r="R75" i="3"/>
  <c r="J178" i="3"/>
  <c r="BC126" i="3"/>
  <c r="AC89" i="3"/>
  <c r="Q55" i="3"/>
  <c r="AO131" i="3"/>
  <c r="BA92" i="3"/>
  <c r="AE56" i="3"/>
  <c r="BH120" i="3"/>
  <c r="AN75" i="3"/>
  <c r="AL35" i="3"/>
  <c r="N141" i="3"/>
  <c r="AN92" i="3"/>
  <c r="BA65" i="3"/>
  <c r="L40" i="3"/>
  <c r="BB147" i="3"/>
  <c r="AL98" i="3"/>
  <c r="AX71" i="3"/>
  <c r="AY32" i="3"/>
  <c r="W128" i="3"/>
  <c r="O87" i="3"/>
  <c r="AP46" i="3"/>
  <c r="L174" i="3"/>
  <c r="BG98" i="3"/>
  <c r="Y47" i="3"/>
  <c r="AL11" i="3"/>
  <c r="BJ118" i="3"/>
  <c r="P65" i="3"/>
  <c r="AF23" i="3"/>
  <c r="Y119" i="3"/>
  <c r="AL66" i="3"/>
  <c r="P21" i="3"/>
  <c r="G172" i="3"/>
  <c r="BL97" i="3"/>
  <c r="I46" i="3"/>
  <c r="AN10" i="3"/>
  <c r="AO104" i="3"/>
  <c r="AY39" i="3"/>
  <c r="AI169" i="3"/>
  <c r="AC84" i="3"/>
  <c r="BA26" i="3"/>
  <c r="AG135" i="3"/>
  <c r="I64" i="3"/>
  <c r="AC15" i="3"/>
  <c r="M106" i="3"/>
  <c r="AP40" i="3"/>
  <c r="BF167" i="3"/>
  <c r="AL144" i="3"/>
  <c r="AQ99" i="3"/>
  <c r="W97" i="3"/>
  <c r="BJ76" i="3"/>
  <c r="AQ9" i="3"/>
  <c r="AE73" i="3"/>
  <c r="BA7" i="3"/>
  <c r="N63" i="3"/>
  <c r="O4" i="3"/>
  <c r="AL56" i="3"/>
  <c r="AP52" i="3"/>
  <c r="S66" i="3"/>
  <c r="AN101" i="3"/>
  <c r="AM188" i="3"/>
  <c r="BC36" i="3"/>
  <c r="AN31" i="3"/>
  <c r="N82" i="3"/>
  <c r="AF70" i="3"/>
  <c r="Q37" i="3"/>
  <c r="AU119" i="3"/>
  <c r="X191" i="3"/>
  <c r="U173" i="3"/>
  <c r="H163" i="3"/>
  <c r="X84" i="3"/>
  <c r="N71" i="3"/>
  <c r="AC67" i="3"/>
  <c r="O68" i="3"/>
  <c r="Q74" i="3"/>
  <c r="AM180" i="3"/>
  <c r="L18" i="3"/>
  <c r="BI33" i="3"/>
  <c r="I108" i="3"/>
  <c r="AU86" i="3"/>
  <c r="L65" i="3"/>
  <c r="AC36" i="3"/>
  <c r="W29" i="3"/>
  <c r="BC136" i="3"/>
  <c r="L99" i="3"/>
  <c r="AV20" i="3"/>
  <c r="BK27" i="3"/>
  <c r="AU34" i="3"/>
  <c r="AX83" i="3"/>
  <c r="F63" i="3"/>
  <c r="F97" i="3"/>
  <c r="X192" i="3"/>
  <c r="BD164" i="3"/>
  <c r="O185" i="3"/>
  <c r="BH163" i="3"/>
  <c r="AW181" i="3"/>
  <c r="AH160" i="3"/>
  <c r="BF180" i="3"/>
  <c r="G150" i="3"/>
  <c r="AA179" i="3"/>
  <c r="U153" i="3"/>
  <c r="V173" i="3"/>
  <c r="Y147" i="3"/>
  <c r="U172" i="3"/>
  <c r="AP153" i="3"/>
  <c r="AG190" i="3"/>
  <c r="U181" i="3"/>
  <c r="AA176" i="3"/>
  <c r="AG143" i="3"/>
  <c r="BE181" i="3"/>
  <c r="BK147" i="3"/>
  <c r="BG177" i="3"/>
  <c r="P158" i="3"/>
  <c r="AI131" i="3"/>
  <c r="R165" i="3"/>
  <c r="I136" i="3"/>
  <c r="V171" i="3"/>
  <c r="AV131" i="3"/>
  <c r="AE120" i="3"/>
  <c r="BF154" i="3"/>
  <c r="BJ124" i="3"/>
  <c r="BA144" i="3"/>
  <c r="N119" i="3"/>
  <c r="T152" i="3"/>
  <c r="BK136" i="3"/>
  <c r="AE183" i="3"/>
  <c r="V135" i="3"/>
  <c r="Z106" i="3"/>
  <c r="P80" i="3"/>
  <c r="AW57" i="3"/>
  <c r="BH164" i="3"/>
  <c r="BA120" i="3"/>
  <c r="J97" i="3"/>
  <c r="BK74" i="3"/>
  <c r="BK62" i="3"/>
  <c r="AJ177" i="3"/>
  <c r="I113" i="3"/>
  <c r="I89" i="3"/>
  <c r="BJ54" i="3"/>
  <c r="T187" i="3"/>
  <c r="AC118" i="3"/>
  <c r="AG92" i="3"/>
  <c r="K56" i="3"/>
  <c r="AF120" i="3"/>
  <c r="L75" i="3"/>
  <c r="R35" i="3"/>
  <c r="AV140" i="3"/>
  <c r="L92" i="3"/>
  <c r="AN50" i="3"/>
  <c r="AF28" i="3"/>
  <c r="Z146" i="3"/>
  <c r="N98" i="3"/>
  <c r="AS56" i="3"/>
  <c r="BM190" i="3"/>
  <c r="BJ112" i="3"/>
  <c r="AW71" i="3"/>
  <c r="J36" i="3"/>
  <c r="U166" i="3"/>
  <c r="AE98" i="3"/>
  <c r="BH46" i="3"/>
  <c r="R11" i="3"/>
  <c r="V118" i="3"/>
  <c r="BC64" i="3"/>
  <c r="H23" i="3"/>
  <c r="AB141" i="3"/>
  <c r="BL85" i="3"/>
  <c r="K35" i="3"/>
  <c r="M168" i="3"/>
  <c r="AF97" i="3"/>
  <c r="BB45" i="3"/>
  <c r="BC7" i="3"/>
  <c r="AK103" i="3"/>
  <c r="S39" i="3"/>
  <c r="AZ168" i="3"/>
  <c r="BB83" i="3"/>
  <c r="Y26" i="3"/>
  <c r="AR134" i="3"/>
  <c r="AP63" i="3"/>
  <c r="AT14" i="3"/>
  <c r="AO105" i="3"/>
  <c r="N40" i="3"/>
  <c r="AA166" i="3"/>
  <c r="Q143" i="3"/>
  <c r="BF174" i="3"/>
  <c r="BC148" i="3"/>
  <c r="N47" i="3"/>
  <c r="BB151" i="3"/>
  <c r="AC44" i="3"/>
  <c r="AY133" i="3"/>
  <c r="Z40" i="3"/>
  <c r="AP115" i="3"/>
  <c r="AZ29" i="3"/>
  <c r="M30" i="3"/>
  <c r="AH95" i="3"/>
  <c r="V15" i="3"/>
  <c r="Q97" i="3"/>
  <c r="BI16" i="3"/>
  <c r="BH138" i="3"/>
  <c r="AA11" i="3"/>
  <c r="BB6" i="3"/>
  <c r="BF125" i="3"/>
  <c r="AX107" i="3"/>
  <c r="U185" i="3"/>
  <c r="AU141" i="3"/>
  <c r="BF159" i="3"/>
  <c r="N81" i="3"/>
  <c r="BG65" i="3"/>
  <c r="BI64" i="3"/>
  <c r="G8" i="3"/>
  <c r="BM131" i="3"/>
  <c r="AX160" i="3"/>
  <c r="Q36" i="3"/>
  <c r="BM69" i="3"/>
  <c r="J42" i="3"/>
  <c r="AQ80" i="3"/>
  <c r="BE100" i="3"/>
  <c r="AH184" i="3"/>
  <c r="AW84" i="3"/>
  <c r="AW30" i="3"/>
  <c r="AR61" i="3"/>
  <c r="AP15" i="3"/>
  <c r="BF52" i="3"/>
  <c r="W73" i="3"/>
  <c r="H144" i="3"/>
  <c r="AW114" i="3"/>
  <c r="F19" i="3"/>
  <c r="F37" i="3"/>
  <c r="AO189" i="3"/>
  <c r="I191" i="3"/>
  <c r="H191" i="3"/>
  <c r="BG186" i="3"/>
  <c r="BD176" i="3"/>
  <c r="BI163" i="3"/>
  <c r="X150" i="3"/>
  <c r="R184" i="3"/>
  <c r="O172" i="3"/>
  <c r="O160" i="3"/>
  <c r="AV149" i="3"/>
  <c r="BB180" i="3"/>
  <c r="BB168" i="3"/>
  <c r="AM159" i="3"/>
  <c r="O192" i="3"/>
  <c r="M176" i="3"/>
  <c r="AY164" i="3"/>
  <c r="AS148" i="3"/>
  <c r="S190" i="3"/>
  <c r="BM177" i="3"/>
  <c r="AA164" i="3"/>
  <c r="AR148" i="3"/>
  <c r="Y186" i="3"/>
  <c r="R172" i="3"/>
  <c r="T158" i="3"/>
  <c r="J146" i="3"/>
  <c r="BE183" i="3"/>
  <c r="W167" i="3"/>
  <c r="Z152" i="3"/>
  <c r="AP185" i="3"/>
  <c r="P184" i="3"/>
  <c r="AK170" i="3"/>
  <c r="AL179" i="3"/>
  <c r="W191" i="3"/>
  <c r="BE174" i="3"/>
  <c r="AY154" i="3"/>
  <c r="AQ138" i="3"/>
  <c r="G129" i="3"/>
  <c r="S180" i="3"/>
  <c r="BG160" i="3"/>
  <c r="BD146" i="3"/>
  <c r="AE132" i="3"/>
  <c r="AD172" i="3"/>
  <c r="BM156" i="3"/>
  <c r="BK139" i="3"/>
  <c r="BC127" i="3"/>
  <c r="BB182" i="3"/>
  <c r="BE163" i="3"/>
  <c r="T145" i="3"/>
  <c r="N135" i="3"/>
  <c r="BL191" i="3"/>
  <c r="Z163" i="3"/>
  <c r="AS146" i="3"/>
  <c r="R130" i="3"/>
  <c r="BB115" i="3"/>
  <c r="W177" i="3"/>
  <c r="W153" i="3"/>
  <c r="BF135" i="3"/>
  <c r="BF123" i="3"/>
  <c r="AU186" i="3"/>
  <c r="BD161" i="3"/>
  <c r="AC143" i="3"/>
  <c r="H128" i="3"/>
  <c r="AK114" i="3"/>
  <c r="H174" i="3"/>
  <c r="AI149" i="3"/>
  <c r="AA132" i="3"/>
  <c r="BK121" i="3"/>
  <c r="AL180" i="3"/>
  <c r="U149" i="3"/>
  <c r="AF133" i="3"/>
  <c r="BE115" i="3"/>
  <c r="Z102" i="3"/>
  <c r="P92" i="3"/>
  <c r="X78" i="3"/>
  <c r="X66" i="3"/>
  <c r="BB56" i="3"/>
  <c r="BI185" i="3"/>
  <c r="AU157" i="3"/>
  <c r="L137" i="3"/>
  <c r="R119" i="3"/>
  <c r="AD105" i="3"/>
  <c r="O96" i="3"/>
  <c r="O84" i="3"/>
  <c r="R71" i="3"/>
  <c r="AV61" i="3"/>
  <c r="AV49" i="3"/>
  <c r="BK166" i="3"/>
  <c r="AB145" i="3"/>
  <c r="AS124" i="3"/>
  <c r="AC109" i="3"/>
  <c r="N100" i="3"/>
  <c r="N88" i="3"/>
  <c r="Q75" i="3"/>
  <c r="AU65" i="3"/>
  <c r="AU53" i="3"/>
  <c r="AI177" i="3"/>
  <c r="AJ152" i="3"/>
  <c r="BD129" i="3"/>
  <c r="BA112" i="3"/>
  <c r="AL103" i="3"/>
  <c r="AL91" i="3"/>
  <c r="AO78" i="3"/>
  <c r="K68" i="3"/>
  <c r="P55" i="3"/>
  <c r="AV166" i="3"/>
  <c r="AW140" i="3"/>
  <c r="AJ118" i="3"/>
  <c r="T101" i="3"/>
  <c r="AN89" i="3"/>
  <c r="AX73" i="3"/>
  <c r="AK58" i="3"/>
  <c r="BM46" i="3"/>
  <c r="W34" i="3"/>
  <c r="AQ22" i="3"/>
  <c r="P163" i="3"/>
  <c r="AW133" i="3"/>
  <c r="AR116" i="3"/>
  <c r="AQ101" i="3"/>
  <c r="AU90" i="3"/>
  <c r="AI75" i="3"/>
  <c r="BC63" i="3"/>
  <c r="AK49" i="3"/>
  <c r="BJ38" i="3"/>
  <c r="AK27" i="3"/>
  <c r="AB178" i="3"/>
  <c r="AC144" i="3"/>
  <c r="L122" i="3"/>
  <c r="AA108" i="3"/>
  <c r="AT93" i="3"/>
  <c r="V82" i="3"/>
  <c r="BC66" i="3"/>
  <c r="AH55" i="3"/>
  <c r="W42" i="3"/>
  <c r="AJ31" i="3"/>
  <c r="BL183" i="3"/>
  <c r="AS150" i="3"/>
  <c r="L126" i="3"/>
  <c r="AY111" i="3"/>
  <c r="AG97" i="3"/>
  <c r="AW82" i="3"/>
  <c r="N70" i="3"/>
  <c r="BI55" i="3"/>
  <c r="G45" i="3"/>
  <c r="AX32" i="3"/>
  <c r="BC23" i="3"/>
  <c r="AB163" i="3"/>
  <c r="AA138" i="3"/>
  <c r="Q111" i="3"/>
  <c r="I96" i="3"/>
  <c r="BC76" i="3"/>
  <c r="Y63" i="3"/>
  <c r="BE45" i="3"/>
  <c r="R30" i="3"/>
  <c r="R19" i="3"/>
  <c r="BF7" i="3"/>
  <c r="I172" i="3"/>
  <c r="BE137" i="3"/>
  <c r="BM114" i="3"/>
  <c r="H96" i="3"/>
  <c r="BA82" i="3"/>
  <c r="X63" i="3"/>
  <c r="J48" i="3"/>
  <c r="U33" i="3"/>
  <c r="AO21" i="3"/>
  <c r="V10" i="3"/>
  <c r="Q168" i="3"/>
  <c r="J139" i="3"/>
  <c r="AU111" i="3"/>
  <c r="BM97" i="3"/>
  <c r="BL80" i="3"/>
  <c r="AX64" i="3"/>
  <c r="AH46" i="3"/>
  <c r="AR33" i="3"/>
  <c r="BD19" i="3"/>
  <c r="U10" i="3"/>
  <c r="J163" i="3"/>
  <c r="AH133" i="3"/>
  <c r="AA109" i="3"/>
  <c r="BJ91" i="3"/>
  <c r="AV76" i="3"/>
  <c r="O58" i="3"/>
  <c r="S44" i="3"/>
  <c r="AW28" i="3"/>
  <c r="T18" i="3"/>
  <c r="BH6" i="3"/>
  <c r="L161" i="3"/>
  <c r="BJ121" i="3"/>
  <c r="Z101" i="3"/>
  <c r="AL76" i="3"/>
  <c r="AL57" i="3"/>
  <c r="BI37" i="3"/>
  <c r="AQ19" i="3"/>
  <c r="V8" i="3"/>
  <c r="AO151" i="3"/>
  <c r="S123" i="3"/>
  <c r="AI99" i="3"/>
  <c r="H82" i="3"/>
  <c r="AK57" i="3"/>
  <c r="AA43" i="3"/>
  <c r="AL24" i="3"/>
  <c r="AC12" i="3"/>
  <c r="BK164" i="3"/>
  <c r="AE131" i="3"/>
  <c r="AA103" i="3"/>
  <c r="X80" i="3"/>
  <c r="Y61" i="3"/>
  <c r="AQ40" i="3"/>
  <c r="X26" i="3"/>
  <c r="AH10" i="3"/>
  <c r="AG169" i="3"/>
  <c r="AJ124" i="3"/>
  <c r="BH102" i="3"/>
  <c r="G78" i="3"/>
  <c r="U60" i="3"/>
  <c r="AX38" i="3"/>
  <c r="AJ24" i="3"/>
  <c r="AQ8" i="3"/>
  <c r="AR149" i="3"/>
  <c r="AK112" i="3"/>
  <c r="V84" i="3"/>
  <c r="L140" i="3"/>
  <c r="AP178" i="3"/>
  <c r="BL126" i="3"/>
  <c r="O171" i="3"/>
  <c r="J127" i="3"/>
  <c r="O93" i="3"/>
  <c r="G144" i="3"/>
  <c r="AY96" i="3"/>
  <c r="AF73" i="3"/>
  <c r="AD44" i="3"/>
  <c r="AI22" i="3"/>
  <c r="BB7" i="3"/>
  <c r="AW131" i="3"/>
  <c r="AB94" i="3"/>
  <c r="AT64" i="3"/>
  <c r="AM42" i="3"/>
  <c r="BB19" i="3"/>
  <c r="AL5" i="3"/>
  <c r="N130" i="3"/>
  <c r="BB90" i="3"/>
  <c r="AB59" i="3"/>
  <c r="AT38" i="3"/>
  <c r="AL16" i="3"/>
  <c r="AI167" i="3"/>
  <c r="AR112" i="3"/>
  <c r="BH77" i="3"/>
  <c r="BD52" i="3"/>
  <c r="AI21" i="3"/>
  <c r="R4" i="3"/>
  <c r="AI26" i="3"/>
  <c r="AM145" i="3"/>
  <c r="X92" i="3"/>
  <c r="J63" i="3"/>
  <c r="BM32" i="3"/>
  <c r="AW13" i="3"/>
  <c r="BG73" i="3"/>
  <c r="AF139" i="3"/>
  <c r="BF94" i="3"/>
  <c r="BM57" i="3"/>
  <c r="M34" i="3"/>
  <c r="AC10" i="3"/>
  <c r="BE89" i="3"/>
  <c r="T15" i="3"/>
  <c r="BL131" i="3"/>
  <c r="AY77" i="3"/>
  <c r="BC42" i="3"/>
  <c r="AN9" i="3"/>
  <c r="AJ60" i="3"/>
  <c r="AI77" i="3"/>
  <c r="BG112" i="3"/>
  <c r="Z27" i="3"/>
  <c r="AP39" i="3"/>
  <c r="AX94" i="3"/>
  <c r="BE159" i="3"/>
  <c r="W185" i="3"/>
  <c r="AV104" i="3"/>
  <c r="AC58" i="3"/>
  <c r="BB22" i="3"/>
  <c r="AF127" i="3"/>
  <c r="AQ25" i="3"/>
  <c r="AF107" i="3"/>
  <c r="AL119" i="3"/>
  <c r="AI12" i="3"/>
  <c r="P68" i="3"/>
  <c r="BK96" i="3"/>
  <c r="AE124" i="3"/>
  <c r="AZ122" i="3"/>
  <c r="AK77" i="3"/>
  <c r="AR36" i="3"/>
  <c r="AI14" i="3"/>
  <c r="Z50" i="3"/>
  <c r="W105" i="3"/>
  <c r="AF158" i="3"/>
  <c r="H50" i="3"/>
  <c r="Q78" i="3"/>
  <c r="X116" i="3"/>
  <c r="S58" i="3"/>
  <c r="W107" i="3"/>
  <c r="V124" i="3"/>
  <c r="BF49" i="3"/>
  <c r="AT12" i="3"/>
  <c r="AX125" i="3"/>
  <c r="AZ104" i="3"/>
  <c r="Q12" i="3"/>
  <c r="J19" i="3"/>
  <c r="AM174" i="3"/>
  <c r="BB136" i="3"/>
  <c r="Z55" i="3"/>
  <c r="AM76" i="3"/>
  <c r="AC90" i="3"/>
  <c r="AH27" i="3"/>
  <c r="AA90" i="3"/>
  <c r="X52" i="3"/>
  <c r="J67" i="3"/>
  <c r="BC24" i="3"/>
  <c r="AL21" i="3"/>
  <c r="AP87" i="3"/>
  <c r="BD42" i="3"/>
  <c r="AT105" i="3"/>
  <c r="AO164" i="3"/>
  <c r="AN85" i="3"/>
  <c r="AY21" i="3"/>
  <c r="L67" i="3"/>
  <c r="AS7" i="3"/>
  <c r="T19" i="3"/>
  <c r="J135" i="3"/>
  <c r="AD99" i="3"/>
  <c r="H58" i="3"/>
  <c r="AC32" i="3"/>
  <c r="AN190" i="3"/>
  <c r="U81" i="3"/>
  <c r="AC100" i="3"/>
  <c r="K154" i="3"/>
  <c r="O25" i="3"/>
  <c r="AM14" i="3"/>
  <c r="AA24" i="3"/>
  <c r="AQ20" i="3"/>
  <c r="BE33" i="3"/>
  <c r="BF21" i="3"/>
  <c r="L154" i="3"/>
  <c r="AW108" i="3"/>
  <c r="BA159" i="3"/>
  <c r="AT35" i="3"/>
  <c r="AN114" i="3"/>
  <c r="AX44" i="3"/>
  <c r="F24" i="3"/>
  <c r="F153" i="3"/>
  <c r="F187" i="3"/>
  <c r="F67" i="3"/>
  <c r="F78" i="3"/>
  <c r="F119" i="3"/>
  <c r="AU91" i="3"/>
  <c r="BI46" i="3"/>
  <c r="AX119" i="3"/>
  <c r="AI63" i="3"/>
  <c r="AS80" i="3"/>
  <c r="N20" i="3"/>
  <c r="T128" i="3"/>
  <c r="AT80" i="3"/>
  <c r="AF5" i="3"/>
  <c r="AX50" i="3"/>
  <c r="X124" i="3"/>
  <c r="AW146" i="3"/>
  <c r="AU15" i="3"/>
  <c r="K9" i="3"/>
  <c r="AP96" i="3"/>
  <c r="X33" i="3"/>
  <c r="F161" i="3"/>
  <c r="F33" i="3"/>
  <c r="AC187" i="3"/>
  <c r="AT162" i="3"/>
  <c r="T171" i="3"/>
  <c r="BG179" i="3"/>
  <c r="BA190" i="3"/>
  <c r="AA147" i="3"/>
  <c r="BK162" i="3"/>
  <c r="K171" i="3"/>
  <c r="L182" i="3"/>
  <c r="T184" i="3"/>
  <c r="AC178" i="3"/>
  <c r="AJ153" i="3"/>
  <c r="BB178" i="3"/>
  <c r="U191" i="3"/>
  <c r="Y150" i="3"/>
  <c r="Y177" i="3"/>
  <c r="J144" i="3"/>
  <c r="H188" i="3"/>
  <c r="O129" i="3"/>
  <c r="AU169" i="3"/>
  <c r="J120" i="3"/>
  <c r="I184" i="3"/>
  <c r="AT126" i="3"/>
  <c r="AP146" i="3"/>
  <c r="AL177" i="3"/>
  <c r="V114" i="3"/>
  <c r="I77" i="3"/>
  <c r="I65" i="3"/>
  <c r="BM153" i="3"/>
  <c r="G118" i="3"/>
  <c r="T83" i="3"/>
  <c r="BA48" i="3"/>
  <c r="Y123" i="3"/>
  <c r="S87" i="3"/>
  <c r="AZ52" i="3"/>
  <c r="AQ127" i="3"/>
  <c r="AQ90" i="3"/>
  <c r="Z77" i="3"/>
  <c r="AA163" i="3"/>
  <c r="I100" i="3"/>
  <c r="AH57" i="3"/>
  <c r="AB21" i="3"/>
  <c r="Q115" i="3"/>
  <c r="AB74" i="3"/>
  <c r="AK35" i="3"/>
  <c r="BG141" i="3"/>
  <c r="AM92" i="3"/>
  <c r="AA54" i="3"/>
  <c r="AT177" i="3"/>
  <c r="AQ124" i="3"/>
  <c r="BK95" i="3"/>
  <c r="AX54" i="3"/>
  <c r="BH22" i="3"/>
  <c r="AH109" i="3"/>
  <c r="BG57" i="3"/>
  <c r="N29" i="3"/>
  <c r="Q169" i="3"/>
  <c r="AV94" i="3"/>
  <c r="BJ43" i="3"/>
  <c r="G9" i="3"/>
  <c r="AB110" i="3"/>
  <c r="W63" i="3"/>
  <c r="BI18" i="3"/>
  <c r="AK107" i="3"/>
  <c r="BH56" i="3"/>
  <c r="N27" i="3"/>
  <c r="BM5" i="3"/>
  <c r="AJ94" i="3"/>
  <c r="AK36" i="3"/>
  <c r="N148" i="3"/>
  <c r="AW78" i="3"/>
  <c r="AR22" i="3"/>
  <c r="AH122" i="3"/>
  <c r="AR77" i="3"/>
  <c r="M39" i="3"/>
  <c r="BJ164" i="3"/>
  <c r="BH75" i="3"/>
  <c r="L19" i="3"/>
  <c r="AZ109" i="3"/>
  <c r="AA131" i="3"/>
  <c r="AT165" i="3"/>
  <c r="G126" i="3"/>
  <c r="AN42" i="3"/>
  <c r="R128" i="3"/>
  <c r="BI39" i="3"/>
  <c r="T119" i="3"/>
  <c r="BM31" i="3"/>
  <c r="AK74" i="3"/>
  <c r="AB133" i="3"/>
  <c r="BG89" i="3"/>
  <c r="U7" i="3"/>
  <c r="O91" i="3"/>
  <c r="BK8" i="3"/>
  <c r="BL115" i="3"/>
  <c r="BM6" i="3"/>
  <c r="BM96" i="3"/>
  <c r="BL81" i="3"/>
  <c r="AA101" i="3"/>
  <c r="N17" i="3"/>
  <c r="BA6" i="3"/>
  <c r="G109" i="3"/>
  <c r="AH33" i="3"/>
  <c r="AW63" i="3"/>
  <c r="N110" i="3"/>
  <c r="AS118" i="3"/>
  <c r="T89" i="3"/>
  <c r="J111" i="3"/>
  <c r="V61" i="3"/>
  <c r="T36" i="3"/>
  <c r="L45" i="3"/>
  <c r="R77" i="3"/>
  <c r="BG172" i="3"/>
  <c r="Q46" i="3"/>
  <c r="AC19" i="3"/>
  <c r="BH9" i="3"/>
  <c r="AH82" i="3"/>
  <c r="BL101" i="3"/>
  <c r="F101" i="3"/>
  <c r="AY187" i="3"/>
  <c r="AJ172" i="3"/>
  <c r="BM170" i="3"/>
  <c r="AM167" i="3"/>
  <c r="AZ174" i="3"/>
  <c r="W173" i="3"/>
  <c r="BB170" i="3"/>
  <c r="Q165" i="3"/>
  <c r="BA192" i="3"/>
  <c r="AR152" i="3"/>
  <c r="G159" i="3"/>
  <c r="BL149" i="3"/>
  <c r="AT161" i="3"/>
  <c r="X161" i="3"/>
  <c r="L169" i="3"/>
  <c r="AG183" i="3"/>
  <c r="V113" i="3"/>
  <c r="AT116" i="3"/>
  <c r="BG113" i="3"/>
  <c r="BB64" i="3"/>
  <c r="BA130" i="3"/>
  <c r="BM82" i="3"/>
  <c r="AI163" i="3"/>
  <c r="N96" i="3"/>
  <c r="AZ173" i="3"/>
  <c r="AL99" i="3"/>
  <c r="AT53" i="3"/>
  <c r="AX99" i="3"/>
  <c r="BM42" i="3"/>
  <c r="AG130" i="3"/>
  <c r="AS73" i="3"/>
  <c r="V26" i="3"/>
  <c r="AH106" i="3"/>
  <c r="AM50" i="3"/>
  <c r="L141" i="3"/>
  <c r="Q81" i="3"/>
  <c r="AI31" i="3"/>
  <c r="AM108" i="3"/>
  <c r="BK43" i="3"/>
  <c r="R168" i="3"/>
  <c r="AY75" i="3"/>
  <c r="AU17" i="3"/>
  <c r="BH109" i="3"/>
  <c r="AR44" i="3"/>
  <c r="AK159" i="3"/>
  <c r="AQ89" i="3"/>
  <c r="BC26" i="3"/>
  <c r="N143" i="3"/>
  <c r="S50" i="3"/>
  <c r="T147" i="3"/>
  <c r="U55" i="3"/>
  <c r="BK157" i="3"/>
  <c r="N59" i="3"/>
  <c r="AB151" i="3"/>
  <c r="AO53" i="3"/>
  <c r="W108" i="3"/>
  <c r="U110" i="3"/>
  <c r="K125" i="3"/>
  <c r="BG19" i="3"/>
  <c r="AW60" i="3"/>
  <c r="J118" i="3"/>
  <c r="N14" i="3"/>
  <c r="K47" i="3"/>
  <c r="BB116" i="3"/>
  <c r="AU6" i="3"/>
  <c r="K54" i="3"/>
  <c r="BJ9" i="3"/>
  <c r="O6" i="3"/>
  <c r="BH21" i="3"/>
  <c r="L100" i="3"/>
  <c r="BL15" i="3"/>
  <c r="AP56" i="3"/>
  <c r="H62" i="3"/>
  <c r="AA60" i="3"/>
  <c r="L109" i="3"/>
  <c r="AW44" i="3"/>
  <c r="S6" i="3"/>
  <c r="R10" i="3"/>
  <c r="N74" i="3"/>
  <c r="BD82" i="3"/>
  <c r="Z47" i="3"/>
  <c r="AY37" i="3"/>
  <c r="U45" i="3"/>
  <c r="BA103" i="3"/>
  <c r="AC52" i="3"/>
  <c r="AD174" i="3"/>
  <c r="M159" i="3"/>
  <c r="F93" i="3"/>
  <c r="F108" i="3"/>
  <c r="P185" i="3"/>
  <c r="BH179" i="3"/>
  <c r="S179" i="3"/>
  <c r="AC174" i="3"/>
  <c r="BM172" i="3"/>
  <c r="AE170" i="3"/>
  <c r="BA164" i="3"/>
  <c r="I192" i="3"/>
  <c r="K152" i="3"/>
  <c r="AX158" i="3"/>
  <c r="AK149" i="3"/>
  <c r="S161" i="3"/>
  <c r="J140" i="3"/>
  <c r="AM150" i="3"/>
  <c r="AK158" i="3"/>
  <c r="AL165" i="3"/>
  <c r="AE145" i="3"/>
  <c r="AO87" i="3"/>
  <c r="BM181" i="3"/>
  <c r="BH103" i="3"/>
  <c r="AB57" i="3"/>
  <c r="N122" i="3"/>
  <c r="AA73" i="3"/>
  <c r="I144" i="3"/>
  <c r="AV89" i="3"/>
  <c r="BK161" i="3"/>
  <c r="BJ83" i="3"/>
  <c r="AG32" i="3"/>
  <c r="W129" i="3"/>
  <c r="U73" i="3"/>
  <c r="AU25" i="3"/>
  <c r="J106" i="3"/>
  <c r="O50" i="3"/>
  <c r="AF140" i="3"/>
  <c r="BF80" i="3"/>
  <c r="O31" i="3"/>
  <c r="G108" i="3"/>
  <c r="AI43" i="3"/>
  <c r="AG160" i="3"/>
  <c r="W75" i="3"/>
  <c r="AA17" i="3"/>
  <c r="AF109" i="3"/>
  <c r="T44" i="3"/>
  <c r="AP124" i="3"/>
  <c r="BM55" i="3"/>
  <c r="Y5" i="3"/>
  <c r="N73" i="3"/>
  <c r="AB6" i="3"/>
  <c r="AS72" i="3"/>
  <c r="J7" i="3"/>
  <c r="BM75" i="3"/>
  <c r="P150" i="3"/>
  <c r="AH36" i="3"/>
  <c r="BC107" i="3"/>
  <c r="AT109" i="3"/>
  <c r="L120" i="3"/>
  <c r="AA19" i="3"/>
  <c r="AC59" i="3"/>
  <c r="G112" i="3"/>
  <c r="BB13" i="3"/>
  <c r="AE39" i="3"/>
  <c r="AO115" i="3"/>
  <c r="L6" i="3"/>
  <c r="AI53" i="3"/>
  <c r="BJ8" i="3"/>
  <c r="AY5" i="3"/>
  <c r="H15" i="3"/>
  <c r="N140" i="3"/>
  <c r="P103" i="3"/>
  <c r="BH174" i="3"/>
  <c r="K70" i="3"/>
  <c r="BK31" i="3"/>
  <c r="Q28" i="3"/>
  <c r="AY131" i="3"/>
  <c r="L108" i="3"/>
  <c r="AX86" i="3"/>
  <c r="X43" i="3"/>
  <c r="AC17" i="3"/>
  <c r="AH98" i="3"/>
  <c r="AQ51" i="3"/>
  <c r="Y36" i="3"/>
  <c r="T16" i="3"/>
  <c r="BL33" i="3"/>
  <c r="AU70" i="3"/>
  <c r="AS31" i="3"/>
  <c r="AP37" i="3"/>
  <c r="AJ62" i="3"/>
  <c r="BD16" i="3"/>
  <c r="AX118" i="3"/>
  <c r="G76" i="3"/>
  <c r="F173" i="3"/>
  <c r="F15" i="3"/>
  <c r="BI184" i="3"/>
  <c r="AN179" i="3"/>
  <c r="BL178" i="3"/>
  <c r="AU173" i="3"/>
  <c r="AP172" i="3"/>
  <c r="H170" i="3"/>
  <c r="X164" i="3"/>
  <c r="AO191" i="3"/>
  <c r="AW151" i="3"/>
  <c r="Q158" i="3"/>
  <c r="J149" i="3"/>
  <c r="AW175" i="3"/>
  <c r="H186" i="3"/>
  <c r="M128" i="3"/>
  <c r="N133" i="3"/>
  <c r="BL136" i="3"/>
  <c r="R145" i="3"/>
  <c r="BD144" i="3"/>
  <c r="U87" i="3"/>
  <c r="G181" i="3"/>
  <c r="AN103" i="3"/>
  <c r="H69" i="3"/>
  <c r="S136" i="3"/>
  <c r="X86" i="3"/>
  <c r="AU171" i="3"/>
  <c r="BK98" i="3"/>
  <c r="AY52" i="3"/>
  <c r="AN98" i="3"/>
  <c r="Y42" i="3"/>
  <c r="BK128" i="3"/>
  <c r="BJ72" i="3"/>
  <c r="AA25" i="3"/>
  <c r="BJ75" i="3"/>
  <c r="BI26" i="3"/>
  <c r="BA94" i="3"/>
  <c r="BC39" i="3"/>
  <c r="AD127" i="3"/>
  <c r="AI56" i="3"/>
  <c r="AV5" i="3"/>
  <c r="Z93" i="3"/>
  <c r="AS30" i="3"/>
  <c r="AT128" i="3"/>
  <c r="BA57" i="3"/>
  <c r="Z5" i="3"/>
  <c r="AR88" i="3"/>
  <c r="G26" i="3"/>
  <c r="AF116" i="3"/>
  <c r="K34" i="3"/>
  <c r="AB112" i="3"/>
  <c r="AG35" i="3"/>
  <c r="BE119" i="3"/>
  <c r="BG37" i="3"/>
  <c r="AZ119" i="3"/>
  <c r="AE35" i="3"/>
  <c r="BE101" i="3"/>
  <c r="U108" i="3"/>
  <c r="V119" i="3"/>
  <c r="BL18" i="3"/>
  <c r="AT58" i="3"/>
  <c r="X111" i="3"/>
  <c r="V13" i="3"/>
  <c r="BB38" i="3"/>
  <c r="AU114" i="3"/>
  <c r="BD5" i="3"/>
  <c r="AT52" i="3"/>
  <c r="AX7" i="3"/>
  <c r="X4" i="3"/>
  <c r="W12" i="3"/>
  <c r="N85" i="3"/>
  <c r="AK12" i="3"/>
  <c r="L30" i="3"/>
  <c r="H31" i="3"/>
  <c r="Q189" i="3"/>
  <c r="BK81" i="3"/>
  <c r="T64" i="3"/>
  <c r="AD95" i="3"/>
  <c r="L63" i="3"/>
  <c r="BA182" i="3"/>
  <c r="AK82" i="3"/>
  <c r="AG15" i="3"/>
  <c r="AF31" i="3"/>
  <c r="AX129" i="3"/>
  <c r="AT144" i="3"/>
  <c r="AO89" i="3"/>
  <c r="BK57" i="3"/>
  <c r="F180" i="3"/>
  <c r="BF191" i="3"/>
  <c r="T192" i="3"/>
  <c r="AX157" i="3"/>
  <c r="AR166" i="3"/>
  <c r="X173" i="3"/>
  <c r="AY186" i="3"/>
  <c r="AD180" i="3"/>
  <c r="O141" i="3"/>
  <c r="M146" i="3"/>
  <c r="AF190" i="3"/>
  <c r="BA165" i="3"/>
  <c r="L124" i="3"/>
  <c r="U140" i="3"/>
  <c r="AW148" i="3"/>
  <c r="P175" i="3"/>
  <c r="S130" i="3"/>
  <c r="W139" i="3"/>
  <c r="BB144" i="3"/>
  <c r="AV174" i="3"/>
  <c r="AM122" i="3"/>
  <c r="T141" i="3"/>
  <c r="AZ167" i="3"/>
  <c r="AY109" i="3"/>
  <c r="I73" i="3"/>
  <c r="BB173" i="3"/>
  <c r="AI112" i="3"/>
  <c r="W78" i="3"/>
  <c r="AP186" i="3"/>
  <c r="AD118" i="3"/>
  <c r="S83" i="3"/>
  <c r="V170" i="3"/>
  <c r="AQ110" i="3"/>
  <c r="BD75" i="3"/>
  <c r="AO158" i="3"/>
  <c r="P98" i="3"/>
  <c r="BA40" i="3"/>
  <c r="BC147" i="3"/>
  <c r="AM98" i="3"/>
  <c r="L58" i="3"/>
  <c r="G25" i="3"/>
  <c r="AH118" i="3"/>
  <c r="AH75" i="3"/>
  <c r="BI38" i="3"/>
  <c r="Z139" i="3"/>
  <c r="AA91" i="3"/>
  <c r="BH52" i="3"/>
  <c r="I156" i="3"/>
  <c r="R89" i="3"/>
  <c r="AL38" i="3"/>
  <c r="AB5" i="3"/>
  <c r="K107" i="3"/>
  <c r="L59" i="3"/>
  <c r="AZ16" i="3"/>
  <c r="AK108" i="3"/>
  <c r="AG43" i="3"/>
  <c r="AY4" i="3"/>
  <c r="G102" i="3"/>
  <c r="AH54" i="3"/>
  <c r="AS13" i="3"/>
  <c r="BI115" i="3"/>
  <c r="BD48" i="3"/>
  <c r="AJ188" i="3"/>
  <c r="AI94" i="3"/>
  <c r="AL34" i="3"/>
  <c r="AZ153" i="3"/>
  <c r="AT74" i="3"/>
  <c r="M19" i="3"/>
  <c r="H119" i="3"/>
  <c r="AJ34" i="3"/>
  <c r="H135" i="3"/>
  <c r="AI116" i="3"/>
  <c r="AV156" i="3"/>
  <c r="L118" i="3"/>
  <c r="BE34" i="3"/>
  <c r="H114" i="3"/>
  <c r="K33" i="3"/>
  <c r="AJ110" i="3"/>
  <c r="BB29" i="3"/>
  <c r="Q98" i="3"/>
  <c r="BJ15" i="3"/>
  <c r="AD113" i="3"/>
  <c r="H27" i="3"/>
  <c r="AU51" i="3"/>
  <c r="AE49" i="3"/>
  <c r="AX67" i="3"/>
  <c r="L21" i="3"/>
  <c r="AP141" i="3"/>
  <c r="W116" i="3"/>
  <c r="BB42" i="3"/>
  <c r="M10" i="3"/>
  <c r="Z148" i="3"/>
  <c r="L114" i="3"/>
  <c r="BM4" i="3"/>
  <c r="AB121" i="3"/>
  <c r="O105" i="3"/>
  <c r="AE92" i="3"/>
  <c r="AS60" i="3"/>
  <c r="L90" i="3"/>
  <c r="BM168" i="3"/>
  <c r="AK28" i="3"/>
  <c r="BE172" i="3"/>
  <c r="BM76" i="3"/>
  <c r="AZ49" i="3"/>
  <c r="U94" i="3"/>
  <c r="AL30" i="3"/>
  <c r="BM77" i="3"/>
  <c r="BJ57" i="3"/>
  <c r="H55" i="3"/>
  <c r="BG84" i="3"/>
  <c r="BE52" i="3"/>
  <c r="F164" i="3"/>
  <c r="F34" i="3"/>
  <c r="AI191" i="3"/>
  <c r="AY157" i="3"/>
  <c r="BM166" i="3"/>
  <c r="AM175" i="3"/>
  <c r="AF184" i="3"/>
  <c r="G143" i="3"/>
  <c r="BM157" i="3"/>
  <c r="L166" i="3"/>
  <c r="BM175" i="3"/>
  <c r="AR177" i="3"/>
  <c r="AY171" i="3"/>
  <c r="O147" i="3"/>
  <c r="AE172" i="3"/>
  <c r="V182" i="3"/>
  <c r="AN134" i="3"/>
  <c r="BB174" i="3"/>
  <c r="BM141" i="3"/>
  <c r="AK178" i="3"/>
  <c r="BG138" i="3"/>
  <c r="X113" i="3"/>
  <c r="AG132" i="3"/>
  <c r="I174" i="3"/>
  <c r="P136" i="3"/>
  <c r="BC163" i="3"/>
  <c r="L129" i="3"/>
  <c r="AV143" i="3"/>
  <c r="AO99" i="3"/>
  <c r="AM63" i="3"/>
  <c r="AI150" i="3"/>
  <c r="BM102" i="3"/>
  <c r="AG68" i="3"/>
  <c r="BJ160" i="3"/>
  <c r="BL106" i="3"/>
  <c r="AF60" i="3"/>
  <c r="AL141" i="3"/>
  <c r="W98" i="3"/>
  <c r="AO62" i="3"/>
  <c r="BL128" i="3"/>
  <c r="AZ82" i="3"/>
  <c r="AG40" i="3"/>
  <c r="K147" i="3"/>
  <c r="O98" i="3"/>
  <c r="BE57" i="3"/>
  <c r="AP22" i="3"/>
  <c r="AQ116" i="3"/>
  <c r="J75" i="3"/>
  <c r="U26" i="3"/>
  <c r="AG118" i="3"/>
  <c r="AH78" i="3"/>
  <c r="O39" i="3"/>
  <c r="G154" i="3"/>
  <c r="AF93" i="3"/>
  <c r="Q34" i="3"/>
  <c r="BH47" i="3"/>
  <c r="BE36" i="3"/>
  <c r="AQ112" i="3"/>
  <c r="AV4" i="3"/>
  <c r="X76" i="3"/>
  <c r="K6" i="3"/>
  <c r="AY107" i="3"/>
  <c r="AP108" i="3"/>
  <c r="R78" i="3"/>
  <c r="AY112" i="3"/>
  <c r="AU16" i="3"/>
  <c r="S34" i="3"/>
  <c r="BI24" i="3"/>
  <c r="BL111" i="3"/>
  <c r="V4" i="3"/>
  <c r="L102" i="3"/>
  <c r="J17" i="3"/>
  <c r="Y64" i="3"/>
  <c r="BD140" i="3"/>
  <c r="AV88" i="3"/>
  <c r="AC16" i="3"/>
  <c r="BE140" i="3"/>
  <c r="AV24" i="3"/>
  <c r="BK168" i="3"/>
  <c r="AM4" i="3"/>
  <c r="R17" i="3"/>
  <c r="AR51" i="3"/>
  <c r="AH63" i="3"/>
  <c r="AF87" i="3"/>
  <c r="AV118" i="3"/>
  <c r="I25" i="3"/>
  <c r="F114" i="3"/>
  <c r="F100" i="3"/>
  <c r="AX184" i="3"/>
  <c r="AE157" i="3"/>
  <c r="J157" i="3"/>
  <c r="AW165" i="3"/>
  <c r="T172" i="3"/>
  <c r="AI171" i="3"/>
  <c r="AW179" i="3"/>
  <c r="AN140" i="3"/>
  <c r="AC145" i="3"/>
  <c r="BE188" i="3"/>
  <c r="BE146" i="3"/>
  <c r="AF171" i="3"/>
  <c r="BD181" i="3"/>
  <c r="T134" i="3"/>
  <c r="O154" i="3"/>
  <c r="X177" i="3"/>
  <c r="AJ123" i="3"/>
  <c r="AU131" i="3"/>
  <c r="S154" i="3"/>
  <c r="AW188" i="3"/>
  <c r="BD128" i="3"/>
  <c r="L143" i="3"/>
  <c r="U99" i="3"/>
  <c r="S63" i="3"/>
  <c r="BJ149" i="3"/>
  <c r="AS102" i="3"/>
  <c r="M68" i="3"/>
  <c r="Y159" i="3"/>
  <c r="AR106" i="3"/>
  <c r="L60" i="3"/>
  <c r="AL140" i="3"/>
  <c r="AV97" i="3"/>
  <c r="AY48" i="3"/>
  <c r="AN109" i="3"/>
  <c r="AG66" i="3"/>
  <c r="AG28" i="3"/>
  <c r="V127" i="3"/>
  <c r="BE83" i="3"/>
  <c r="AM43" i="3"/>
  <c r="AV133" i="3"/>
  <c r="BJ89" i="3"/>
  <c r="AW48" i="3"/>
  <c r="L138" i="3"/>
  <c r="Q90" i="3"/>
  <c r="H52" i="3"/>
  <c r="AD153" i="3"/>
  <c r="S88" i="3"/>
  <c r="BF37" i="3"/>
  <c r="BA4" i="3"/>
  <c r="Q106" i="3"/>
  <c r="H54" i="3"/>
  <c r="AZ4" i="3"/>
  <c r="J107" i="3"/>
  <c r="AC56" i="3"/>
  <c r="U14" i="3"/>
  <c r="AO121" i="3"/>
  <c r="O53" i="3"/>
  <c r="AX12" i="3"/>
  <c r="AR109" i="3"/>
  <c r="AO47" i="3"/>
  <c r="I183" i="3"/>
  <c r="BB69" i="3"/>
  <c r="BM16" i="3"/>
  <c r="AD116" i="3"/>
  <c r="BL51" i="3"/>
  <c r="AX6" i="3"/>
  <c r="H92" i="3"/>
  <c r="AM16" i="3"/>
  <c r="AO170" i="3"/>
  <c r="AM105" i="3"/>
  <c r="BD166" i="3"/>
  <c r="AX60" i="3"/>
  <c r="BE168" i="3"/>
  <c r="X55" i="3"/>
  <c r="W100" i="3"/>
  <c r="AT28" i="3"/>
  <c r="AK96" i="3"/>
  <c r="BC14" i="3"/>
  <c r="AI111" i="3"/>
  <c r="AT20" i="3"/>
  <c r="AN115" i="3"/>
  <c r="AT22" i="3"/>
  <c r="M187" i="3"/>
  <c r="X24" i="3"/>
  <c r="BL72" i="3"/>
  <c r="AT31" i="3"/>
  <c r="M82" i="3"/>
  <c r="V80" i="3"/>
  <c r="AJ43" i="3"/>
  <c r="BK53" i="3"/>
  <c r="AY57" i="3"/>
  <c r="BD158" i="3"/>
  <c r="AW156" i="3"/>
  <c r="AV15" i="3"/>
  <c r="AS35" i="3"/>
  <c r="AP86" i="3"/>
  <c r="AN73" i="3"/>
  <c r="AH15" i="3"/>
  <c r="BF136" i="3"/>
  <c r="AK126" i="3"/>
  <c r="Y156" i="3"/>
  <c r="W146" i="3"/>
  <c r="G14" i="3"/>
  <c r="P9" i="3"/>
  <c r="BI48" i="3"/>
  <c r="BM43" i="3"/>
  <c r="Y112" i="3"/>
  <c r="AV12" i="3"/>
  <c r="F115" i="3"/>
  <c r="F55" i="3"/>
  <c r="AD184" i="3"/>
  <c r="K157" i="3"/>
  <c r="Y166" i="3"/>
  <c r="BL174" i="3"/>
  <c r="AV183" i="3"/>
  <c r="M185" i="3"/>
  <c r="BI144" i="3"/>
  <c r="T153" i="3"/>
  <c r="W162" i="3"/>
  <c r="M179" i="3"/>
  <c r="AG146" i="3"/>
  <c r="AI170" i="3"/>
  <c r="S181" i="3"/>
  <c r="BM133" i="3"/>
  <c r="BH153" i="3"/>
  <c r="H158" i="3"/>
  <c r="BG191" i="3"/>
  <c r="X131" i="3"/>
  <c r="BD153" i="3"/>
  <c r="U187" i="3"/>
  <c r="AJ114" i="3"/>
  <c r="T124" i="3"/>
  <c r="AE85" i="3"/>
  <c r="BL50" i="3"/>
  <c r="Y183" i="3"/>
  <c r="BE47" i="3"/>
  <c r="AB85" i="3"/>
  <c r="BI127" i="3"/>
  <c r="I66" i="3"/>
  <c r="M28" i="3"/>
  <c r="O109" i="3"/>
  <c r="Z68" i="3"/>
  <c r="G33" i="3"/>
  <c r="AR115" i="3"/>
  <c r="AU62" i="3"/>
  <c r="Z25" i="3"/>
  <c r="J116" i="3"/>
  <c r="AW51" i="3"/>
  <c r="AT180" i="3"/>
  <c r="BA101" i="3"/>
  <c r="J26" i="3"/>
  <c r="Z153" i="3"/>
  <c r="AP72" i="3"/>
  <c r="BE15" i="3"/>
  <c r="BB124" i="3"/>
  <c r="S74" i="3"/>
  <c r="AT13" i="3"/>
  <c r="AK120" i="3"/>
  <c r="BL67" i="3"/>
  <c r="AO24" i="3"/>
  <c r="BK137" i="3"/>
  <c r="BG64" i="3"/>
  <c r="AE15" i="3"/>
  <c r="J110" i="3"/>
  <c r="G48" i="3"/>
  <c r="AO16" i="3"/>
  <c r="AG141" i="3"/>
  <c r="I92" i="3"/>
  <c r="T51" i="3"/>
  <c r="Z6" i="3"/>
  <c r="H110" i="3"/>
  <c r="BA49" i="3"/>
  <c r="O16" i="3"/>
  <c r="AU97" i="3"/>
  <c r="BI154" i="3"/>
  <c r="AU108" i="3"/>
  <c r="L82" i="3"/>
  <c r="AR16" i="3"/>
  <c r="BA78" i="3"/>
  <c r="AG11" i="3"/>
  <c r="AE75" i="3"/>
  <c r="X7" i="3"/>
  <c r="W68" i="3"/>
  <c r="T68" i="3"/>
  <c r="BI73" i="3"/>
  <c r="AV173" i="3"/>
  <c r="AI74" i="3"/>
  <c r="P5" i="3"/>
  <c r="AI105" i="3"/>
  <c r="N102" i="3"/>
  <c r="AE69" i="3"/>
  <c r="K30" i="3"/>
  <c r="AH70" i="3"/>
  <c r="AN69" i="3"/>
  <c r="X40" i="3"/>
  <c r="R48" i="3"/>
  <c r="BE56" i="3"/>
  <c r="AY156" i="3"/>
  <c r="AF154" i="3"/>
  <c r="BG11" i="3"/>
  <c r="AI34" i="3"/>
  <c r="AN160" i="3"/>
  <c r="BE32" i="3"/>
  <c r="M139" i="3"/>
  <c r="AF15" i="3"/>
  <c r="AZ62" i="3"/>
  <c r="T54" i="3"/>
  <c r="AM44" i="3"/>
  <c r="BI71" i="3"/>
  <c r="O12" i="3"/>
  <c r="BL176" i="3"/>
  <c r="AP45" i="3"/>
  <c r="AP89" i="3"/>
  <c r="AS92" i="3"/>
  <c r="BE14" i="3"/>
  <c r="F8" i="3"/>
  <c r="F111" i="3"/>
  <c r="J184" i="3"/>
  <c r="P180" i="3"/>
  <c r="Q187" i="3"/>
  <c r="BA152" i="3"/>
  <c r="AR162" i="3"/>
  <c r="X168" i="3"/>
  <c r="AL181" i="3"/>
  <c r="AW190" i="3"/>
  <c r="AU174" i="3"/>
  <c r="Y176" i="3"/>
  <c r="AJ170" i="3"/>
  <c r="AU145" i="3"/>
  <c r="Z150" i="3"/>
  <c r="T161" i="3"/>
  <c r="K188" i="3"/>
  <c r="S138" i="3"/>
  <c r="AY151" i="3"/>
  <c r="K184" i="3"/>
  <c r="AB116" i="3"/>
  <c r="AT134" i="3"/>
  <c r="V162" i="3"/>
  <c r="J164" i="3"/>
  <c r="AJ108" i="3"/>
  <c r="BG71" i="3"/>
  <c r="AA170" i="3"/>
  <c r="T111" i="3"/>
  <c r="BA76" i="3"/>
  <c r="O151" i="3"/>
  <c r="AW93" i="3"/>
  <c r="AK59" i="3"/>
  <c r="AI138" i="3"/>
  <c r="H97" i="3"/>
  <c r="Z61" i="3"/>
  <c r="BE108" i="3"/>
  <c r="BB65" i="3"/>
  <c r="BF27" i="3"/>
  <c r="N126" i="3"/>
  <c r="I83" i="3"/>
  <c r="BL42" i="3"/>
  <c r="AO132" i="3"/>
  <c r="N89" i="3"/>
  <c r="AQ47" i="3"/>
  <c r="BA161" i="3"/>
  <c r="BC103" i="3"/>
  <c r="AT62" i="3"/>
  <c r="AH179" i="3"/>
  <c r="AB87" i="3"/>
  <c r="J37" i="3"/>
  <c r="M4" i="3"/>
  <c r="U105" i="3"/>
  <c r="AV39" i="3"/>
  <c r="L4" i="3"/>
  <c r="P106" i="3"/>
  <c r="AI54" i="3"/>
  <c r="Z13" i="3"/>
  <c r="X119" i="3"/>
  <c r="T52" i="3"/>
  <c r="J12" i="3"/>
  <c r="AD107" i="3"/>
  <c r="AO46" i="3"/>
  <c r="J179" i="3"/>
  <c r="AX87" i="3"/>
  <c r="BC32" i="3"/>
  <c r="AA140" i="3"/>
  <c r="AR72" i="3"/>
  <c r="V17" i="3"/>
  <c r="AO109" i="3"/>
  <c r="Q49" i="3"/>
  <c r="AB131" i="3"/>
  <c r="AF112" i="3"/>
  <c r="R138" i="3"/>
  <c r="AE111" i="3"/>
  <c r="AP32" i="3"/>
  <c r="BC109" i="3"/>
  <c r="X30" i="3"/>
  <c r="BB98" i="3"/>
  <c r="AB26" i="3"/>
  <c r="BC67" i="3"/>
  <c r="Q66" i="3"/>
  <c r="W72" i="3"/>
  <c r="I163" i="3"/>
  <c r="BH73" i="3"/>
  <c r="H132" i="3"/>
  <c r="AW104" i="3"/>
  <c r="BJ94" i="3"/>
  <c r="AW66" i="3"/>
  <c r="AM25" i="3"/>
  <c r="AP69" i="3"/>
  <c r="AY66" i="3"/>
  <c r="AQ39" i="3"/>
  <c r="BD38" i="3"/>
  <c r="M53" i="3"/>
  <c r="U143" i="3"/>
  <c r="AD22" i="3"/>
  <c r="W67" i="3"/>
  <c r="BB46" i="3"/>
  <c r="BB81" i="3"/>
  <c r="AM23" i="3"/>
  <c r="BE49" i="3"/>
  <c r="BF102" i="3"/>
  <c r="N16" i="3"/>
  <c r="H30" i="3"/>
  <c r="AT10" i="3"/>
  <c r="BE68" i="3"/>
  <c r="R102" i="3"/>
  <c r="M42" i="3"/>
  <c r="BH178" i="3"/>
  <c r="BL52" i="3"/>
  <c r="AG166" i="3"/>
  <c r="AA96" i="3"/>
  <c r="F16" i="3"/>
  <c r="F40" i="3"/>
  <c r="BC183" i="3"/>
  <c r="BI179" i="3"/>
  <c r="BF186" i="3"/>
  <c r="AG152" i="3"/>
  <c r="X162" i="3"/>
  <c r="AQ167" i="3"/>
  <c r="O181" i="3"/>
  <c r="R190" i="3"/>
  <c r="X149" i="3"/>
  <c r="AQ143" i="3"/>
  <c r="Z187" i="3"/>
  <c r="AF163" i="3"/>
  <c r="G190" i="3"/>
  <c r="AP138" i="3"/>
  <c r="BC146" i="3"/>
  <c r="BI172" i="3"/>
  <c r="AC128" i="3"/>
  <c r="W137" i="3"/>
  <c r="K142" i="3"/>
  <c r="Q171" i="3"/>
  <c r="AW120" i="3"/>
  <c r="P139" i="3"/>
  <c r="AL163" i="3"/>
  <c r="U95" i="3"/>
  <c r="AM59" i="3"/>
  <c r="K143" i="3"/>
  <c r="BM98" i="3"/>
  <c r="R55" i="3"/>
  <c r="AD133" i="3"/>
  <c r="AC93" i="3"/>
  <c r="Q59" i="3"/>
  <c r="AL137" i="3"/>
  <c r="BA96" i="3"/>
  <c r="H192" i="3"/>
  <c r="AC108" i="3"/>
  <c r="Q50" i="3"/>
  <c r="AV177" i="3"/>
  <c r="AB108" i="3"/>
  <c r="O67" i="3"/>
  <c r="AF32" i="3"/>
  <c r="AJ131" i="3"/>
  <c r="BB85" i="3"/>
  <c r="AO34" i="3"/>
  <c r="O115" i="3"/>
  <c r="AR76" i="3"/>
  <c r="BM37" i="3"/>
  <c r="AF144" i="3"/>
  <c r="BJ86" i="3"/>
  <c r="AV36" i="3"/>
  <c r="AR181" i="3"/>
  <c r="BJ104" i="3"/>
  <c r="AX52" i="3"/>
  <c r="Q15" i="3"/>
  <c r="BD122" i="3"/>
  <c r="G54" i="3"/>
  <c r="AY12" i="3"/>
  <c r="AZ118" i="3"/>
  <c r="AK66" i="3"/>
  <c r="BE20" i="3"/>
  <c r="AB136" i="3"/>
  <c r="M46" i="3"/>
  <c r="G68" i="3"/>
  <c r="AE71" i="3"/>
  <c r="Z89" i="3"/>
  <c r="AR175" i="3"/>
  <c r="BG137" i="3"/>
  <c r="AO106" i="3"/>
  <c r="AE31" i="3"/>
  <c r="BI76" i="3"/>
  <c r="AP9" i="3"/>
  <c r="BL44" i="3"/>
  <c r="W138" i="3"/>
  <c r="R34" i="3"/>
  <c r="BA71" i="3"/>
  <c r="BM161" i="3"/>
  <c r="V72" i="3"/>
  <c r="AO114" i="3"/>
  <c r="AC50" i="3"/>
  <c r="BD17" i="3"/>
  <c r="Y148" i="3"/>
  <c r="BJ123" i="3"/>
  <c r="BL6" i="3"/>
  <c r="AS123" i="3"/>
  <c r="AK183" i="3"/>
  <c r="AX19" i="3"/>
  <c r="AC30" i="3"/>
  <c r="U20" i="3"/>
  <c r="K159" i="3"/>
  <c r="S12" i="3"/>
  <c r="N75" i="3"/>
  <c r="AL61" i="3"/>
  <c r="AO4" i="3"/>
  <c r="AM113" i="3"/>
  <c r="AU47" i="3"/>
  <c r="I42" i="3"/>
  <c r="AW37" i="3"/>
  <c r="AT172" i="3"/>
  <c r="AK137" i="3"/>
  <c r="BI27" i="3"/>
  <c r="AI66" i="3"/>
  <c r="AS34" i="3"/>
  <c r="BI67" i="3"/>
  <c r="F18" i="3"/>
  <c r="F143" i="3"/>
  <c r="X189" i="3"/>
  <c r="U138" i="3"/>
  <c r="K174" i="3"/>
  <c r="BG162" i="3"/>
  <c r="BA115" i="3"/>
  <c r="BI133" i="3"/>
  <c r="L68" i="3"/>
  <c r="BJ58" i="3"/>
  <c r="AG192" i="3"/>
  <c r="BG158" i="3"/>
  <c r="J137" i="3"/>
  <c r="BL119" i="3"/>
  <c r="AV105" i="3"/>
  <c r="AG96" i="3"/>
  <c r="AG84" i="3"/>
  <c r="BI70" i="3"/>
  <c r="AE60" i="3"/>
  <c r="G182" i="3"/>
  <c r="BI145" i="3"/>
  <c r="O126" i="3"/>
  <c r="AT107" i="3"/>
  <c r="AO92" i="3"/>
  <c r="AK80" i="3"/>
  <c r="AQ64" i="3"/>
  <c r="BJ49" i="3"/>
  <c r="BK38" i="3"/>
  <c r="R27" i="3"/>
  <c r="BL169" i="3"/>
  <c r="AX143" i="3"/>
  <c r="AY121" i="3"/>
  <c r="AS107" i="3"/>
  <c r="AU93" i="3"/>
  <c r="AA82" i="3"/>
  <c r="BD66" i="3"/>
  <c r="AI55" i="3"/>
  <c r="X42" i="3"/>
  <c r="L32" i="3"/>
  <c r="AZ20" i="3"/>
  <c r="BB157" i="3"/>
  <c r="AF130" i="3"/>
  <c r="AB111" i="3"/>
  <c r="AV99" i="3"/>
  <c r="Z85" i="3"/>
  <c r="BI72" i="3"/>
  <c r="AI58" i="3"/>
  <c r="BK46" i="3"/>
  <c r="U34" i="3"/>
  <c r="K24" i="3"/>
  <c r="N159" i="3"/>
  <c r="X135" i="3"/>
  <c r="AZ114" i="3"/>
  <c r="G103" i="3"/>
  <c r="AX88" i="3"/>
  <c r="S73" i="3"/>
  <c r="BK61" i="3"/>
  <c r="AP47" i="3"/>
  <c r="AS37" i="3"/>
  <c r="T26" i="3"/>
  <c r="Q177" i="3"/>
  <c r="AJ143" i="3"/>
  <c r="AV121" i="3"/>
  <c r="V100" i="3"/>
  <c r="AD86" i="3"/>
  <c r="AN66" i="3"/>
  <c r="W52" i="3"/>
  <c r="X36" i="3"/>
  <c r="AP21" i="3"/>
  <c r="AG12" i="3"/>
  <c r="AS180" i="3"/>
  <c r="AD149" i="3"/>
  <c r="K121" i="3"/>
  <c r="AD104" i="3"/>
  <c r="AC86" i="3"/>
  <c r="AZ70" i="3"/>
  <c r="V52" i="3"/>
  <c r="BM38" i="3"/>
  <c r="AQ24" i="3"/>
  <c r="BJ14" i="3"/>
  <c r="AS186" i="3"/>
  <c r="M145" i="3"/>
  <c r="X122" i="3"/>
  <c r="O101" i="3"/>
  <c r="BB87" i="3"/>
  <c r="BI68" i="3"/>
  <c r="AZ53" i="3"/>
  <c r="AT36" i="3"/>
  <c r="X25" i="3"/>
  <c r="AE12" i="3"/>
  <c r="X186" i="3"/>
  <c r="BE139" i="3"/>
  <c r="P118" i="3"/>
  <c r="P99" i="3"/>
  <c r="BF81" i="3"/>
  <c r="AP65" i="3"/>
  <c r="P47" i="3"/>
  <c r="AY34" i="3"/>
  <c r="AD20" i="3"/>
  <c r="AI11" i="3"/>
  <c r="N174" i="3"/>
  <c r="AM135" i="3"/>
  <c r="T106" i="3"/>
  <c r="AY87" i="3"/>
  <c r="AH62" i="3"/>
  <c r="AT45" i="3"/>
  <c r="BB26" i="3"/>
  <c r="W11" i="3"/>
  <c r="AB175" i="3"/>
  <c r="G130" i="3"/>
  <c r="BM107" i="3"/>
  <c r="AN86" i="3"/>
  <c r="AT67" i="3"/>
  <c r="AN46" i="3"/>
  <c r="BH31" i="3"/>
  <c r="AD15" i="3"/>
  <c r="AB191" i="3"/>
  <c r="AU138" i="3"/>
  <c r="AT113" i="3"/>
  <c r="AA89" i="3"/>
  <c r="BJ65" i="3"/>
  <c r="BB49" i="3"/>
  <c r="AF30" i="3"/>
  <c r="AN16" i="3"/>
  <c r="AX185" i="3"/>
  <c r="AT138" i="3"/>
  <c r="BK107" i="3"/>
  <c r="BG88" i="3"/>
  <c r="AV64" i="3"/>
  <c r="AI47" i="3"/>
  <c r="AX27" i="3"/>
  <c r="AS14" i="3"/>
  <c r="W174" i="3"/>
  <c r="BD120" i="3"/>
  <c r="T94" i="3"/>
  <c r="AQ149" i="3"/>
  <c r="V110" i="3"/>
  <c r="K133" i="3"/>
  <c r="AF102" i="3"/>
  <c r="AS136" i="3"/>
  <c r="BM105" i="3"/>
  <c r="AG157" i="3"/>
  <c r="BD109" i="3"/>
  <c r="R80" i="3"/>
  <c r="AW56" i="3"/>
  <c r="BE30" i="3"/>
  <c r="AH11" i="3"/>
  <c r="V160" i="3"/>
  <c r="AF99" i="3"/>
  <c r="I76" i="3"/>
  <c r="M47" i="3"/>
  <c r="S29" i="3"/>
  <c r="N9" i="3"/>
  <c r="AE153" i="3"/>
  <c r="X97" i="3"/>
  <c r="AX72" i="3"/>
  <c r="AB44" i="3"/>
  <c r="P25" i="3"/>
  <c r="AK5" i="3"/>
  <c r="M125" i="3"/>
  <c r="AC92" i="3"/>
  <c r="AI59" i="3"/>
  <c r="AM33" i="3"/>
  <c r="BL7" i="3"/>
  <c r="AU55" i="3"/>
  <c r="H107" i="3"/>
  <c r="T69" i="3"/>
  <c r="S45" i="3"/>
  <c r="AF17" i="3"/>
  <c r="BH148" i="3"/>
  <c r="AA8" i="3"/>
  <c r="AS101" i="3"/>
  <c r="AV71" i="3"/>
  <c r="AC39" i="3"/>
  <c r="AM19" i="3"/>
  <c r="Z109" i="3"/>
  <c r="AR38" i="3"/>
  <c r="AL153" i="3"/>
  <c r="Q102" i="3"/>
  <c r="AQ49" i="3"/>
  <c r="AL20" i="3"/>
  <c r="BF76" i="3"/>
  <c r="AZ10" i="3"/>
  <c r="BK15" i="3"/>
  <c r="AF46" i="3"/>
  <c r="M103" i="3"/>
  <c r="BF146" i="3"/>
  <c r="S23" i="3"/>
  <c r="N58" i="3"/>
  <c r="BA122" i="3"/>
  <c r="AW67" i="3"/>
  <c r="I35" i="3"/>
  <c r="N6" i="3"/>
  <c r="N61" i="3"/>
  <c r="BG131" i="3"/>
  <c r="BK24" i="3"/>
  <c r="AO36" i="3"/>
  <c r="BI85" i="3"/>
  <c r="AE14" i="3"/>
  <c r="BM176" i="3"/>
  <c r="AH181" i="3"/>
  <c r="BE91" i="3"/>
  <c r="G19" i="3"/>
  <c r="AL134" i="3"/>
  <c r="AK134" i="3"/>
  <c r="I24" i="3"/>
  <c r="G81" i="3"/>
  <c r="BG125" i="3"/>
  <c r="AT19" i="3"/>
  <c r="AG74" i="3"/>
  <c r="AA151" i="3"/>
  <c r="AC83" i="3"/>
  <c r="AB19" i="3"/>
  <c r="AF34" i="3"/>
  <c r="AQ11" i="3"/>
  <c r="O90" i="3"/>
  <c r="AY62" i="3"/>
  <c r="I16" i="3"/>
  <c r="S54" i="3"/>
  <c r="BD46" i="3"/>
  <c r="AW185" i="3"/>
  <c r="AY104" i="3"/>
  <c r="N7" i="3"/>
  <c r="AO40" i="3"/>
  <c r="BD125" i="3"/>
  <c r="AY125" i="3"/>
  <c r="AR49" i="3"/>
  <c r="AS164" i="3"/>
  <c r="W81" i="3"/>
  <c r="BK37" i="3"/>
  <c r="V25" i="3"/>
  <c r="AZ103" i="3"/>
  <c r="BB16" i="3"/>
  <c r="AU89" i="3"/>
  <c r="BH5" i="3"/>
  <c r="AU35" i="3"/>
  <c r="F99" i="3"/>
  <c r="F72" i="3"/>
  <c r="F47" i="3"/>
  <c r="AO188" i="3"/>
  <c r="U179" i="3"/>
  <c r="N186" i="3"/>
  <c r="BF151" i="3"/>
  <c r="AC161" i="3"/>
  <c r="BH166" i="3"/>
  <c r="AE180" i="3"/>
  <c r="Z189" i="3"/>
  <c r="AX138" i="3"/>
  <c r="BK142" i="3"/>
  <c r="AD186" i="3"/>
  <c r="L162" i="3"/>
  <c r="BD188" i="3"/>
  <c r="AT137" i="3"/>
  <c r="AS145" i="3"/>
  <c r="BM171" i="3"/>
  <c r="BB127" i="3"/>
  <c r="R136" i="3"/>
  <c r="AB162" i="3"/>
  <c r="AG115" i="3"/>
  <c r="AK133" i="3"/>
  <c r="AR160" i="3"/>
  <c r="U113" i="3"/>
  <c r="P122" i="3"/>
  <c r="BL70" i="3"/>
  <c r="AY167" i="3"/>
  <c r="Y98" i="3"/>
  <c r="BF63" i="3"/>
  <c r="S149" i="3"/>
  <c r="X102" i="3"/>
  <c r="AP58" i="3"/>
  <c r="AT136" i="3"/>
  <c r="M96" i="3"/>
  <c r="K60" i="3"/>
  <c r="V107" i="3"/>
  <c r="S64" i="3"/>
  <c r="BK26" i="3"/>
  <c r="S121" i="3"/>
  <c r="AF66" i="3"/>
  <c r="BE31" i="3"/>
  <c r="V129" i="3"/>
  <c r="AQ84" i="3"/>
  <c r="AQ46" i="3"/>
  <c r="AG158" i="3"/>
  <c r="AU99" i="3"/>
  <c r="S47" i="3"/>
  <c r="I176" i="3"/>
  <c r="BC99" i="3"/>
  <c r="O48" i="3"/>
  <c r="M12" i="3"/>
  <c r="AI103" i="3"/>
  <c r="BC51" i="3"/>
  <c r="L12" i="3"/>
  <c r="AV100" i="3"/>
  <c r="P53" i="3"/>
  <c r="AP24" i="3"/>
  <c r="AY185" i="3"/>
  <c r="I112" i="3"/>
  <c r="Z81" i="3"/>
  <c r="BE46" i="3"/>
  <c r="J20" i="3"/>
  <c r="BH170" i="3"/>
  <c r="AR105" i="3"/>
  <c r="AE61" i="3"/>
  <c r="Z26" i="3"/>
  <c r="AG129" i="3"/>
  <c r="AG85" i="3"/>
  <c r="H46" i="3"/>
  <c r="AU14" i="3"/>
  <c r="BL107" i="3"/>
  <c r="V65" i="3"/>
  <c r="AN29" i="3"/>
  <c r="BH137" i="3"/>
  <c r="AL46" i="3"/>
  <c r="AP170" i="3"/>
  <c r="BI146" i="3"/>
  <c r="BC101" i="3"/>
  <c r="T156" i="3"/>
  <c r="U49" i="3"/>
  <c r="X157" i="3"/>
  <c r="AU46" i="3"/>
  <c r="BA151" i="3"/>
  <c r="AW43" i="3"/>
  <c r="U124" i="3"/>
  <c r="S32" i="3"/>
  <c r="M105" i="3"/>
  <c r="BJ16" i="3"/>
  <c r="BK100" i="3"/>
  <c r="AH18" i="3"/>
  <c r="AC147" i="3"/>
  <c r="AZ19" i="3"/>
  <c r="BJ11" i="3"/>
  <c r="AY135" i="3"/>
  <c r="AM121" i="3"/>
  <c r="AX5" i="3"/>
  <c r="AJ5" i="3"/>
  <c r="S80" i="3"/>
  <c r="AQ161" i="3"/>
  <c r="BJ90" i="3"/>
  <c r="Y18" i="3"/>
  <c r="K130" i="3"/>
  <c r="H104" i="3"/>
  <c r="BF72" i="3"/>
  <c r="AV80" i="3"/>
  <c r="AR10" i="3"/>
  <c r="AP55" i="3"/>
  <c r="M91" i="3"/>
  <c r="AM45" i="3"/>
  <c r="S89" i="3"/>
  <c r="Q6" i="3"/>
  <c r="J96" i="3"/>
  <c r="BE81" i="3"/>
  <c r="AA4" i="3"/>
  <c r="AC72" i="3"/>
  <c r="AE87" i="3"/>
  <c r="BL77" i="3"/>
  <c r="AX34" i="3"/>
  <c r="R8" i="3"/>
  <c r="BG28" i="3"/>
  <c r="F56" i="3"/>
  <c r="F159" i="3"/>
  <c r="U192" i="3"/>
  <c r="AE165" i="3"/>
  <c r="AX173" i="3"/>
  <c r="AR182" i="3"/>
  <c r="AQ192" i="3"/>
  <c r="BA150" i="3"/>
  <c r="M166" i="3"/>
  <c r="AA174" i="3"/>
  <c r="AG186" i="3"/>
  <c r="V188" i="3"/>
  <c r="I182" i="3"/>
  <c r="R158" i="3"/>
  <c r="BD182" i="3"/>
  <c r="AO134" i="3"/>
  <c r="AR141" i="3"/>
  <c r="AW136" i="3"/>
  <c r="AP149" i="3"/>
  <c r="AP181" i="3"/>
  <c r="AO125" i="3"/>
  <c r="AY145" i="3"/>
  <c r="BJ177" i="3"/>
  <c r="AG123" i="3"/>
  <c r="U136" i="3"/>
  <c r="AR70" i="3"/>
  <c r="R166" i="3"/>
  <c r="AX109" i="3"/>
  <c r="AL75" i="3"/>
  <c r="BJ178" i="3"/>
  <c r="BE113" i="3"/>
  <c r="AK67" i="3"/>
  <c r="AS157" i="3"/>
  <c r="H105" i="3"/>
  <c r="U70" i="3"/>
  <c r="AE144" i="3"/>
  <c r="BB91" i="3"/>
  <c r="BF35" i="3"/>
  <c r="BG120" i="3"/>
  <c r="S81" i="3"/>
  <c r="AF40" i="3"/>
  <c r="AC148" i="3"/>
  <c r="BJ98" i="3"/>
  <c r="BD57" i="3"/>
  <c r="AJ23" i="3"/>
  <c r="BA113" i="3"/>
  <c r="O61" i="3"/>
  <c r="AS25" i="3"/>
  <c r="AN120" i="3"/>
  <c r="AS65" i="3"/>
  <c r="BH20" i="3"/>
  <c r="AH147" i="3"/>
  <c r="AK85" i="3"/>
  <c r="AN35" i="3"/>
  <c r="AR184" i="3"/>
  <c r="T100" i="3"/>
  <c r="AW52" i="3"/>
  <c r="BD11" i="3"/>
  <c r="AT111" i="3"/>
  <c r="AG46" i="3"/>
  <c r="BH10" i="3"/>
  <c r="L105" i="3"/>
  <c r="Q40" i="3"/>
  <c r="AQ128" i="3"/>
  <c r="BK65" i="3"/>
  <c r="S14" i="3"/>
  <c r="AB107" i="3"/>
  <c r="AP28" i="3"/>
  <c r="M136" i="3"/>
  <c r="AO63" i="3"/>
  <c r="BE10" i="3"/>
  <c r="T92" i="3"/>
  <c r="Z131" i="3"/>
  <c r="AU104" i="3"/>
  <c r="AD77" i="3"/>
  <c r="G10" i="3"/>
  <c r="AW74" i="3"/>
  <c r="X8" i="3"/>
  <c r="M43" i="3"/>
  <c r="M120" i="3"/>
  <c r="AQ31" i="3"/>
  <c r="L157" i="3"/>
  <c r="I36" i="3"/>
  <c r="O5" i="3"/>
  <c r="S37" i="3"/>
  <c r="L34" i="3"/>
  <c r="T13" i="3"/>
  <c r="AY10" i="3"/>
  <c r="AG134" i="3"/>
  <c r="AS120" i="3"/>
  <c r="W4" i="3"/>
  <c r="S185" i="3"/>
  <c r="BC167" i="3"/>
  <c r="M85" i="3"/>
  <c r="BL124" i="3"/>
  <c r="BL96" i="3"/>
  <c r="X165" i="3"/>
  <c r="AO17" i="3"/>
  <c r="BC47" i="3"/>
  <c r="AJ87" i="3"/>
  <c r="AV44" i="3"/>
  <c r="U85" i="3"/>
  <c r="Z4" i="3"/>
  <c r="Z8" i="3"/>
  <c r="BD78" i="3"/>
  <c r="BF147" i="3"/>
  <c r="X71" i="3"/>
  <c r="AL48" i="3"/>
  <c r="AT34" i="3"/>
  <c r="I56" i="3"/>
  <c r="Y73" i="3"/>
  <c r="F31" i="3"/>
  <c r="F156" i="3"/>
  <c r="BK191" i="3"/>
  <c r="BE165" i="3"/>
  <c r="AS147" i="3"/>
  <c r="AP191" i="3"/>
  <c r="AF168" i="3"/>
  <c r="BE143" i="3"/>
  <c r="W148" i="3"/>
  <c r="V141" i="3"/>
  <c r="AU165" i="3"/>
  <c r="BL171" i="3"/>
  <c r="AY120" i="3"/>
  <c r="AI140" i="3"/>
  <c r="H169" i="3"/>
  <c r="AH119" i="3"/>
  <c r="M123" i="3"/>
  <c r="AX135" i="3"/>
  <c r="AE93" i="3"/>
  <c r="H189" i="3"/>
  <c r="I121" i="3"/>
  <c r="AD85" i="3"/>
  <c r="R51" i="3"/>
  <c r="AG113" i="3"/>
  <c r="N80" i="3"/>
  <c r="J188" i="3"/>
  <c r="BA118" i="3"/>
  <c r="AL83" i="3"/>
  <c r="AC179" i="3"/>
  <c r="AJ106" i="3"/>
  <c r="AF63" i="3"/>
  <c r="W26" i="3"/>
  <c r="AI106" i="3"/>
  <c r="AA51" i="3"/>
  <c r="BJ186" i="3"/>
  <c r="BJ109" i="3"/>
  <c r="AF57" i="3"/>
  <c r="AE20" i="3"/>
  <c r="Y113" i="3"/>
  <c r="H72" i="3"/>
  <c r="Y25" i="3"/>
  <c r="O113" i="3"/>
  <c r="Q65" i="3"/>
  <c r="AJ20" i="3"/>
  <c r="BL146" i="3"/>
  <c r="AT84" i="3"/>
  <c r="L35" i="3"/>
  <c r="AQ183" i="3"/>
  <c r="AB86" i="3"/>
  <c r="AM35" i="3"/>
  <c r="BC137" i="3"/>
  <c r="AA80" i="3"/>
  <c r="S33" i="3"/>
  <c r="BA168" i="3"/>
  <c r="Z80" i="3"/>
  <c r="AH25" i="3"/>
  <c r="BJ127" i="3"/>
  <c r="AE65" i="3"/>
  <c r="BK13" i="3"/>
  <c r="AW87" i="3"/>
  <c r="N28" i="3"/>
  <c r="AF135" i="3"/>
  <c r="AA62" i="3"/>
  <c r="AG10" i="3"/>
  <c r="Y91" i="3"/>
  <c r="AB130" i="3"/>
  <c r="BI151" i="3"/>
  <c r="BJ47" i="3"/>
  <c r="AF153" i="3"/>
  <c r="BM44" i="3"/>
  <c r="BL134" i="3"/>
  <c r="AL42" i="3"/>
  <c r="BC116" i="3"/>
  <c r="AA30" i="3"/>
  <c r="H154" i="3"/>
  <c r="AQ35" i="3"/>
  <c r="BA67" i="3"/>
  <c r="BJ100" i="3"/>
  <c r="AZ46" i="3"/>
  <c r="L101" i="3"/>
  <c r="T131" i="3"/>
  <c r="I62" i="3"/>
  <c r="BB35" i="3"/>
  <c r="AQ32" i="3"/>
  <c r="AD154" i="3"/>
  <c r="W48" i="3"/>
  <c r="AR119" i="3"/>
  <c r="AY94" i="3"/>
  <c r="AT156" i="3"/>
  <c r="AW16" i="3"/>
  <c r="T35" i="3"/>
  <c r="P6" i="3"/>
  <c r="AP97" i="3"/>
  <c r="BM113" i="3"/>
  <c r="AD38" i="3"/>
  <c r="L5" i="3"/>
  <c r="U89" i="3"/>
  <c r="R36" i="3"/>
  <c r="H75" i="3"/>
  <c r="G30" i="3"/>
  <c r="AK88" i="3"/>
  <c r="U96" i="3"/>
  <c r="AF166" i="3"/>
  <c r="AE88" i="3"/>
  <c r="F179" i="3"/>
  <c r="F144" i="3"/>
  <c r="M192" i="3"/>
  <c r="AY177" i="3"/>
  <c r="AW153" i="3"/>
  <c r="J173" i="3"/>
  <c r="BK150" i="3"/>
  <c r="AH172" i="3"/>
  <c r="BH191" i="3"/>
  <c r="BF165" i="3"/>
  <c r="V140" i="3"/>
  <c r="AH165" i="3"/>
  <c r="AN187" i="3"/>
  <c r="AM162" i="3"/>
  <c r="J185" i="3"/>
  <c r="AB187" i="3"/>
  <c r="AZ171" i="3"/>
  <c r="AT167" i="3"/>
  <c r="AF157" i="3"/>
  <c r="V130" i="3"/>
  <c r="K166" i="3"/>
  <c r="AT133" i="3"/>
  <c r="BM140" i="3"/>
  <c r="X184" i="3"/>
  <c r="U150" i="3"/>
  <c r="I124" i="3"/>
  <c r="G148" i="3"/>
  <c r="AV179" i="3"/>
  <c r="I140" i="3"/>
  <c r="AS189" i="3"/>
  <c r="M129" i="3"/>
  <c r="AP176" i="3"/>
  <c r="BF122" i="3"/>
  <c r="AE159" i="3"/>
  <c r="BL116" i="3"/>
  <c r="K93" i="3"/>
  <c r="AW69" i="3"/>
  <c r="P188" i="3"/>
  <c r="J109" i="3"/>
  <c r="J85" i="3"/>
  <c r="BK50" i="3"/>
  <c r="AV147" i="3"/>
  <c r="I101" i="3"/>
  <c r="BJ66" i="3"/>
  <c r="AG154" i="3"/>
  <c r="AG104" i="3"/>
  <c r="Z69" i="3"/>
  <c r="AE142" i="3"/>
  <c r="AV90" i="3"/>
  <c r="AA48" i="3"/>
  <c r="AN166" i="3"/>
  <c r="K106" i="3"/>
  <c r="AT76" i="3"/>
  <c r="BE39" i="3"/>
  <c r="BG127" i="3"/>
  <c r="AF83" i="3"/>
  <c r="R43" i="3"/>
  <c r="AN154" i="3"/>
  <c r="AK98" i="3"/>
  <c r="AB60" i="3"/>
  <c r="AX24" i="3"/>
  <c r="AV112" i="3"/>
  <c r="BD64" i="3"/>
  <c r="M20" i="3"/>
  <c r="H146" i="3"/>
  <c r="J84" i="3"/>
  <c r="BA34" i="3"/>
  <c r="AP182" i="3"/>
  <c r="Q99" i="3"/>
  <c r="AX47" i="3"/>
  <c r="P11" i="3"/>
  <c r="BC110" i="3"/>
  <c r="AX63" i="3"/>
  <c r="O19" i="3"/>
  <c r="BF124" i="3"/>
  <c r="BH59" i="3"/>
  <c r="BD9" i="3"/>
  <c r="AQ105" i="3"/>
  <c r="BF44" i="3"/>
  <c r="AU170" i="3"/>
  <c r="I87" i="3"/>
  <c r="AY27" i="3"/>
  <c r="BA127" i="3"/>
  <c r="BH61" i="3"/>
  <c r="I10" i="3"/>
  <c r="BH90" i="3"/>
  <c r="AT129" i="3"/>
  <c r="AS96" i="3"/>
  <c r="J76" i="3"/>
  <c r="O9" i="3"/>
  <c r="BC72" i="3"/>
  <c r="Y7" i="3"/>
  <c r="AN62" i="3"/>
  <c r="J190" i="3"/>
  <c r="AX55" i="3"/>
  <c r="AD152" i="3"/>
  <c r="BL34" i="3"/>
  <c r="R186" i="3"/>
  <c r="H36" i="3"/>
  <c r="AG18" i="3"/>
  <c r="K45" i="3"/>
  <c r="BC91" i="3"/>
  <c r="AV91" i="3"/>
  <c r="Z191" i="3"/>
  <c r="BL25" i="3"/>
  <c r="J114" i="3"/>
  <c r="AL74" i="3"/>
  <c r="AL143" i="3"/>
  <c r="AT16" i="3"/>
  <c r="T4" i="3"/>
  <c r="X67" i="3"/>
  <c r="Q73" i="3"/>
  <c r="AW160" i="3"/>
  <c r="AB11" i="3"/>
  <c r="BL26" i="3"/>
  <c r="AV98" i="3"/>
  <c r="AR37" i="3"/>
  <c r="G58" i="3"/>
  <c r="AB90" i="3"/>
  <c r="BJ71" i="3"/>
  <c r="BF126" i="3"/>
  <c r="H12" i="3"/>
  <c r="BK48" i="3"/>
  <c r="AZ59" i="3"/>
  <c r="AE19" i="3"/>
  <c r="AH137" i="3"/>
  <c r="BB70" i="3"/>
  <c r="F158" i="3"/>
  <c r="F28" i="3"/>
  <c r="BE191" i="3"/>
  <c r="AE177" i="3"/>
  <c r="AC153" i="3"/>
  <c r="BC172" i="3"/>
  <c r="AQ150" i="3"/>
  <c r="N172" i="3"/>
  <c r="AG191" i="3"/>
  <c r="AI165" i="3"/>
  <c r="AU139" i="3"/>
  <c r="H165" i="3"/>
  <c r="J187" i="3"/>
  <c r="P162" i="3"/>
  <c r="AV184" i="3"/>
  <c r="P153" i="3"/>
  <c r="AD189" i="3"/>
  <c r="BH180" i="3"/>
  <c r="AZ175" i="3"/>
  <c r="I143" i="3"/>
  <c r="T181" i="3"/>
  <c r="AL147" i="3"/>
  <c r="U189" i="3"/>
  <c r="BB190" i="3"/>
  <c r="AX190" i="3"/>
  <c r="AK186" i="3"/>
  <c r="AJ176" i="3"/>
  <c r="AO163" i="3"/>
  <c r="AW149" i="3"/>
  <c r="BJ183" i="3"/>
  <c r="BH171" i="3"/>
  <c r="BH159" i="3"/>
  <c r="AB149" i="3"/>
  <c r="AH180" i="3"/>
  <c r="AH168" i="3"/>
  <c r="S159" i="3"/>
  <c r="AV191" i="3"/>
  <c r="BC175" i="3"/>
  <c r="AB164" i="3"/>
  <c r="V148" i="3"/>
  <c r="BC189" i="3"/>
  <c r="AP177" i="3"/>
  <c r="AT163" i="3"/>
  <c r="U148" i="3"/>
  <c r="BL185" i="3"/>
  <c r="BE171" i="3"/>
  <c r="BL157" i="3"/>
  <c r="BC145" i="3"/>
  <c r="AC183" i="3"/>
  <c r="BE166" i="3"/>
  <c r="BM151" i="3"/>
  <c r="I185" i="3"/>
  <c r="BB183" i="3"/>
  <c r="K170" i="3"/>
  <c r="L179" i="3"/>
  <c r="BE190" i="3"/>
  <c r="V174" i="3"/>
  <c r="R154" i="3"/>
  <c r="V138" i="3"/>
  <c r="AZ128" i="3"/>
  <c r="BC179" i="3"/>
  <c r="Z160" i="3"/>
  <c r="AC146" i="3"/>
  <c r="K132" i="3"/>
  <c r="AE171" i="3"/>
  <c r="AF156" i="3"/>
  <c r="AO139" i="3"/>
  <c r="AI127" i="3"/>
  <c r="U182" i="3"/>
  <c r="AC163" i="3"/>
  <c r="BF144" i="3"/>
  <c r="BG134" i="3"/>
  <c r="Y190" i="3"/>
  <c r="BH162" i="3"/>
  <c r="Q146" i="3"/>
  <c r="BI129" i="3"/>
  <c r="AH115" i="3"/>
  <c r="AR176" i="3"/>
  <c r="BE152" i="3"/>
  <c r="AD135" i="3"/>
  <c r="AI123" i="3"/>
  <c r="AG185" i="3"/>
  <c r="R161" i="3"/>
  <c r="AL142" i="3"/>
  <c r="AX127" i="3"/>
  <c r="Q114" i="3"/>
  <c r="AM173" i="3"/>
  <c r="AI148" i="3"/>
  <c r="AS131" i="3"/>
  <c r="AQ121" i="3"/>
  <c r="AS179" i="3"/>
  <c r="BG148" i="3"/>
  <c r="AM132" i="3"/>
  <c r="AC115" i="3"/>
  <c r="AY101" i="3"/>
  <c r="BI91" i="3"/>
  <c r="AW77" i="3"/>
  <c r="AW65" i="3"/>
  <c r="AH56" i="3"/>
  <c r="K185" i="3"/>
  <c r="AQ156" i="3"/>
  <c r="AV136" i="3"/>
  <c r="BC118" i="3"/>
  <c r="J105" i="3"/>
  <c r="BH95" i="3"/>
  <c r="BH83" i="3"/>
  <c r="BK70" i="3"/>
  <c r="AB61" i="3"/>
  <c r="AB49" i="3"/>
  <c r="AA165" i="3"/>
  <c r="AX144" i="3"/>
  <c r="R124" i="3"/>
  <c r="I109" i="3"/>
  <c r="BG99" i="3"/>
  <c r="BG87" i="3"/>
  <c r="BJ74" i="3"/>
  <c r="AA65" i="3"/>
  <c r="AA53" i="3"/>
  <c r="AO176" i="3"/>
  <c r="BJ151" i="3"/>
  <c r="AC129" i="3"/>
  <c r="AG112" i="3"/>
  <c r="R103" i="3"/>
  <c r="R91" i="3"/>
  <c r="U78" i="3"/>
  <c r="BD67" i="3"/>
  <c r="BI54" i="3"/>
  <c r="BK165" i="3"/>
  <c r="AD139" i="3"/>
  <c r="AS116" i="3"/>
  <c r="BI100" i="3"/>
  <c r="P89" i="3"/>
  <c r="V73" i="3"/>
  <c r="M58" i="3"/>
  <c r="AS46" i="3"/>
  <c r="AV33" i="3"/>
  <c r="W22" i="3"/>
  <c r="AV162" i="3"/>
  <c r="I133" i="3"/>
  <c r="L116" i="3"/>
  <c r="S101" i="3"/>
  <c r="S90" i="3"/>
  <c r="K75" i="3"/>
  <c r="AE63" i="3"/>
  <c r="M49" i="3"/>
  <c r="AP38" i="3"/>
  <c r="Q27" i="3"/>
  <c r="AX170" i="3"/>
  <c r="AW143" i="3"/>
  <c r="AX121" i="3"/>
  <c r="AR107" i="3"/>
  <c r="V93" i="3"/>
  <c r="AP81" i="3"/>
  <c r="AE66" i="3"/>
  <c r="J55" i="3"/>
  <c r="AY40" i="3"/>
  <c r="P31" i="3"/>
  <c r="P179" i="3"/>
  <c r="BE149" i="3"/>
  <c r="AZ125" i="3"/>
  <c r="Z108" i="3"/>
  <c r="AT96" i="3"/>
  <c r="U82" i="3"/>
  <c r="BG69" i="3"/>
  <c r="AG55" i="3"/>
  <c r="AZ44" i="3"/>
  <c r="AD32" i="3"/>
  <c r="AI23" i="3"/>
  <c r="AF162" i="3"/>
  <c r="BF137" i="3"/>
  <c r="BF110" i="3"/>
  <c r="AU95" i="3"/>
  <c r="S76" i="3"/>
  <c r="AX58" i="3"/>
  <c r="AG45" i="3"/>
  <c r="BJ29" i="3"/>
  <c r="BK18" i="3"/>
  <c r="AL7" i="3"/>
  <c r="I171" i="3"/>
  <c r="Z136" i="3"/>
  <c r="AC114" i="3"/>
  <c r="AT95" i="3"/>
  <c r="Q82" i="3"/>
  <c r="BF62" i="3"/>
  <c r="AY47" i="3"/>
  <c r="BK32" i="3"/>
  <c r="BJ18" i="3"/>
  <c r="AU9" i="3"/>
  <c r="L167" i="3"/>
  <c r="Y138" i="3"/>
  <c r="O111" i="3"/>
  <c r="AK97" i="3"/>
  <c r="AB80" i="3"/>
  <c r="V64" i="3"/>
  <c r="J46" i="3"/>
  <c r="T33" i="3"/>
  <c r="AJ19" i="3"/>
  <c r="AT9" i="3"/>
  <c r="U162" i="3"/>
  <c r="BM127" i="3"/>
  <c r="BL108" i="3"/>
  <c r="Z91" i="3"/>
  <c r="P76" i="3"/>
  <c r="AZ57" i="3"/>
  <c r="BD43" i="3"/>
  <c r="Y28" i="3"/>
  <c r="BM17" i="3"/>
  <c r="AN6" i="3"/>
  <c r="BH154" i="3"/>
  <c r="N121" i="3"/>
  <c r="AY100" i="3"/>
  <c r="AA75" i="3"/>
  <c r="AO52" i="3"/>
  <c r="AC37" i="3"/>
  <c r="S19" i="3"/>
  <c r="BK7" i="3"/>
  <c r="S150" i="3"/>
  <c r="AI122" i="3"/>
  <c r="AA98" i="3"/>
  <c r="AM81" i="3"/>
  <c r="BM56" i="3"/>
  <c r="BH42" i="3"/>
  <c r="AQ23" i="3"/>
  <c r="AT11" i="3"/>
  <c r="AX163" i="3"/>
  <c r="BM123" i="3"/>
  <c r="BI102" i="3"/>
  <c r="AV78" i="3"/>
  <c r="BJ60" i="3"/>
  <c r="O40" i="3"/>
  <c r="BH25" i="3"/>
  <c r="J10" i="3"/>
  <c r="AX168" i="3"/>
  <c r="BL123" i="3"/>
  <c r="T102" i="3"/>
  <c r="AM77" i="3"/>
  <c r="BA59" i="3"/>
  <c r="R38" i="3"/>
  <c r="BL19" i="3"/>
  <c r="S8" i="3"/>
  <c r="AV145" i="3"/>
  <c r="AX111" i="3"/>
  <c r="AI83" i="3"/>
  <c r="P133" i="3"/>
  <c r="AP175" i="3"/>
  <c r="L123" i="3"/>
  <c r="BI169" i="3"/>
  <c r="AF126" i="3"/>
  <c r="AF92" i="3"/>
  <c r="BB141" i="3"/>
  <c r="Q95" i="3"/>
  <c r="AA67" i="3"/>
  <c r="AY43" i="3"/>
  <c r="AG21" i="3"/>
  <c r="Z7" i="3"/>
  <c r="U130" i="3"/>
  <c r="BB93" i="3"/>
  <c r="O63" i="3"/>
  <c r="G42" i="3"/>
  <c r="Z19" i="3"/>
  <c r="J5" i="3"/>
  <c r="K129" i="3"/>
  <c r="V89" i="3"/>
  <c r="AG58" i="3"/>
  <c r="J33" i="3"/>
  <c r="AQ15" i="3"/>
  <c r="AS165" i="3"/>
  <c r="AJ111" i="3"/>
  <c r="Z76" i="3"/>
  <c r="T50" i="3"/>
  <c r="AU20" i="3"/>
  <c r="AH145" i="3"/>
  <c r="J25" i="3"/>
  <c r="AY142" i="3"/>
  <c r="P91" i="3"/>
  <c r="Q62" i="3"/>
  <c r="R32" i="3"/>
  <c r="AC8" i="3"/>
  <c r="U72" i="3"/>
  <c r="P138" i="3"/>
  <c r="G93" i="3"/>
  <c r="N57" i="3"/>
  <c r="AK33" i="3"/>
  <c r="BK9" i="3"/>
  <c r="BI84" i="3"/>
  <c r="J14" i="3"/>
  <c r="AU130" i="3"/>
  <c r="BL76" i="3"/>
  <c r="AN40" i="3"/>
  <c r="Q8" i="3"/>
  <c r="X34" i="3"/>
  <c r="BE76" i="3"/>
  <c r="R109" i="3"/>
  <c r="BJ24" i="3"/>
  <c r="AF29" i="3"/>
  <c r="BB89" i="3"/>
  <c r="AV152" i="3"/>
  <c r="AL183" i="3"/>
  <c r="AT103" i="3"/>
  <c r="BH57" i="3"/>
  <c r="N21" i="3"/>
  <c r="BH123" i="3"/>
  <c r="AJ22" i="3"/>
  <c r="Z58" i="3"/>
  <c r="I118" i="3"/>
  <c r="AI9" i="3"/>
  <c r="AK64" i="3"/>
  <c r="AZ92" i="3"/>
  <c r="W119" i="3"/>
  <c r="AL121" i="3"/>
  <c r="BG76" i="3"/>
  <c r="H35" i="3"/>
  <c r="BH13" i="3"/>
  <c r="X49" i="3"/>
  <c r="M102" i="3"/>
  <c r="BI150" i="3"/>
  <c r="BI11" i="3"/>
  <c r="V77" i="3"/>
  <c r="AZ112" i="3"/>
  <c r="AS55" i="3"/>
  <c r="BD99" i="3"/>
  <c r="G122" i="3"/>
  <c r="AD48" i="3"/>
  <c r="AY11" i="3"/>
  <c r="BG102" i="3"/>
  <c r="AI93" i="3"/>
  <c r="AA10" i="3"/>
  <c r="S17" i="3"/>
  <c r="BB140" i="3"/>
  <c r="AP82" i="3"/>
  <c r="O46" i="3"/>
  <c r="AY69" i="3"/>
  <c r="AH89" i="3"/>
  <c r="L26" i="3"/>
  <c r="AM85" i="3"/>
  <c r="AK44" i="3"/>
  <c r="AR60" i="3"/>
  <c r="Q22" i="3"/>
  <c r="M18" i="3"/>
  <c r="M75" i="3"/>
  <c r="AT40" i="3"/>
  <c r="BI96" i="3"/>
  <c r="AJ66" i="3"/>
  <c r="AX84" i="3"/>
  <c r="AN20" i="3"/>
  <c r="AN53" i="3"/>
  <c r="AF6" i="3"/>
  <c r="O18" i="3"/>
  <c r="BI126" i="3"/>
  <c r="M94" i="3"/>
  <c r="AD54" i="3"/>
  <c r="J30" i="3"/>
  <c r="G111" i="3"/>
  <c r="AM73" i="3"/>
  <c r="AT97" i="3"/>
  <c r="BJ27" i="3"/>
  <c r="J176" i="3"/>
  <c r="AW12" i="3"/>
  <c r="AF19" i="3"/>
  <c r="BE16" i="3"/>
  <c r="K31" i="3"/>
  <c r="AQ17" i="3"/>
  <c r="BM120" i="3"/>
  <c r="L87" i="3"/>
  <c r="AE134" i="3"/>
  <c r="L31" i="3"/>
  <c r="AC76" i="3"/>
  <c r="N42" i="3"/>
  <c r="F140" i="3"/>
  <c r="F50" i="3"/>
  <c r="F138" i="3"/>
  <c r="F177" i="3"/>
  <c r="F68" i="3"/>
  <c r="F83" i="3"/>
  <c r="K61" i="3"/>
  <c r="BD10" i="3"/>
  <c r="X81" i="3"/>
  <c r="BE22" i="3"/>
  <c r="AL53" i="3"/>
  <c r="M65" i="3"/>
  <c r="BK59" i="3"/>
  <c r="AY49" i="3"/>
  <c r="R85" i="3"/>
  <c r="AO100" i="3"/>
  <c r="BK120" i="3"/>
  <c r="BG14" i="3"/>
  <c r="BH84" i="3"/>
  <c r="AV18" i="3"/>
  <c r="F129" i="3"/>
  <c r="F113" i="3"/>
  <c r="Z188" i="3"/>
  <c r="I149" i="3"/>
  <c r="T159" i="3"/>
  <c r="BJ154" i="3"/>
  <c r="I160" i="3"/>
  <c r="AT173" i="3"/>
  <c r="BH181" i="3"/>
  <c r="AD142" i="3"/>
  <c r="AM147" i="3"/>
  <c r="AO165" i="3"/>
  <c r="AS167" i="3"/>
  <c r="AA125" i="3"/>
  <c r="Y142" i="3"/>
  <c r="AK169" i="3"/>
  <c r="BK138" i="3"/>
  <c r="I162" i="3"/>
  <c r="AH131" i="3"/>
  <c r="AA141" i="3"/>
  <c r="BG114" i="3"/>
  <c r="W134" i="3"/>
  <c r="K160" i="3"/>
  <c r="AP113" i="3"/>
  <c r="BL130" i="3"/>
  <c r="AX147" i="3"/>
  <c r="K101" i="3"/>
  <c r="I53" i="3"/>
  <c r="M131" i="3"/>
  <c r="AI92" i="3"/>
  <c r="W58" i="3"/>
  <c r="AM137" i="3"/>
  <c r="AH96" i="3"/>
  <c r="V62" i="3"/>
  <c r="AA145" i="3"/>
  <c r="BF99" i="3"/>
  <c r="U54" i="3"/>
  <c r="J133" i="3"/>
  <c r="AS84" i="3"/>
  <c r="T43" i="3"/>
  <c r="P159" i="3"/>
  <c r="AF100" i="3"/>
  <c r="AU59" i="3"/>
  <c r="AP26" i="3"/>
  <c r="BF120" i="3"/>
  <c r="BG80" i="3"/>
  <c r="K40" i="3"/>
  <c r="O107" i="3"/>
  <c r="K69" i="3"/>
  <c r="BC31" i="3"/>
  <c r="AS130" i="3"/>
  <c r="X75" i="3"/>
  <c r="W18" i="3"/>
  <c r="P134" i="3"/>
  <c r="R76" i="3"/>
  <c r="O32" i="3"/>
  <c r="Y164" i="3"/>
  <c r="G96" i="3"/>
  <c r="AE45" i="3"/>
  <c r="AB160" i="3"/>
  <c r="U75" i="3"/>
  <c r="Y17" i="3"/>
  <c r="BG119" i="3"/>
  <c r="BC50" i="3"/>
  <c r="K7" i="3"/>
  <c r="U97" i="3"/>
  <c r="X37" i="3"/>
  <c r="G161" i="3"/>
  <c r="BB59" i="3"/>
  <c r="AD9" i="3"/>
  <c r="Q96" i="3"/>
  <c r="V37" i="3"/>
  <c r="R143" i="3"/>
  <c r="BD167" i="3"/>
  <c r="U115" i="3"/>
  <c r="BC93" i="3"/>
  <c r="T20" i="3"/>
  <c r="V91" i="3"/>
  <c r="AA18" i="3"/>
  <c r="AH81" i="3"/>
  <c r="AX14" i="3"/>
  <c r="BG48" i="3"/>
  <c r="AC21" i="3"/>
  <c r="AJ53" i="3"/>
  <c r="BF70" i="3"/>
  <c r="AV55" i="3"/>
  <c r="AM12" i="3"/>
  <c r="J31" i="3"/>
  <c r="AX66" i="3"/>
  <c r="AN25" i="3"/>
  <c r="BL179" i="3"/>
  <c r="X105" i="3"/>
  <c r="N103" i="3"/>
  <c r="AY86" i="3"/>
  <c r="BM74" i="3"/>
  <c r="AV42" i="3"/>
  <c r="V69" i="3"/>
  <c r="BA95" i="3"/>
  <c r="BG9" i="3"/>
  <c r="S115" i="3"/>
  <c r="AH24" i="3"/>
  <c r="BE78" i="3"/>
  <c r="P93" i="3"/>
  <c r="AI87" i="3"/>
  <c r="BL39" i="3"/>
  <c r="AS81" i="3"/>
  <c r="BJ106" i="3"/>
  <c r="BJ67" i="3"/>
  <c r="AL6" i="3"/>
  <c r="AR14" i="3"/>
  <c r="F137" i="3"/>
  <c r="F102" i="3"/>
  <c r="BH192" i="3"/>
  <c r="BB148" i="3"/>
  <c r="AI189" i="3"/>
  <c r="AY159" i="3"/>
  <c r="AN162" i="3"/>
  <c r="BH156" i="3"/>
  <c r="P147" i="3"/>
  <c r="AM177" i="3"/>
  <c r="G137" i="3"/>
  <c r="AR190" i="3"/>
  <c r="AN126" i="3"/>
  <c r="N131" i="3"/>
  <c r="BG128" i="3"/>
  <c r="BJ133" i="3"/>
  <c r="AW137" i="3"/>
  <c r="N146" i="3"/>
  <c r="AL146" i="3"/>
  <c r="BI87" i="3"/>
  <c r="AW182" i="3"/>
  <c r="O104" i="3"/>
  <c r="AV57" i="3"/>
  <c r="AP122" i="3"/>
  <c r="AU73" i="3"/>
  <c r="AW144" i="3"/>
  <c r="W90" i="3"/>
  <c r="AW162" i="3"/>
  <c r="U84" i="3"/>
  <c r="BA32" i="3"/>
  <c r="BB114" i="3"/>
  <c r="W59" i="3"/>
  <c r="AF167" i="3"/>
  <c r="K92" i="3"/>
  <c r="BD39" i="3"/>
  <c r="AM123" i="3"/>
  <c r="Z54" i="3"/>
  <c r="AU159" i="3"/>
  <c r="BE74" i="3"/>
  <c r="AV17" i="3"/>
  <c r="AG109" i="3"/>
  <c r="AH43" i="3"/>
  <c r="L163" i="3"/>
  <c r="M77" i="3"/>
  <c r="U6" i="3"/>
  <c r="BB74" i="3"/>
  <c r="AN14" i="3"/>
  <c r="AH93" i="3"/>
  <c r="H18" i="3"/>
  <c r="BG96" i="3"/>
  <c r="L22" i="3"/>
  <c r="X101" i="3"/>
  <c r="AR8" i="3"/>
  <c r="T75" i="3"/>
  <c r="H7" i="3"/>
  <c r="AC130" i="3"/>
  <c r="AE114" i="3"/>
  <c r="AJ65" i="3"/>
  <c r="G120" i="3"/>
  <c r="BL17" i="3"/>
  <c r="W55" i="3"/>
  <c r="BK108" i="3"/>
  <c r="V92" i="3"/>
  <c r="AU52" i="3"/>
  <c r="X132" i="3"/>
  <c r="AB8" i="3"/>
  <c r="AI70" i="3"/>
  <c r="BJ64" i="3"/>
  <c r="AP76" i="3"/>
  <c r="BM45" i="3"/>
  <c r="AO43" i="3"/>
  <c r="BJ82" i="3"/>
  <c r="AT32" i="3"/>
  <c r="BI135" i="3"/>
  <c r="AY45" i="3"/>
  <c r="AL106" i="3"/>
  <c r="S102" i="3"/>
  <c r="AY84" i="3"/>
  <c r="X6" i="3"/>
  <c r="N86" i="3"/>
  <c r="AN113" i="3"/>
  <c r="AA39" i="3"/>
  <c r="AP13" i="3"/>
  <c r="BB4" i="3"/>
  <c r="BG108" i="3"/>
  <c r="U63" i="3"/>
  <c r="F11" i="3"/>
  <c r="AK192" i="3"/>
  <c r="P172" i="3"/>
  <c r="AS170" i="3"/>
  <c r="S167" i="3"/>
  <c r="AB159" i="3"/>
  <c r="Q162" i="3"/>
  <c r="AK156" i="3"/>
  <c r="BG146" i="3"/>
  <c r="M177" i="3"/>
  <c r="AZ136" i="3"/>
  <c r="W141" i="3"/>
  <c r="T138" i="3"/>
  <c r="AW186" i="3"/>
  <c r="S114" i="3"/>
  <c r="AI119" i="3"/>
  <c r="BK125" i="3"/>
  <c r="O130" i="3"/>
  <c r="BE126" i="3"/>
  <c r="AH76" i="3"/>
  <c r="AS152" i="3"/>
  <c r="BH91" i="3"/>
  <c r="M48" i="3"/>
  <c r="BG107" i="3"/>
  <c r="L52" i="3"/>
  <c r="R111" i="3"/>
  <c r="Z53" i="3"/>
  <c r="Z99" i="3"/>
  <c r="AS42" i="3"/>
  <c r="AC111" i="3"/>
  <c r="BH58" i="3"/>
  <c r="AM166" i="3"/>
  <c r="AZ91" i="3"/>
  <c r="AJ39" i="3"/>
  <c r="G123" i="3"/>
  <c r="X68" i="3"/>
  <c r="BB185" i="3"/>
  <c r="J90" i="3"/>
  <c r="AB28" i="3"/>
  <c r="BJ132" i="3"/>
  <c r="I60" i="3"/>
  <c r="AF8" i="3"/>
  <c r="BK91" i="3"/>
  <c r="U18" i="3"/>
  <c r="AU106" i="3"/>
  <c r="K38" i="3"/>
  <c r="U142" i="3"/>
  <c r="BD49" i="3"/>
  <c r="U146" i="3"/>
  <c r="BB54" i="3"/>
  <c r="BA156" i="3"/>
  <c r="AM58" i="3"/>
  <c r="T8" i="3"/>
  <c r="AS74" i="3"/>
  <c r="K141" i="3"/>
  <c r="AR163" i="3"/>
  <c r="BH89" i="3"/>
  <c r="AB40" i="3"/>
  <c r="BG82" i="3"/>
  <c r="AS171" i="3"/>
  <c r="BC30" i="3"/>
  <c r="O73" i="3"/>
  <c r="AY15" i="3"/>
  <c r="AC28" i="3"/>
  <c r="BF89" i="3"/>
  <c r="AE58" i="3"/>
  <c r="BE29" i="3"/>
  <c r="BD89" i="3"/>
  <c r="U121" i="3"/>
  <c r="AK18" i="3"/>
  <c r="BB86" i="3"/>
  <c r="BC65" i="3"/>
  <c r="S61" i="3"/>
  <c r="I6" i="3"/>
  <c r="AE59" i="3"/>
  <c r="BF4" i="3"/>
  <c r="H44" i="3"/>
  <c r="L96" i="3"/>
  <c r="AK70" i="3"/>
  <c r="AD5" i="3"/>
  <c r="M5" i="3"/>
  <c r="X19" i="3"/>
  <c r="AE5" i="3"/>
  <c r="O86" i="3"/>
  <c r="X16" i="3"/>
  <c r="BE102" i="3"/>
  <c r="AU152" i="3"/>
  <c r="M87" i="3"/>
  <c r="AH73" i="3"/>
  <c r="AG63" i="3"/>
  <c r="F125" i="3"/>
  <c r="F9" i="3"/>
  <c r="N192" i="3"/>
  <c r="BI171" i="3"/>
  <c r="Y158" i="3"/>
  <c r="AU153" i="3"/>
  <c r="AF146" i="3"/>
  <c r="K146" i="3"/>
  <c r="AI141" i="3"/>
  <c r="AK182" i="3"/>
  <c r="AL186" i="3"/>
  <c r="AF124" i="3"/>
  <c r="BC188" i="3"/>
  <c r="AY160" i="3"/>
  <c r="M160" i="3"/>
  <c r="AB167" i="3"/>
  <c r="O182" i="3"/>
  <c r="BC191" i="3"/>
  <c r="AY115" i="3"/>
  <c r="K113" i="3"/>
  <c r="N64" i="3"/>
  <c r="O116" i="3"/>
  <c r="H57" i="3"/>
  <c r="BD121" i="3"/>
  <c r="G73" i="3"/>
  <c r="AO143" i="3"/>
  <c r="AB89" i="3"/>
  <c r="Q159" i="3"/>
  <c r="AH83" i="3"/>
  <c r="M32" i="3"/>
  <c r="AU110" i="3"/>
  <c r="AJ58" i="3"/>
  <c r="AC119" i="3"/>
  <c r="AO64" i="3"/>
  <c r="BI174" i="3"/>
  <c r="I106" i="3"/>
  <c r="S53" i="3"/>
  <c r="AZ157" i="3"/>
  <c r="AL73" i="3"/>
  <c r="BK14" i="3"/>
  <c r="AU107" i="3"/>
  <c r="AY42" i="3"/>
  <c r="Y161" i="3"/>
  <c r="Q76" i="3"/>
  <c r="AT17" i="3"/>
  <c r="O106" i="3"/>
  <c r="BC37" i="3"/>
  <c r="AJ141" i="3"/>
  <c r="T49" i="3"/>
  <c r="AF145" i="3"/>
  <c r="N54" i="3"/>
  <c r="AM154" i="3"/>
  <c r="AP53" i="3"/>
  <c r="H148" i="3"/>
  <c r="BK51" i="3"/>
  <c r="M140" i="3"/>
  <c r="AO160" i="3"/>
  <c r="AE192" i="3"/>
  <c r="BJ39" i="3"/>
  <c r="K82" i="3"/>
  <c r="AV168" i="3"/>
  <c r="S30" i="3"/>
  <c r="X72" i="3"/>
  <c r="AE11" i="3"/>
  <c r="BG27" i="3"/>
  <c r="Z78" i="3"/>
  <c r="BM54" i="3"/>
  <c r="T28" i="3"/>
  <c r="BJ85" i="3"/>
  <c r="R120" i="3"/>
  <c r="BG17" i="3"/>
  <c r="BD76" i="3"/>
  <c r="AT66" i="3"/>
  <c r="AW5" i="3"/>
  <c r="AI124" i="3"/>
  <c r="L27" i="3"/>
  <c r="BJ81" i="3"/>
  <c r="AE95" i="3"/>
  <c r="H178" i="3"/>
  <c r="AY30" i="3"/>
  <c r="T31" i="3"/>
  <c r="BM68" i="3"/>
  <c r="M97" i="3"/>
  <c r="BD149" i="3"/>
  <c r="T82" i="3"/>
  <c r="BM60" i="3"/>
  <c r="AG51" i="3"/>
  <c r="F174" i="3"/>
  <c r="F139" i="3"/>
  <c r="AS185" i="3"/>
  <c r="AO171" i="3"/>
  <c r="T179" i="3"/>
  <c r="AA188" i="3"/>
  <c r="AA153" i="3"/>
  <c r="V158" i="3"/>
  <c r="S172" i="3"/>
  <c r="BD145" i="3"/>
  <c r="AU154" i="3"/>
  <c r="AK163" i="3"/>
  <c r="BI180" i="3"/>
  <c r="AE185" i="3"/>
  <c r="AN147" i="3"/>
  <c r="BK172" i="3"/>
  <c r="BC182" i="3"/>
  <c r="BH134" i="3"/>
  <c r="AE156" i="3"/>
  <c r="H179" i="3"/>
  <c r="Q124" i="3"/>
  <c r="AZ166" i="3"/>
  <c r="BH118" i="3"/>
  <c r="AN136" i="3"/>
  <c r="AD164" i="3"/>
  <c r="AE115" i="3"/>
  <c r="AK125" i="3"/>
  <c r="AT86" i="3"/>
  <c r="BG51" i="3"/>
  <c r="AE129" i="3"/>
  <c r="T91" i="3"/>
  <c r="BA56" i="3"/>
  <c r="AV135" i="3"/>
  <c r="S95" i="3"/>
  <c r="AZ72" i="3"/>
  <c r="AZ48" i="3"/>
  <c r="M122" i="3"/>
  <c r="AQ86" i="3"/>
  <c r="AT49" i="3"/>
  <c r="T110" i="3"/>
  <c r="T67" i="3"/>
  <c r="BF31" i="3"/>
  <c r="Y128" i="3"/>
  <c r="AR84" i="3"/>
  <c r="AR46" i="3"/>
  <c r="K164" i="3"/>
  <c r="V102" i="3"/>
  <c r="Q64" i="3"/>
  <c r="AO26" i="3"/>
  <c r="K122" i="3"/>
  <c r="BF78" i="3"/>
  <c r="AI39" i="3"/>
  <c r="AS183" i="3"/>
  <c r="L107" i="3"/>
  <c r="AF55" i="3"/>
  <c r="AQ14" i="3"/>
  <c r="BD131" i="3"/>
  <c r="T74" i="3"/>
  <c r="Q30" i="3"/>
  <c r="AA5" i="3"/>
  <c r="X127" i="3"/>
  <c r="AX75" i="3"/>
  <c r="AQ27" i="3"/>
  <c r="BF156" i="3"/>
  <c r="L88" i="3"/>
  <c r="AE37" i="3"/>
  <c r="AD4" i="3"/>
  <c r="AR91" i="3"/>
  <c r="AP29" i="3"/>
  <c r="M143" i="3"/>
  <c r="BM70" i="3"/>
  <c r="BD20" i="3"/>
  <c r="I119" i="3"/>
  <c r="J53" i="3"/>
  <c r="AG7" i="3"/>
  <c r="S93" i="3"/>
  <c r="O51" i="3"/>
  <c r="BA187" i="3"/>
  <c r="AQ175" i="3"/>
  <c r="BA107" i="3"/>
  <c r="P189" i="3"/>
  <c r="AX62" i="3"/>
  <c r="AU175" i="3"/>
  <c r="S57" i="3"/>
  <c r="AH166" i="3"/>
  <c r="Y53" i="3"/>
  <c r="BL148" i="3"/>
  <c r="U37" i="3"/>
  <c r="AB10" i="3"/>
  <c r="AG49" i="3"/>
  <c r="AH42" i="3"/>
  <c r="BB77" i="3"/>
  <c r="BL23" i="3"/>
  <c r="J6" i="3"/>
  <c r="AE27" i="3"/>
  <c r="AH29" i="3"/>
  <c r="M11" i="3"/>
  <c r="S137" i="3"/>
  <c r="P17" i="3"/>
  <c r="AP36" i="3"/>
  <c r="BB62" i="3"/>
  <c r="AO59" i="3"/>
  <c r="N24" i="3"/>
  <c r="AR171" i="3"/>
  <c r="BG21" i="3"/>
  <c r="BJ37" i="3"/>
  <c r="AC13" i="3"/>
  <c r="AJ91" i="3"/>
  <c r="I94" i="3"/>
  <c r="AN17" i="3"/>
  <c r="BF172" i="3"/>
  <c r="AL25" i="3"/>
  <c r="G178" i="3"/>
  <c r="AZ5" i="3"/>
  <c r="R93" i="3"/>
  <c r="AS23" i="3"/>
  <c r="R56" i="3"/>
  <c r="Y66" i="3"/>
  <c r="V95" i="3"/>
  <c r="AG126" i="3"/>
  <c r="G55" i="3"/>
  <c r="F171" i="3"/>
  <c r="F192" i="3"/>
  <c r="Y192" i="3"/>
  <c r="U171" i="3"/>
  <c r="BM178" i="3"/>
  <c r="AO187" i="3"/>
  <c r="G153" i="3"/>
  <c r="AQ157" i="3"/>
  <c r="BF171" i="3"/>
  <c r="G180" i="3"/>
  <c r="BH140" i="3"/>
  <c r="AZ145" i="3"/>
  <c r="AC189" i="3"/>
  <c r="U165" i="3"/>
  <c r="BE123" i="3"/>
  <c r="BL139" i="3"/>
  <c r="S148" i="3"/>
  <c r="Y125" i="3"/>
  <c r="AS154" i="3"/>
  <c r="BL129" i="3"/>
  <c r="J159" i="3"/>
  <c r="BG123" i="3"/>
  <c r="P166" i="3"/>
  <c r="AN118" i="3"/>
  <c r="BE154" i="3"/>
  <c r="S122" i="3"/>
  <c r="BG140" i="3"/>
  <c r="S166" i="3"/>
  <c r="J125" i="3"/>
  <c r="Z86" i="3"/>
  <c r="AM51" i="3"/>
  <c r="AO128" i="3"/>
  <c r="BM90" i="3"/>
  <c r="AG56" i="3"/>
  <c r="T135" i="3"/>
  <c r="BL94" i="3"/>
  <c r="AF72" i="3"/>
  <c r="AP169" i="3"/>
  <c r="W110" i="3"/>
  <c r="AJ75" i="3"/>
  <c r="BI157" i="3"/>
  <c r="BH97" i="3"/>
  <c r="AN55" i="3"/>
  <c r="BA28" i="3"/>
  <c r="BH127" i="3"/>
  <c r="T84" i="3"/>
  <c r="X46" i="3"/>
  <c r="O163" i="3"/>
  <c r="AP101" i="3"/>
  <c r="BB63" i="3"/>
  <c r="AO38" i="3"/>
  <c r="AW138" i="3"/>
  <c r="AO90" i="3"/>
  <c r="AJ52" i="3"/>
  <c r="AY182" i="3"/>
  <c r="AX106" i="3"/>
  <c r="AD69" i="3"/>
  <c r="AK54" i="3"/>
  <c r="BF26" i="3"/>
  <c r="H5" i="3"/>
  <c r="H131" i="3"/>
  <c r="AA92" i="3"/>
  <c r="AW58" i="3"/>
  <c r="BE26" i="3"/>
  <c r="G5" i="3"/>
  <c r="AO126" i="3"/>
  <c r="H90" i="3"/>
  <c r="BI56" i="3"/>
  <c r="S27" i="3"/>
  <c r="AE4" i="3"/>
  <c r="W122" i="3"/>
  <c r="BA87" i="3"/>
  <c r="AY53" i="3"/>
  <c r="W25" i="3"/>
  <c r="J4" i="3"/>
  <c r="I115" i="3"/>
  <c r="BL65" i="3"/>
  <c r="J29" i="3"/>
  <c r="AK184" i="3"/>
  <c r="M111" i="3"/>
  <c r="AC70" i="3"/>
  <c r="J34" i="3"/>
  <c r="AQ5" i="3"/>
  <c r="AK118" i="3"/>
  <c r="AI52" i="3"/>
  <c r="BB18" i="3"/>
  <c r="S146" i="3"/>
  <c r="AV92" i="3"/>
  <c r="AZ50" i="3"/>
  <c r="BK16" i="3"/>
  <c r="G134" i="3"/>
  <c r="Q174" i="3"/>
  <c r="AB158" i="3"/>
  <c r="I154" i="3"/>
  <c r="BB187" i="3"/>
  <c r="AQ83" i="3"/>
  <c r="AK17" i="3"/>
  <c r="H112" i="3"/>
  <c r="AV56" i="3"/>
  <c r="AR15" i="3"/>
  <c r="BB109" i="3"/>
  <c r="R29" i="3"/>
  <c r="W147" i="3"/>
  <c r="J70" i="3"/>
  <c r="Y78" i="3"/>
  <c r="G84" i="3"/>
  <c r="AH21" i="3"/>
  <c r="BA116" i="3"/>
  <c r="U23" i="3"/>
  <c r="BB191" i="3"/>
  <c r="AV26" i="3"/>
  <c r="AA27" i="3"/>
  <c r="V9" i="3"/>
  <c r="T133" i="3"/>
  <c r="AM40" i="3"/>
  <c r="AF181" i="3"/>
  <c r="O143" i="3"/>
  <c r="Y191" i="3"/>
  <c r="AR29" i="3"/>
  <c r="BH55" i="3"/>
  <c r="AI32" i="3"/>
  <c r="AO76" i="3"/>
  <c r="BG36" i="3"/>
  <c r="AX9" i="3"/>
  <c r="BE42" i="3"/>
  <c r="AS156" i="3"/>
  <c r="AX21" i="3"/>
  <c r="I158" i="3"/>
  <c r="K65" i="3"/>
  <c r="BC46" i="3"/>
  <c r="BD81" i="3"/>
  <c r="S65" i="3"/>
  <c r="BI142" i="3"/>
  <c r="AS144" i="3"/>
  <c r="Y124" i="3"/>
  <c r="AM100" i="3"/>
  <c r="AO45" i="3"/>
  <c r="AX18" i="3"/>
  <c r="F166" i="3"/>
  <c r="F54" i="3"/>
  <c r="AX191" i="3"/>
  <c r="AK191" i="3"/>
  <c r="AS166" i="3"/>
  <c r="S175" i="3"/>
  <c r="G184" i="3"/>
  <c r="AZ142" i="3"/>
  <c r="AP157" i="3"/>
  <c r="BD165" i="3"/>
  <c r="AJ175" i="3"/>
  <c r="O177" i="3"/>
  <c r="Y171" i="3"/>
  <c r="BF164" i="3"/>
  <c r="AO192" i="3"/>
  <c r="AP139" i="3"/>
  <c r="BI147" i="3"/>
  <c r="S174" i="3"/>
  <c r="AR129" i="3"/>
  <c r="AG138" i="3"/>
  <c r="AP165" i="3"/>
  <c r="T118" i="3"/>
  <c r="BL121" i="3"/>
  <c r="AG140" i="3"/>
  <c r="AF165" i="3"/>
  <c r="K109" i="3"/>
  <c r="AH72" i="3"/>
  <c r="AL172" i="3"/>
  <c r="BH111" i="3"/>
  <c r="AB77" i="3"/>
  <c r="N184" i="3"/>
  <c r="AL116" i="3"/>
  <c r="AR82" i="3"/>
  <c r="L48" i="3"/>
  <c r="AE121" i="3"/>
  <c r="AV85" i="3"/>
  <c r="U62" i="3"/>
  <c r="Z128" i="3"/>
  <c r="AB82" i="3"/>
  <c r="M40" i="3"/>
  <c r="AM146" i="3"/>
  <c r="BG97" i="3"/>
  <c r="AG57" i="3"/>
  <c r="V22" i="3"/>
  <c r="K116" i="3"/>
  <c r="AY74" i="3"/>
  <c r="U38" i="3"/>
  <c r="N163" i="3"/>
  <c r="AP104" i="3"/>
  <c r="BA63" i="3"/>
  <c r="BM29" i="3"/>
  <c r="BD124" i="3"/>
  <c r="BK68" i="3"/>
  <c r="AH26" i="3"/>
  <c r="BK156" i="3"/>
  <c r="BL91" i="3"/>
  <c r="AI40" i="3"/>
  <c r="L16" i="3"/>
  <c r="AC125" i="3"/>
  <c r="BC74" i="3"/>
  <c r="BD26" i="3"/>
  <c r="V143" i="3"/>
  <c r="Y87" i="3"/>
  <c r="AB68" i="3"/>
  <c r="BM24" i="3"/>
  <c r="BC138" i="3"/>
  <c r="AF65" i="3"/>
  <c r="BG15" i="3"/>
  <c r="AX110" i="3"/>
  <c r="AN52" i="3"/>
  <c r="S5" i="3"/>
  <c r="AW92" i="3"/>
  <c r="AI36" i="3"/>
  <c r="Q142" i="3"/>
  <c r="AN67" i="3"/>
  <c r="AE30" i="3"/>
  <c r="AG98" i="3"/>
  <c r="M157" i="3"/>
  <c r="T109" i="3"/>
  <c r="BH82" i="3"/>
  <c r="I17" i="3"/>
  <c r="Q80" i="3"/>
  <c r="L15" i="3"/>
  <c r="H76" i="3"/>
  <c r="AZ7" i="3"/>
  <c r="U69" i="3"/>
  <c r="AB75" i="3"/>
  <c r="AJ74" i="3"/>
  <c r="Q186" i="3"/>
  <c r="AC75" i="3"/>
  <c r="BC5" i="3"/>
  <c r="AK106" i="3"/>
  <c r="AD106" i="3"/>
  <c r="Z23" i="3"/>
  <c r="BB8" i="3"/>
  <c r="BK131" i="3"/>
  <c r="AM9" i="3"/>
  <c r="AR32" i="3"/>
  <c r="I21" i="3"/>
  <c r="BB110" i="3"/>
  <c r="AZ189" i="3"/>
  <c r="BD95" i="3"/>
  <c r="BE99" i="3"/>
  <c r="AI89" i="3"/>
  <c r="BB162" i="3"/>
  <c r="AB38" i="3"/>
  <c r="AT146" i="3"/>
  <c r="V19" i="3"/>
  <c r="BI138" i="3"/>
  <c r="AQ61" i="3"/>
  <c r="AL45" i="3"/>
  <c r="AR75" i="3"/>
  <c r="N12" i="3"/>
  <c r="M62" i="3"/>
  <c r="BJ44" i="3"/>
  <c r="AD134" i="3"/>
  <c r="BH53" i="3"/>
  <c r="BA149" i="3"/>
  <c r="F157" i="3"/>
  <c r="F103" i="3"/>
  <c r="AD191" i="3"/>
  <c r="Z170" i="3"/>
  <c r="Y178" i="3"/>
  <c r="BE186" i="3"/>
  <c r="AF152" i="3"/>
  <c r="BJ156" i="3"/>
  <c r="S157" i="3"/>
  <c r="AG165" i="3"/>
  <c r="J175" i="3"/>
  <c r="AY176" i="3"/>
  <c r="BJ170" i="3"/>
  <c r="W164" i="3"/>
  <c r="Q135" i="3"/>
  <c r="AX154" i="3"/>
  <c r="AV165" i="3"/>
  <c r="AD124" i="3"/>
  <c r="U141" i="3"/>
  <c r="AS176" i="3"/>
  <c r="P123" i="3"/>
  <c r="AH143" i="3"/>
  <c r="AA172" i="3"/>
  <c r="AR121" i="3"/>
  <c r="G140" i="3"/>
  <c r="BI164" i="3"/>
  <c r="BD108" i="3"/>
  <c r="N72" i="3"/>
  <c r="AW171" i="3"/>
  <c r="AS127" i="3"/>
  <c r="Y102" i="3"/>
  <c r="H77" i="3"/>
  <c r="BF55" i="3"/>
  <c r="AA134" i="3"/>
  <c r="X106" i="3"/>
  <c r="X82" i="3"/>
  <c r="BE71" i="3"/>
  <c r="AV167" i="3"/>
  <c r="G121" i="3"/>
  <c r="AB97" i="3"/>
  <c r="AT61" i="3"/>
  <c r="X156" i="3"/>
  <c r="L97" i="3"/>
  <c r="BA54" i="3"/>
  <c r="Y179" i="3"/>
  <c r="AZ126" i="3"/>
  <c r="AG83" i="3"/>
  <c r="S43" i="3"/>
  <c r="BB161" i="3"/>
  <c r="BG100" i="3"/>
  <c r="AA74" i="3"/>
  <c r="P35" i="3"/>
  <c r="AQ137" i="3"/>
  <c r="BI89" i="3"/>
  <c r="AC63" i="3"/>
  <c r="AS29" i="3"/>
  <c r="AD123" i="3"/>
  <c r="AI68" i="3"/>
  <c r="AH37" i="3"/>
  <c r="AG4" i="3"/>
  <c r="BE105" i="3"/>
  <c r="BC87" i="3"/>
  <c r="G40" i="3"/>
  <c r="AF4" i="3"/>
  <c r="AV106" i="3"/>
  <c r="AD55" i="3"/>
  <c r="AF26" i="3"/>
  <c r="BE142" i="3"/>
  <c r="BC86" i="3"/>
  <c r="BJ35" i="3"/>
  <c r="K179" i="3"/>
  <c r="AG89" i="3"/>
  <c r="P28" i="3"/>
  <c r="AB140" i="3"/>
  <c r="R69" i="3"/>
  <c r="Q33" i="3"/>
  <c r="BI4" i="3"/>
  <c r="BG115" i="3"/>
  <c r="L73" i="3"/>
  <c r="AX17" i="3"/>
  <c r="AF141" i="3"/>
  <c r="AK91" i="3"/>
  <c r="AM29" i="3"/>
  <c r="W132" i="3"/>
  <c r="BE167" i="3"/>
  <c r="BM104" i="3"/>
  <c r="W165" i="3"/>
  <c r="AD59" i="3"/>
  <c r="AW166" i="3"/>
  <c r="AS54" i="3"/>
  <c r="W157" i="3"/>
  <c r="AT46" i="3"/>
  <c r="BA142" i="3"/>
  <c r="AR35" i="3"/>
  <c r="BL173" i="3"/>
  <c r="J47" i="3"/>
  <c r="BG32" i="3"/>
  <c r="BE48" i="3"/>
  <c r="AN44" i="3"/>
  <c r="R52" i="3"/>
  <c r="AH14" i="3"/>
  <c r="T120" i="3"/>
  <c r="BA98" i="3"/>
  <c r="O38" i="3"/>
  <c r="BL165" i="3"/>
  <c r="U131" i="3"/>
  <c r="H187" i="3"/>
  <c r="M21" i="3"/>
  <c r="U48" i="3"/>
  <c r="X23" i="3"/>
  <c r="BE72" i="3"/>
  <c r="Q57" i="3"/>
  <c r="S85" i="3"/>
  <c r="AK25" i="3"/>
  <c r="AA52" i="3"/>
  <c r="Z14" i="3"/>
  <c r="O22" i="3"/>
  <c r="AA32" i="3"/>
  <c r="AW11" i="3"/>
  <c r="G74" i="3"/>
  <c r="Y109" i="3"/>
  <c r="BI59" i="3"/>
  <c r="BG33" i="3"/>
  <c r="I122" i="3"/>
  <c r="AV43" i="3"/>
  <c r="BK192" i="3"/>
  <c r="F96" i="3"/>
  <c r="F133" i="3"/>
  <c r="AS188" i="3"/>
  <c r="BD156" i="3"/>
  <c r="AX165" i="3"/>
  <c r="AR174" i="3"/>
  <c r="X183" i="3"/>
  <c r="L142" i="3"/>
  <c r="BI156" i="3"/>
  <c r="G165" i="3"/>
  <c r="AX149" i="3"/>
  <c r="BD157" i="3"/>
  <c r="AP174" i="3"/>
  <c r="W179" i="3"/>
  <c r="L132" i="3"/>
  <c r="AL169" i="3"/>
  <c r="AV180" i="3"/>
  <c r="AS133" i="3"/>
  <c r="AG153" i="3"/>
  <c r="Z175" i="3"/>
  <c r="BI122" i="3"/>
  <c r="AM142" i="3"/>
  <c r="BD171" i="3"/>
  <c r="X121" i="3"/>
  <c r="AV139" i="3"/>
  <c r="P114" i="3"/>
  <c r="AY123" i="3"/>
  <c r="K85" i="3"/>
  <c r="AR50" i="3"/>
  <c r="R127" i="3"/>
  <c r="AX89" i="3"/>
  <c r="AL55" i="3"/>
  <c r="BF133" i="3"/>
  <c r="S103" i="3"/>
  <c r="AZ68" i="3"/>
  <c r="BI160" i="3"/>
  <c r="AQ106" i="3"/>
  <c r="AJ71" i="3"/>
  <c r="Q147" i="3"/>
  <c r="X93" i="3"/>
  <c r="AS50" i="3"/>
  <c r="AG178" i="3"/>
  <c r="AZ108" i="3"/>
  <c r="AQ67" i="3"/>
  <c r="AZ32" i="3"/>
  <c r="O159" i="3"/>
  <c r="AE100" i="3"/>
  <c r="V59" i="3"/>
  <c r="AY24" i="3"/>
  <c r="AQ115" i="3"/>
  <c r="AE77" i="3"/>
  <c r="T38" i="3"/>
  <c r="BH26" i="3"/>
  <c r="BJ122" i="3"/>
  <c r="AI67" i="3"/>
  <c r="BB25" i="3"/>
  <c r="O152" i="3"/>
  <c r="AA87" i="3"/>
  <c r="Q53" i="3"/>
  <c r="AK15" i="3"/>
  <c r="AB123" i="3"/>
  <c r="BD69" i="3"/>
  <c r="H26" i="3"/>
  <c r="S141" i="3"/>
  <c r="AA86" i="3"/>
  <c r="AH35" i="3"/>
  <c r="AD176" i="3"/>
  <c r="BJ88" i="3"/>
  <c r="BA27" i="3"/>
  <c r="AZ139" i="3"/>
  <c r="AQ68" i="3"/>
  <c r="Q16" i="3"/>
  <c r="G115" i="3"/>
  <c r="BA50" i="3"/>
  <c r="R189" i="3"/>
  <c r="AH90" i="3"/>
  <c r="AO28" i="3"/>
  <c r="AX178" i="3"/>
  <c r="W166" i="3"/>
  <c r="Q104" i="3"/>
  <c r="BB163" i="3"/>
  <c r="AY58" i="3"/>
  <c r="V165" i="3"/>
  <c r="AJ48" i="3"/>
  <c r="R156" i="3"/>
  <c r="AI45" i="3"/>
  <c r="AM139" i="3"/>
  <c r="BM34" i="3"/>
  <c r="AZ172" i="3"/>
  <c r="AC46" i="3"/>
  <c r="AD17" i="3"/>
  <c r="BK47" i="3"/>
  <c r="L43" i="3"/>
  <c r="AE51" i="3"/>
  <c r="Q13" i="3"/>
  <c r="T108" i="3"/>
  <c r="AX65" i="3"/>
  <c r="AK37" i="3"/>
  <c r="BM150" i="3"/>
  <c r="I130" i="3"/>
  <c r="V185" i="3"/>
  <c r="AC20" i="3"/>
  <c r="BA35" i="3"/>
  <c r="J138" i="3"/>
  <c r="BB95" i="3"/>
  <c r="BF85" i="3"/>
  <c r="AD13" i="3"/>
  <c r="AS78" i="3"/>
  <c r="AN63" i="3"/>
  <c r="AG13" i="3"/>
  <c r="BB121" i="3"/>
  <c r="BK105" i="3"/>
  <c r="W135" i="3"/>
  <c r="V94" i="3"/>
  <c r="AM8" i="3"/>
  <c r="O99" i="3"/>
  <c r="R100" i="3"/>
  <c r="BL37" i="3"/>
  <c r="K62" i="3"/>
  <c r="BH36" i="3"/>
  <c r="AN178" i="3"/>
  <c r="F57" i="3"/>
  <c r="F58" i="3"/>
  <c r="Y188" i="3"/>
  <c r="AE169" i="3"/>
  <c r="AD177" i="3"/>
  <c r="M186" i="3"/>
  <c r="BE151" i="3"/>
  <c r="BE141" i="3"/>
  <c r="AL156" i="3"/>
  <c r="AW164" i="3"/>
  <c r="R174" i="3"/>
  <c r="BL175" i="3"/>
  <c r="G170" i="3"/>
  <c r="W145" i="3"/>
  <c r="AP168" i="3"/>
  <c r="R180" i="3"/>
  <c r="Y133" i="3"/>
  <c r="AL152" i="3"/>
  <c r="BA174" i="3"/>
  <c r="AO122" i="3"/>
  <c r="Y163" i="3"/>
  <c r="H116" i="3"/>
  <c r="R134" i="3"/>
  <c r="BC161" i="3"/>
  <c r="BI113" i="3"/>
  <c r="AA123" i="3"/>
  <c r="BD84" i="3"/>
  <c r="X50" i="3"/>
  <c r="BD126" i="3"/>
  <c r="AD89" i="3"/>
  <c r="AG64" i="3"/>
  <c r="BL181" i="3"/>
  <c r="AA115" i="3"/>
  <c r="AC81" i="3"/>
  <c r="Q47" i="3"/>
  <c r="W120" i="3"/>
  <c r="BA84" i="3"/>
  <c r="AY60" i="3"/>
  <c r="BA126" i="3"/>
  <c r="BI80" i="3"/>
  <c r="R39" i="3"/>
  <c r="AD144" i="3"/>
  <c r="G94" i="3"/>
  <c r="BK55" i="3"/>
  <c r="G21" i="3"/>
  <c r="BA114" i="3"/>
  <c r="T73" i="3"/>
  <c r="T47" i="3"/>
  <c r="BM160" i="3"/>
  <c r="AE103" i="3"/>
  <c r="R62" i="3"/>
  <c r="AN26" i="3"/>
  <c r="Z122" i="3"/>
  <c r="G67" i="3"/>
  <c r="AD25" i="3"/>
  <c r="AU121" i="3"/>
  <c r="K71" i="3"/>
  <c r="AC25" i="3"/>
  <c r="Y153" i="3"/>
  <c r="Q88" i="3"/>
  <c r="AF37" i="3"/>
  <c r="BC187" i="3"/>
  <c r="AZ99" i="3"/>
  <c r="AW47" i="3"/>
  <c r="BC11" i="3"/>
  <c r="BD106" i="3"/>
  <c r="AR63" i="3"/>
  <c r="AV14" i="3"/>
  <c r="BE130" i="3"/>
  <c r="J87" i="3"/>
  <c r="W32" i="3"/>
  <c r="I4" i="3"/>
  <c r="AG114" i="3"/>
  <c r="M50" i="3"/>
  <c r="BL16" i="3"/>
  <c r="AR139" i="3"/>
  <c r="U65" i="3"/>
  <c r="I28" i="3"/>
  <c r="AD130" i="3"/>
  <c r="BG150" i="3"/>
  <c r="AW103" i="3"/>
  <c r="W160" i="3"/>
  <c r="BJ80" i="3"/>
  <c r="AQ163" i="3"/>
  <c r="BI47" i="3"/>
  <c r="AK154" i="3"/>
  <c r="AD73" i="3"/>
  <c r="AC6" i="3"/>
  <c r="S60" i="3"/>
  <c r="BL57" i="3"/>
  <c r="BJ108" i="3"/>
  <c r="AI18" i="3"/>
  <c r="AP112" i="3"/>
  <c r="G20" i="3"/>
  <c r="AM160" i="3"/>
  <c r="S21" i="3"/>
  <c r="X11" i="3"/>
  <c r="Y107" i="3"/>
  <c r="AS63" i="3"/>
  <c r="AW36" i="3"/>
  <c r="BJ135" i="3"/>
  <c r="BF38" i="3"/>
  <c r="BD4" i="3"/>
  <c r="P52" i="3"/>
  <c r="AK143" i="3"/>
  <c r="AX91" i="3"/>
  <c r="BH93" i="3"/>
  <c r="AZ84" i="3"/>
  <c r="BM40" i="3"/>
  <c r="AW72" i="3"/>
  <c r="J18" i="3"/>
  <c r="Q48" i="3"/>
  <c r="AP98" i="3"/>
  <c r="T9" i="3"/>
  <c r="AC24" i="3"/>
  <c r="BE9" i="3"/>
  <c r="T65" i="3"/>
  <c r="K94" i="3"/>
  <c r="I40" i="3"/>
  <c r="R159" i="3"/>
  <c r="AW18" i="3"/>
  <c r="AS97" i="3"/>
  <c r="BM10" i="3"/>
  <c r="F136" i="3"/>
  <c r="F150" i="3"/>
  <c r="AX187" i="3"/>
  <c r="AO179" i="3"/>
  <c r="K169" i="3"/>
  <c r="P156" i="3"/>
  <c r="AJ186" i="3"/>
  <c r="J177" i="3"/>
  <c r="J165" i="3"/>
  <c r="M152" i="3"/>
  <c r="BE185" i="3"/>
  <c r="AW173" i="3"/>
  <c r="AW161" i="3"/>
  <c r="AK151" i="3"/>
  <c r="R182" i="3"/>
  <c r="Q167" i="3"/>
  <c r="AW154" i="3"/>
  <c r="AK141" i="3"/>
  <c r="BE180" i="3"/>
  <c r="I170" i="3"/>
  <c r="L156" i="3"/>
  <c r="BB189" i="3"/>
  <c r="BL177" i="3"/>
  <c r="Z164" i="3"/>
  <c r="AQ148" i="3"/>
  <c r="Y139" i="3"/>
  <c r="BJ173" i="3"/>
  <c r="AN156" i="3"/>
  <c r="T143" i="3"/>
  <c r="AI175" i="3"/>
  <c r="BH173" i="3"/>
  <c r="BK186" i="3"/>
  <c r="AS169" i="3"/>
  <c r="S178" i="3"/>
  <c r="AP162" i="3"/>
  <c r="BL144" i="3"/>
  <c r="AK131" i="3"/>
  <c r="AL189" i="3"/>
  <c r="J168" i="3"/>
  <c r="AL149" i="3"/>
  <c r="BB179" i="3"/>
  <c r="Y160" i="3"/>
  <c r="AB146" i="3"/>
  <c r="AX132" i="3"/>
  <c r="AB186" i="3"/>
  <c r="AC172" i="3"/>
  <c r="H152" i="3"/>
  <c r="AR137" i="3"/>
  <c r="I128" i="3"/>
  <c r="AN150" i="3"/>
  <c r="AP136" i="3"/>
  <c r="U122" i="3"/>
  <c r="BH182" i="3"/>
  <c r="AZ141" i="3"/>
  <c r="AU126" i="3"/>
  <c r="AZ170" i="3"/>
  <c r="AQ146" i="3"/>
  <c r="AC120" i="3"/>
  <c r="AT179" i="3"/>
  <c r="Q161" i="3"/>
  <c r="BD138" i="3"/>
  <c r="N124" i="3"/>
  <c r="AO113" i="3"/>
  <c r="S162" i="3"/>
  <c r="M137" i="3"/>
  <c r="AR122" i="3"/>
  <c r="BI107" i="3"/>
  <c r="AT94" i="3"/>
  <c r="AJ84" i="3"/>
  <c r="S71" i="3"/>
  <c r="S59" i="3"/>
  <c r="AW49" i="3"/>
  <c r="Y168" i="3"/>
  <c r="AR142" i="3"/>
  <c r="AC126" i="3"/>
  <c r="AS110" i="3"/>
  <c r="AS98" i="3"/>
  <c r="J89" i="3"/>
  <c r="M76" i="3"/>
  <c r="M64" i="3"/>
  <c r="BK54" i="3"/>
  <c r="Z180" i="3"/>
  <c r="BI149" i="3"/>
  <c r="BM132" i="3"/>
  <c r="AR114" i="3"/>
  <c r="AR102" i="3"/>
  <c r="I93" i="3"/>
  <c r="I81" i="3"/>
  <c r="M51" i="3"/>
  <c r="AI13" i="3"/>
  <c r="AW192" i="3"/>
  <c r="BL154" i="3"/>
  <c r="BC164" i="3"/>
  <c r="AC173" i="3"/>
  <c r="BJ181" i="3"/>
  <c r="Q141" i="3"/>
  <c r="AV154" i="3"/>
  <c r="AS163" i="3"/>
  <c r="H156" i="3"/>
  <c r="AH173" i="3"/>
  <c r="BI177" i="3"/>
  <c r="Q131" i="3"/>
  <c r="K149" i="3"/>
  <c r="BK159" i="3"/>
  <c r="BK185" i="3"/>
  <c r="X137" i="3"/>
  <c r="I150" i="3"/>
  <c r="S182" i="3"/>
  <c r="X126" i="3"/>
  <c r="O146" i="3"/>
  <c r="AH178" i="3"/>
  <c r="BA123" i="3"/>
  <c r="BA136" i="3"/>
  <c r="Z94" i="3"/>
  <c r="BL58" i="3"/>
  <c r="AN141" i="3"/>
  <c r="Y110" i="3"/>
  <c r="BF75" i="3"/>
  <c r="AJ179" i="3"/>
  <c r="T114" i="3"/>
  <c r="BB80" i="3"/>
  <c r="AN191" i="3"/>
  <c r="AN119" i="3"/>
  <c r="M84" i="3"/>
  <c r="M181" i="3"/>
  <c r="BC125" i="3"/>
  <c r="I80" i="3"/>
  <c r="AQ38" i="3"/>
  <c r="AC142" i="3"/>
  <c r="W93" i="3"/>
  <c r="K55" i="3"/>
  <c r="AF20" i="3"/>
  <c r="AP110" i="3"/>
  <c r="AK72" i="3"/>
  <c r="AT33" i="3"/>
  <c r="AY134" i="3"/>
  <c r="Z88" i="3"/>
  <c r="AM61" i="3"/>
  <c r="BM25" i="3"/>
  <c r="L121" i="3"/>
  <c r="L66" i="3"/>
  <c r="R21" i="3"/>
  <c r="AN148" i="3"/>
  <c r="BM85" i="3"/>
  <c r="AK38" i="3"/>
  <c r="AZ185" i="3"/>
  <c r="AP121" i="3"/>
  <c r="AC68" i="3"/>
  <c r="V36" i="3"/>
  <c r="K12" i="3"/>
  <c r="I139" i="3"/>
  <c r="BD98" i="3"/>
  <c r="N65" i="3"/>
  <c r="AA34" i="3"/>
  <c r="O11" i="3"/>
  <c r="AX134" i="3"/>
  <c r="K87" i="3"/>
  <c r="AS40" i="3"/>
  <c r="BL10" i="3"/>
  <c r="AC107" i="3"/>
  <c r="AC66" i="3"/>
  <c r="X31" i="3"/>
  <c r="AD190" i="3"/>
  <c r="BH88" i="3"/>
  <c r="R49" i="3"/>
  <c r="AI184" i="3"/>
  <c r="AA107" i="3"/>
  <c r="H64" i="3"/>
  <c r="T11" i="3"/>
  <c r="AQ93" i="3"/>
  <c r="U132" i="3"/>
  <c r="Q105" i="3"/>
  <c r="BB78" i="3"/>
  <c r="AM10" i="3"/>
  <c r="AF75" i="3"/>
  <c r="BD8" i="3"/>
  <c r="AC71" i="3"/>
  <c r="BA19" i="3"/>
  <c r="X91" i="3"/>
  <c r="V7" i="3"/>
  <c r="AK165" i="3"/>
  <c r="AP44" i="3"/>
  <c r="AS6" i="3"/>
  <c r="AS38" i="3"/>
  <c r="G36" i="3"/>
  <c r="AC48" i="3"/>
  <c r="AF104" i="3"/>
  <c r="K102" i="3"/>
  <c r="AN56" i="3"/>
  <c r="Z34" i="3"/>
  <c r="AZ123" i="3"/>
  <c r="W77" i="3"/>
  <c r="AC29" i="3"/>
  <c r="K11" i="3"/>
  <c r="AJ101" i="3"/>
  <c r="M135" i="3"/>
  <c r="BI40" i="3"/>
  <c r="L37" i="3"/>
  <c r="AM38" i="3"/>
  <c r="U35" i="3"/>
  <c r="T162" i="3"/>
  <c r="W33" i="3"/>
  <c r="Z96" i="3"/>
  <c r="BD14" i="3"/>
  <c r="AZ11" i="3"/>
  <c r="AU12" i="3"/>
  <c r="F169" i="3"/>
  <c r="F26" i="3"/>
  <c r="BG192" i="3"/>
  <c r="AT178" i="3"/>
  <c r="BF185" i="3"/>
  <c r="AL151" i="3"/>
  <c r="I161" i="3"/>
  <c r="AK166" i="3"/>
  <c r="H180" i="3"/>
  <c r="BH188" i="3"/>
  <c r="BM147" i="3"/>
  <c r="BC154" i="3"/>
  <c r="AS172" i="3"/>
  <c r="AB177" i="3"/>
  <c r="BJ130" i="3"/>
  <c r="AX148" i="3"/>
  <c r="AG159" i="3"/>
  <c r="AB185" i="3"/>
  <c r="P151" i="3"/>
  <c r="AG172" i="3"/>
  <c r="Z121" i="3"/>
  <c r="BK140" i="3"/>
  <c r="AR169" i="3"/>
  <c r="BB119" i="3"/>
  <c r="AV137" i="3"/>
  <c r="BL160" i="3"/>
  <c r="U107" i="3"/>
  <c r="AY93" i="3"/>
  <c r="AR58" i="3"/>
  <c r="H141" i="3"/>
  <c r="AX97" i="3"/>
  <c r="AL63" i="3"/>
  <c r="BE148" i="3"/>
  <c r="AW101" i="3"/>
  <c r="AH80" i="3"/>
  <c r="BI190" i="3"/>
  <c r="L119" i="3"/>
  <c r="BF83" i="3"/>
  <c r="L180" i="3"/>
  <c r="BH106" i="3"/>
  <c r="BH63" i="3"/>
  <c r="N49" i="3"/>
  <c r="AB168" i="3"/>
  <c r="BG106" i="3"/>
  <c r="H66" i="3"/>
  <c r="G29" i="3"/>
  <c r="BJ128" i="3"/>
  <c r="S84" i="3"/>
  <c r="W46" i="3"/>
  <c r="BA157" i="3"/>
  <c r="W99" i="3"/>
  <c r="AJ72" i="3"/>
  <c r="AX36" i="3"/>
  <c r="N142" i="3"/>
  <c r="AG81" i="3"/>
  <c r="AO35" i="3"/>
  <c r="W178" i="3"/>
  <c r="AK102" i="3"/>
  <c r="W51" i="3"/>
  <c r="BE11" i="3"/>
  <c r="AL120" i="3"/>
  <c r="AG67" i="3"/>
  <c r="R24" i="3"/>
  <c r="X138" i="3"/>
  <c r="BK80" i="3"/>
  <c r="AQ33" i="3"/>
  <c r="AN169" i="3"/>
  <c r="AN81" i="3"/>
  <c r="BJ25" i="3"/>
  <c r="AV170" i="3"/>
  <c r="BM84" i="3"/>
  <c r="BM30" i="3"/>
  <c r="V136" i="3"/>
  <c r="BE64" i="3"/>
  <c r="BA15" i="3"/>
  <c r="BA106" i="3"/>
  <c r="AD42" i="3"/>
  <c r="U169" i="3"/>
  <c r="AQ145" i="3"/>
  <c r="X100" i="3"/>
  <c r="AK153" i="3"/>
  <c r="AK48" i="3"/>
  <c r="S156" i="3"/>
  <c r="AJ45" i="3"/>
  <c r="AP148" i="3"/>
  <c r="AS64" i="3"/>
  <c r="AQ4" i="3"/>
  <c r="P57" i="3"/>
  <c r="AH53" i="3"/>
  <c r="BB67" i="3"/>
  <c r="AM102" i="3"/>
  <c r="U68" i="3"/>
  <c r="V103" i="3"/>
  <c r="Q100" i="3"/>
  <c r="BF73" i="3"/>
  <c r="J44" i="3"/>
  <c r="AR55" i="3"/>
  <c r="AI33" i="3"/>
  <c r="AT122" i="3"/>
  <c r="AQ76" i="3"/>
  <c r="BC177" i="3"/>
  <c r="BF17" i="3"/>
  <c r="AE7" i="3"/>
  <c r="K17" i="3"/>
  <c r="N139" i="3"/>
  <c r="AM20" i="3"/>
  <c r="AQ75" i="3"/>
  <c r="S9" i="3"/>
  <c r="AY98" i="3"/>
  <c r="I129" i="3"/>
  <c r="AG39" i="3"/>
  <c r="AP184" i="3"/>
  <c r="AZ37" i="3"/>
  <c r="AM31" i="3"/>
  <c r="BE147" i="3"/>
  <c r="BL103" i="3"/>
  <c r="AR69" i="3"/>
  <c r="AD64" i="3"/>
  <c r="N26" i="3"/>
  <c r="Q176" i="3"/>
  <c r="BM7" i="3"/>
  <c r="F98" i="3"/>
  <c r="F162" i="3"/>
  <c r="AJ192" i="3"/>
  <c r="Z178" i="3"/>
  <c r="X154" i="3"/>
  <c r="AD173" i="3"/>
  <c r="R151" i="3"/>
  <c r="BB172" i="3"/>
  <c r="R192" i="3"/>
  <c r="AD150" i="3"/>
  <c r="AX179" i="3"/>
  <c r="AF188" i="3"/>
  <c r="BJ162" i="3"/>
  <c r="AU172" i="3"/>
  <c r="BL187" i="3"/>
  <c r="AU181" i="3"/>
  <c r="BG157" i="3"/>
  <c r="W182" i="3"/>
  <c r="AQ166" i="3"/>
  <c r="Q178" i="3"/>
  <c r="BC131" i="3"/>
  <c r="BB150" i="3"/>
  <c r="AC124" i="3"/>
  <c r="AH132" i="3"/>
  <c r="AD156" i="3"/>
  <c r="Q190" i="3"/>
  <c r="AJ129" i="3"/>
  <c r="AY152" i="3"/>
  <c r="W184" i="3"/>
  <c r="H118" i="3"/>
  <c r="AJ80" i="3"/>
  <c r="X58" i="3"/>
  <c r="AT140" i="3"/>
  <c r="AD97" i="3"/>
  <c r="R63" i="3"/>
  <c r="K148" i="3"/>
  <c r="AC101" i="3"/>
  <c r="Q67" i="3"/>
  <c r="Z156" i="3"/>
  <c r="BA104" i="3"/>
  <c r="AT69" i="3"/>
  <c r="AY143" i="3"/>
  <c r="AD91" i="3"/>
  <c r="BC48" i="3"/>
  <c r="AG167" i="3"/>
  <c r="AA120" i="3"/>
  <c r="BH80" i="3"/>
  <c r="AZ28" i="3"/>
  <c r="X128" i="3"/>
  <c r="BD83" i="3"/>
  <c r="AV45" i="3"/>
  <c r="U156" i="3"/>
  <c r="BI98" i="3"/>
  <c r="BD60" i="3"/>
  <c r="AD36" i="3"/>
  <c r="AD141" i="3"/>
  <c r="AL80" i="3"/>
  <c r="M35" i="3"/>
  <c r="L177" i="3"/>
  <c r="I102" i="3"/>
  <c r="BH50" i="3"/>
  <c r="AK11" i="3"/>
  <c r="BF142" i="3"/>
  <c r="BA99" i="3"/>
  <c r="U52" i="3"/>
  <c r="AJ11" i="3"/>
  <c r="N111" i="3"/>
  <c r="U64" i="3"/>
  <c r="AI19" i="3"/>
  <c r="AV125" i="3"/>
  <c r="X60" i="3"/>
  <c r="L10" i="3"/>
  <c r="S106" i="3"/>
  <c r="Q45" i="3"/>
  <c r="AA175" i="3"/>
  <c r="BB106" i="3"/>
  <c r="AJ47" i="3"/>
  <c r="AP180" i="3"/>
  <c r="AL82" i="3"/>
  <c r="S26" i="3"/>
  <c r="AJ116" i="3"/>
  <c r="BB107" i="3"/>
  <c r="AG133" i="3"/>
  <c r="AK99" i="3"/>
  <c r="T29" i="3"/>
  <c r="Y97" i="3"/>
  <c r="AN27" i="3"/>
  <c r="G95" i="3"/>
  <c r="BF18" i="3"/>
  <c r="BM89" i="3"/>
  <c r="M6" i="3"/>
  <c r="AF96" i="3"/>
  <c r="BI15" i="3"/>
  <c r="K98" i="3"/>
  <c r="AE17" i="3"/>
  <c r="X140" i="3"/>
  <c r="AR12" i="3"/>
  <c r="BG8" i="3"/>
  <c r="BC95" i="3"/>
  <c r="AH16" i="3"/>
  <c r="BJ53" i="3"/>
  <c r="AU26" i="3"/>
  <c r="BF116" i="3"/>
  <c r="AU75" i="3"/>
  <c r="AK173" i="3"/>
  <c r="O17" i="3"/>
  <c r="G6" i="3"/>
  <c r="AW10" i="3"/>
  <c r="AD137" i="3"/>
  <c r="AL17" i="3"/>
  <c r="S46" i="3"/>
  <c r="G75" i="3"/>
  <c r="W43" i="3"/>
  <c r="AM84" i="3"/>
  <c r="BL105" i="3"/>
  <c r="AJ174" i="3"/>
  <c r="AL93" i="3"/>
  <c r="P77" i="3"/>
  <c r="I135" i="3"/>
  <c r="N23" i="3"/>
  <c r="H56" i="3"/>
  <c r="L62" i="3"/>
  <c r="Z24" i="3"/>
  <c r="BF108" i="3"/>
  <c r="Q120" i="3"/>
  <c r="F70" i="3"/>
  <c r="F20" i="3"/>
  <c r="AL191" i="3"/>
  <c r="AK168" i="3"/>
  <c r="AK139" i="3"/>
  <c r="AB126" i="3"/>
  <c r="BJ78" i="3"/>
  <c r="K131" i="3"/>
  <c r="R83" i="3"/>
  <c r="AL178" i="3"/>
  <c r="L106" i="3"/>
  <c r="H63" i="3"/>
  <c r="AV25" i="3"/>
  <c r="BJ119" i="3"/>
  <c r="Y65" i="3"/>
  <c r="BM183" i="3"/>
  <c r="AL109" i="3"/>
  <c r="Z71" i="3"/>
  <c r="AE32" i="3"/>
  <c r="BF127" i="3"/>
  <c r="BE86" i="3"/>
  <c r="V46" i="3"/>
  <c r="AX140" i="3"/>
  <c r="AL78" i="3"/>
  <c r="BB34" i="3"/>
  <c r="H176" i="3"/>
  <c r="AD98" i="3"/>
  <c r="AF50" i="3"/>
  <c r="Q11" i="3"/>
  <c r="BE118" i="3"/>
  <c r="J66" i="3"/>
  <c r="BF20" i="3"/>
  <c r="X136" i="3"/>
  <c r="AE78" i="3"/>
  <c r="BI32" i="3"/>
  <c r="Y167" i="3"/>
  <c r="AX78" i="3"/>
  <c r="AM24" i="3"/>
  <c r="P126" i="3"/>
  <c r="BC59" i="3"/>
  <c r="AM13" i="3"/>
  <c r="N106" i="3"/>
  <c r="AM46" i="3"/>
  <c r="BE177" i="3"/>
  <c r="AK81" i="3"/>
  <c r="BG25" i="3"/>
  <c r="AW115" i="3"/>
  <c r="AB106" i="3"/>
  <c r="AU132" i="3"/>
  <c r="BH98" i="3"/>
  <c r="AV28" i="3"/>
  <c r="AX96" i="3"/>
  <c r="AF21" i="3"/>
  <c r="AA94" i="3"/>
  <c r="Z18" i="3"/>
  <c r="H88" i="3"/>
  <c r="BE5" i="3"/>
  <c r="AM65" i="3"/>
  <c r="BE94" i="3"/>
  <c r="R66" i="3"/>
  <c r="J98" i="3"/>
  <c r="P81" i="3"/>
  <c r="S68" i="3"/>
  <c r="AZ35" i="3"/>
  <c r="AZ13" i="3"/>
  <c r="T61" i="3"/>
  <c r="AS32" i="3"/>
  <c r="AG29" i="3"/>
  <c r="BA146" i="3"/>
  <c r="BB39" i="3"/>
  <c r="Y115" i="3"/>
  <c r="BI93" i="3"/>
  <c r="AF150" i="3"/>
  <c r="AM15" i="3"/>
  <c r="AX23" i="3"/>
  <c r="AP190" i="3"/>
  <c r="K96" i="3"/>
  <c r="BE104" i="3"/>
  <c r="S35" i="3"/>
  <c r="AD147" i="3"/>
  <c r="AA35" i="3"/>
  <c r="J27" i="3"/>
  <c r="Y81" i="3"/>
  <c r="Z95" i="3"/>
  <c r="BL14" i="3"/>
  <c r="AI132" i="3"/>
  <c r="AN15" i="3"/>
  <c r="X73" i="3"/>
  <c r="F163" i="3"/>
  <c r="F82" i="3"/>
  <c r="M191" i="3"/>
  <c r="AJ164" i="3"/>
  <c r="BH184" i="3"/>
  <c r="AN163" i="3"/>
  <c r="AC181" i="3"/>
  <c r="N160" i="3"/>
  <c r="AF180" i="3"/>
  <c r="AZ149" i="3"/>
  <c r="AU178" i="3"/>
  <c r="BK152" i="3"/>
  <c r="BL172" i="3"/>
  <c r="AX146" i="3"/>
  <c r="BB171" i="3"/>
  <c r="BM186" i="3"/>
  <c r="Z171" i="3"/>
  <c r="N167" i="3"/>
  <c r="AO156" i="3"/>
  <c r="AU129" i="3"/>
  <c r="AZ165" i="3"/>
  <c r="AT188" i="3"/>
  <c r="AH190" i="3"/>
  <c r="AA190" i="3"/>
  <c r="O186" i="3"/>
  <c r="P176" i="3"/>
  <c r="U163" i="3"/>
  <c r="AC149" i="3"/>
  <c r="AO183" i="3"/>
  <c r="AN171" i="3"/>
  <c r="AN159" i="3"/>
  <c r="H149" i="3"/>
  <c r="N180" i="3"/>
  <c r="N168" i="3"/>
  <c r="BL158" i="3"/>
  <c r="S191" i="3"/>
  <c r="AF175" i="3"/>
  <c r="AU163" i="3"/>
  <c r="AU147" i="3"/>
  <c r="AA189" i="3"/>
  <c r="S177" i="3"/>
  <c r="W163" i="3"/>
  <c r="AT147" i="3"/>
  <c r="AM185" i="3"/>
  <c r="AH171" i="3"/>
  <c r="AO157" i="3"/>
  <c r="AI145" i="3"/>
  <c r="AL182" i="3"/>
  <c r="AE166" i="3"/>
  <c r="AJ151" i="3"/>
  <c r="AU184" i="3"/>
  <c r="AA183" i="3"/>
  <c r="AT169" i="3"/>
  <c r="BC178" i="3"/>
  <c r="H190" i="3"/>
  <c r="BK173" i="3"/>
  <c r="BK153" i="3"/>
  <c r="AU137" i="3"/>
  <c r="AF128" i="3"/>
  <c r="V179" i="3"/>
  <c r="BL159" i="3"/>
  <c r="AT145" i="3"/>
  <c r="AN192" i="3"/>
  <c r="AH170" i="3"/>
  <c r="AT154" i="3"/>
  <c r="S139" i="3"/>
  <c r="O127" i="3"/>
  <c r="BC181" i="3"/>
  <c r="AJ162" i="3"/>
  <c r="AH144" i="3"/>
  <c r="AM134" i="3"/>
  <c r="AW189" i="3"/>
  <c r="AC162" i="3"/>
  <c r="BB145" i="3"/>
  <c r="AL129" i="3"/>
  <c r="N115" i="3"/>
  <c r="Y175" i="3"/>
  <c r="V152" i="3"/>
  <c r="AU134" i="3"/>
  <c r="O123" i="3"/>
  <c r="BA184" i="3"/>
  <c r="AT160" i="3"/>
  <c r="I142" i="3"/>
  <c r="AA127" i="3"/>
  <c r="BJ113" i="3"/>
  <c r="Z172" i="3"/>
  <c r="AI147" i="3"/>
  <c r="V131" i="3"/>
  <c r="W121" i="3"/>
  <c r="L178" i="3"/>
  <c r="M148" i="3"/>
  <c r="G132" i="3"/>
  <c r="AT114" i="3"/>
  <c r="AE101" i="3"/>
  <c r="AO91" i="3"/>
  <c r="AC77" i="3"/>
  <c r="AC65" i="3"/>
  <c r="N56" i="3"/>
  <c r="V184" i="3"/>
  <c r="AI154" i="3"/>
  <c r="T136" i="3"/>
  <c r="AE118" i="3"/>
  <c r="BC104" i="3"/>
  <c r="AN95" i="3"/>
  <c r="AN83" i="3"/>
  <c r="AQ70" i="3"/>
  <c r="H61" i="3"/>
  <c r="H49" i="3"/>
  <c r="BG164" i="3"/>
  <c r="N144" i="3"/>
  <c r="AW123" i="3"/>
  <c r="BB108" i="3"/>
  <c r="AM99" i="3"/>
  <c r="AM87" i="3"/>
  <c r="AP74" i="3"/>
  <c r="G65" i="3"/>
  <c r="G53" i="3"/>
  <c r="K175" i="3"/>
  <c r="N151" i="3"/>
  <c r="AM128" i="3"/>
  <c r="M112" i="3"/>
  <c r="BK102" i="3"/>
  <c r="BK90" i="3"/>
  <c r="AT77" i="3"/>
  <c r="AJ67" i="3"/>
  <c r="AO54" i="3"/>
  <c r="M164" i="3"/>
  <c r="BB138" i="3"/>
  <c r="Q116" i="3"/>
  <c r="AK100" i="3"/>
  <c r="BE88" i="3"/>
  <c r="BK72" i="3"/>
  <c r="BF57" i="3"/>
  <c r="Y46" i="3"/>
  <c r="AB33" i="3"/>
  <c r="AV21" i="3"/>
  <c r="BG161" i="3"/>
  <c r="AP132" i="3"/>
  <c r="AS115" i="3"/>
  <c r="BH100" i="3"/>
  <c r="BK89" i="3"/>
  <c r="AZ74" i="3"/>
  <c r="G63" i="3"/>
  <c r="AX48" i="3"/>
  <c r="BE35" i="3"/>
  <c r="BJ26" i="3"/>
  <c r="BK169" i="3"/>
  <c r="AB142" i="3"/>
  <c r="R121" i="3"/>
  <c r="P107" i="3"/>
  <c r="BK92" i="3"/>
  <c r="R81" i="3"/>
  <c r="G66" i="3"/>
  <c r="AY54" i="3"/>
  <c r="AE40" i="3"/>
  <c r="BI30" i="3"/>
  <c r="AA178" i="3"/>
  <c r="AA142" i="3"/>
  <c r="N125" i="3"/>
  <c r="AQ107" i="3"/>
  <c r="V96" i="3"/>
  <c r="BM81" i="3"/>
  <c r="AI69" i="3"/>
  <c r="I55" i="3"/>
  <c r="AF44" i="3"/>
  <c r="J32" i="3"/>
  <c r="O23" i="3"/>
  <c r="AA161" i="3"/>
  <c r="AA136" i="3"/>
  <c r="AD110" i="3"/>
  <c r="BM91" i="3"/>
  <c r="AZ75" i="3"/>
  <c r="R58" i="3"/>
  <c r="AT44" i="3"/>
  <c r="AL29" i="3"/>
  <c r="AQ18" i="3"/>
  <c r="R7" i="3"/>
  <c r="L170" i="3"/>
  <c r="AS135" i="3"/>
  <c r="AX113" i="3"/>
  <c r="J95" i="3"/>
  <c r="BH81" i="3"/>
  <c r="AD62" i="3"/>
  <c r="U44" i="3"/>
  <c r="AM32" i="3"/>
  <c r="AP18" i="3"/>
  <c r="AA9" i="3"/>
  <c r="M165" i="3"/>
  <c r="BD137" i="3"/>
  <c r="BD110" i="3"/>
  <c r="AM96" i="3"/>
  <c r="AF78" i="3"/>
  <c r="AY63" i="3"/>
  <c r="BC45" i="3"/>
  <c r="BJ32" i="3"/>
  <c r="P19" i="3"/>
  <c r="BI6" i="3"/>
  <c r="M161" i="3"/>
  <c r="L127" i="3"/>
  <c r="AF108" i="3"/>
  <c r="AI90" i="3"/>
  <c r="AW75" i="3"/>
  <c r="T57" i="3"/>
  <c r="AF43" i="3"/>
  <c r="AP27" i="3"/>
  <c r="AS17" i="3"/>
  <c r="T6" i="3"/>
  <c r="BB153" i="3"/>
  <c r="AJ120" i="3"/>
  <c r="AX95" i="3"/>
  <c r="AV74" i="3"/>
  <c r="AD51" i="3"/>
  <c r="BM36" i="3"/>
  <c r="BD18" i="3"/>
  <c r="AM7" i="3"/>
  <c r="Q149" i="3"/>
  <c r="BI121" i="3"/>
  <c r="BI97" i="3"/>
  <c r="Y80" i="3"/>
  <c r="Y56" i="3"/>
  <c r="AF42" i="3"/>
  <c r="K23" i="3"/>
  <c r="U8" i="3"/>
  <c r="AH162" i="3"/>
  <c r="R123" i="3"/>
  <c r="AC102" i="3"/>
  <c r="H78" i="3"/>
  <c r="V60" i="3"/>
  <c r="AS39" i="3"/>
  <c r="AF25" i="3"/>
  <c r="BB9" i="3"/>
  <c r="BM165" i="3"/>
  <c r="Q123" i="3"/>
  <c r="BG101" i="3"/>
  <c r="AI76" i="3"/>
  <c r="AV54" i="3"/>
  <c r="BB37" i="3"/>
  <c r="AN19" i="3"/>
  <c r="BH7" i="3"/>
  <c r="AM144" i="3"/>
  <c r="AE110" i="3"/>
  <c r="L190" i="3"/>
  <c r="V132" i="3"/>
  <c r="AN170" i="3"/>
  <c r="AB122" i="3"/>
  <c r="AW168" i="3"/>
  <c r="AG125" i="3"/>
  <c r="AW91" i="3"/>
  <c r="G127" i="3"/>
  <c r="AK94" i="3"/>
  <c r="BF66" i="3"/>
  <c r="O43" i="3"/>
  <c r="BK20" i="3"/>
  <c r="BG6" i="3"/>
  <c r="AM129" i="3"/>
  <c r="G92" i="3"/>
  <c r="AS62" i="3"/>
  <c r="AA40" i="3"/>
  <c r="BG18" i="3"/>
  <c r="AR4" i="3"/>
  <c r="P128" i="3"/>
  <c r="J82" i="3"/>
  <c r="R57" i="3"/>
  <c r="AJ32" i="3"/>
  <c r="K15" i="3"/>
  <c r="T160" i="3"/>
  <c r="BA110" i="3"/>
  <c r="AP75" i="3"/>
  <c r="AH49" i="3"/>
  <c r="I20" i="3"/>
  <c r="BG143" i="3"/>
  <c r="AI24" i="3"/>
  <c r="AH139" i="3"/>
  <c r="AX90" i="3"/>
  <c r="P54" i="3"/>
  <c r="AP31" i="3"/>
  <c r="BG7" i="3"/>
  <c r="AU71" i="3"/>
  <c r="P137" i="3"/>
  <c r="W92" i="3"/>
  <c r="AJ56" i="3"/>
  <c r="BH32" i="3"/>
  <c r="X9" i="3"/>
  <c r="AC82" i="3"/>
  <c r="AQ13" i="3"/>
  <c r="H129" i="3"/>
  <c r="R72" i="3"/>
  <c r="AV32" i="3"/>
  <c r="AQ7" i="3"/>
  <c r="AG33" i="3"/>
  <c r="BM72" i="3"/>
  <c r="AN108" i="3"/>
  <c r="Y23" i="3"/>
  <c r="AA26" i="3"/>
  <c r="BH85" i="3"/>
  <c r="R141" i="3"/>
  <c r="AT181" i="3"/>
  <c r="P102" i="3"/>
  <c r="BF56" i="3"/>
  <c r="AK20" i="3"/>
  <c r="AG107" i="3"/>
  <c r="AW19" i="3"/>
  <c r="W49" i="3"/>
  <c r="Z107" i="3"/>
  <c r="BF8" i="3"/>
  <c r="T115" i="3"/>
  <c r="AR120" i="3"/>
  <c r="BC75" i="3"/>
  <c r="Y34" i="3"/>
  <c r="R13" i="3"/>
  <c r="BG45" i="3"/>
  <c r="BF65" i="3"/>
  <c r="BM148" i="3"/>
  <c r="AX10" i="3"/>
  <c r="BG72" i="3"/>
  <c r="AF111" i="3"/>
  <c r="BF54" i="3"/>
  <c r="BA97" i="3"/>
  <c r="O120" i="3"/>
  <c r="O97" i="3"/>
  <c r="AW9" i="3"/>
  <c r="AW126" i="3"/>
  <c r="J39" i="3"/>
  <c r="X88" i="3"/>
  <c r="BL40" i="3"/>
  <c r="S16" i="3"/>
  <c r="L91" i="3"/>
  <c r="W19" i="3"/>
  <c r="Z125" i="3"/>
  <c r="O29" i="3"/>
  <c r="AP51" i="3"/>
  <c r="AN127" i="3"/>
  <c r="AX26" i="3"/>
  <c r="BE84" i="3"/>
  <c r="AG137" i="3"/>
  <c r="F21" i="3"/>
  <c r="F151" i="3"/>
  <c r="AT189" i="3"/>
  <c r="BD172" i="3"/>
  <c r="AI180" i="3"/>
  <c r="BK189" i="3"/>
  <c r="BG167" i="3"/>
  <c r="I175" i="3"/>
  <c r="BI188" i="3"/>
  <c r="Z147" i="3"/>
  <c r="R157" i="3"/>
  <c r="AQ165" i="3"/>
  <c r="AJ182" i="3"/>
  <c r="AP189" i="3"/>
  <c r="AA137" i="3"/>
  <c r="AH159" i="3"/>
  <c r="BH126" i="3"/>
  <c r="BF161" i="3"/>
  <c r="AX151" i="3"/>
  <c r="AD138" i="3"/>
  <c r="AX166" i="3"/>
  <c r="R118" i="3"/>
  <c r="AT127" i="3"/>
  <c r="P88" i="3"/>
  <c r="AD183" i="3"/>
  <c r="AI104" i="3"/>
  <c r="W70" i="3"/>
  <c r="H164" i="3"/>
  <c r="AH108" i="3"/>
  <c r="V74" i="3"/>
  <c r="AF174" i="3"/>
  <c r="BF111" i="3"/>
  <c r="K64" i="3"/>
  <c r="AT115" i="3"/>
  <c r="AM72" i="3"/>
  <c r="H33" i="3"/>
  <c r="AL131" i="3"/>
  <c r="AM89" i="3"/>
  <c r="Z48" i="3"/>
  <c r="AA168" i="3"/>
  <c r="BF106" i="3"/>
  <c r="AZ65" i="3"/>
  <c r="BD27" i="3"/>
  <c r="BF141" i="3"/>
  <c r="AO81" i="3"/>
  <c r="L44" i="3"/>
  <c r="AK160" i="3"/>
  <c r="AG91" i="3"/>
  <c r="V44" i="3"/>
  <c r="BK6" i="3"/>
  <c r="N113" i="3"/>
  <c r="AJ61" i="3"/>
  <c r="V18" i="3"/>
  <c r="Y136" i="3"/>
  <c r="AO77" i="3"/>
  <c r="AJ29" i="3"/>
  <c r="AL126" i="3"/>
  <c r="G90" i="3"/>
  <c r="H43" i="3"/>
  <c r="AG145" i="3"/>
  <c r="L74" i="3"/>
  <c r="AF18" i="3"/>
  <c r="M121" i="3"/>
  <c r="BA55" i="3"/>
  <c r="BJ7" i="3"/>
  <c r="BH101" i="3"/>
  <c r="AK24" i="3"/>
  <c r="AG122" i="3"/>
  <c r="L54" i="3"/>
  <c r="AF7" i="3"/>
  <c r="AK187" i="3"/>
  <c r="AD121" i="3"/>
  <c r="I91" i="3"/>
  <c r="N66" i="3"/>
  <c r="AE6" i="3"/>
  <c r="AF61" i="3"/>
  <c r="AT175" i="3"/>
  <c r="AQ56" i="3"/>
  <c r="AS109" i="3"/>
  <c r="AS19" i="3"/>
  <c r="L125" i="3"/>
  <c r="Z30" i="3"/>
  <c r="AP133" i="3"/>
  <c r="Q32" i="3"/>
  <c r="AT81" i="3"/>
  <c r="U71" i="3"/>
  <c r="BJ31" i="3"/>
  <c r="BI21" i="3"/>
  <c r="AP135" i="3"/>
  <c r="AY19" i="3"/>
  <c r="AK46" i="3"/>
  <c r="Y60" i="3"/>
  <c r="AT119" i="3"/>
  <c r="AO7" i="3"/>
  <c r="S143" i="3"/>
  <c r="AA47" i="3"/>
  <c r="AN45" i="3"/>
  <c r="AN8" i="3"/>
  <c r="AN71" i="3"/>
  <c r="BD21" i="3"/>
  <c r="AS49" i="3"/>
  <c r="BD107" i="3"/>
  <c r="AS18" i="3"/>
  <c r="BM115" i="3"/>
  <c r="AA95" i="3"/>
  <c r="AY114" i="3"/>
  <c r="P186" i="3"/>
  <c r="S82" i="3"/>
  <c r="F135" i="3"/>
  <c r="F186" i="3"/>
  <c r="W189" i="3"/>
  <c r="O180" i="3"/>
  <c r="AM179" i="3"/>
  <c r="T190" i="3"/>
  <c r="G147" i="3"/>
  <c r="AY146" i="3"/>
  <c r="J142" i="3"/>
  <c r="BD183" i="3"/>
  <c r="N188" i="3"/>
  <c r="G125" i="3"/>
  <c r="AS141" i="3"/>
  <c r="AO138" i="3"/>
  <c r="BB143" i="3"/>
  <c r="AJ140" i="3"/>
  <c r="L151" i="3"/>
  <c r="AP159" i="3"/>
  <c r="G166" i="3"/>
  <c r="AV176" i="3"/>
  <c r="BD100" i="3"/>
  <c r="BB52" i="3"/>
  <c r="BK116" i="3"/>
  <c r="AV69" i="3"/>
  <c r="K137" i="3"/>
  <c r="BL86" i="3"/>
  <c r="AF52" i="3"/>
  <c r="AL111" i="3"/>
  <c r="BD63" i="3"/>
  <c r="R115" i="3"/>
  <c r="J57" i="3"/>
  <c r="AI158" i="3"/>
  <c r="K86" i="3"/>
  <c r="AR47" i="3"/>
  <c r="M141" i="3"/>
  <c r="AE80" i="3"/>
  <c r="AJ27" i="3"/>
  <c r="BE106" i="3"/>
  <c r="AV68" i="3"/>
  <c r="BB186" i="3"/>
  <c r="AL90" i="3"/>
  <c r="BD28" i="3"/>
  <c r="AN133" i="3"/>
  <c r="AO60" i="3"/>
  <c r="AZ8" i="3"/>
  <c r="AS95" i="3"/>
  <c r="L29" i="3"/>
  <c r="AB125" i="3"/>
  <c r="AB56" i="3"/>
  <c r="AS5" i="3"/>
  <c r="BB73" i="3"/>
  <c r="AZ6" i="3"/>
  <c r="M73" i="3"/>
  <c r="AH7" i="3"/>
  <c r="AJ76" i="3"/>
  <c r="AP23" i="3"/>
  <c r="AQ95" i="3"/>
  <c r="BA18" i="3"/>
  <c r="K186" i="3"/>
  <c r="AL164" i="3"/>
  <c r="U92" i="3"/>
  <c r="AM5" i="3"/>
  <c r="BD34" i="3"/>
  <c r="AZ80" i="3"/>
  <c r="J154" i="3"/>
  <c r="AJ18" i="3"/>
  <c r="G88" i="3"/>
  <c r="J69" i="3"/>
  <c r="AO31" i="3"/>
  <c r="N114" i="3"/>
  <c r="AQ29" i="3"/>
  <c r="BC17" i="3"/>
  <c r="AM143" i="3"/>
  <c r="AK104" i="3"/>
  <c r="S4" i="3"/>
  <c r="Z118" i="3"/>
  <c r="AD30" i="3"/>
  <c r="AB67" i="3"/>
  <c r="S116" i="3"/>
  <c r="R22" i="3"/>
  <c r="I68" i="3"/>
  <c r="AO20" i="3"/>
  <c r="T17" i="3"/>
  <c r="AQ100" i="3"/>
  <c r="AM17" i="3"/>
  <c r="AV102" i="3"/>
  <c r="AB72" i="3"/>
  <c r="AA76" i="3"/>
  <c r="AD166" i="3"/>
  <c r="P66" i="3"/>
  <c r="F86" i="3"/>
  <c r="F154" i="3"/>
  <c r="AE187" i="3"/>
  <c r="AY161" i="3"/>
  <c r="AS158" i="3"/>
  <c r="V154" i="3"/>
  <c r="AZ146" i="3"/>
  <c r="AE146" i="3"/>
  <c r="BC141" i="3"/>
  <c r="AB183" i="3"/>
  <c r="AZ187" i="3"/>
  <c r="AZ124" i="3"/>
  <c r="AH189" i="3"/>
  <c r="T126" i="3"/>
  <c r="BG130" i="3"/>
  <c r="AJ128" i="3"/>
  <c r="AL133" i="3"/>
  <c r="U137" i="3"/>
  <c r="AX145" i="3"/>
  <c r="N175" i="3"/>
  <c r="AJ100" i="3"/>
  <c r="AH52" i="3"/>
  <c r="AM116" i="3"/>
  <c r="AB69" i="3"/>
  <c r="AU136" i="3"/>
  <c r="AR86" i="3"/>
  <c r="Y172" i="3"/>
  <c r="R99" i="3"/>
  <c r="AJ63" i="3"/>
  <c r="BC114" i="3"/>
  <c r="AU56" i="3"/>
  <c r="BH157" i="3"/>
  <c r="BC85" i="3"/>
  <c r="BJ34" i="3"/>
  <c r="BI119" i="3"/>
  <c r="BM64" i="3"/>
  <c r="AV175" i="3"/>
  <c r="K95" i="3"/>
  <c r="J40" i="3"/>
  <c r="AV128" i="3"/>
  <c r="BK56" i="3"/>
  <c r="W6" i="3"/>
  <c r="BF93" i="3"/>
  <c r="AB31" i="3"/>
  <c r="O134" i="3"/>
  <c r="AW76" i="3"/>
  <c r="BB28" i="3"/>
  <c r="AZ158" i="3"/>
  <c r="R74" i="3"/>
  <c r="T14" i="3"/>
  <c r="AY92" i="3"/>
  <c r="AZ17" i="3"/>
  <c r="S96" i="3"/>
  <c r="BB21" i="3"/>
  <c r="AS100" i="3"/>
  <c r="BM19" i="3"/>
  <c r="AG94" i="3"/>
  <c r="AC18" i="3"/>
  <c r="BC120" i="3"/>
  <c r="AJ113" i="3"/>
  <c r="AU64" i="3"/>
  <c r="U119" i="3"/>
  <c r="AJ17" i="3"/>
  <c r="AN54" i="3"/>
  <c r="H108" i="3"/>
  <c r="AE90" i="3"/>
  <c r="AV51" i="3"/>
  <c r="AL64" i="3"/>
  <c r="K25" i="3"/>
  <c r="BH110" i="3"/>
  <c r="AS26" i="3"/>
  <c r="BA13" i="3"/>
  <c r="I99" i="3"/>
  <c r="BG13" i="3"/>
  <c r="BM116" i="3"/>
  <c r="AV66" i="3"/>
  <c r="BF104" i="3"/>
  <c r="AI98" i="3"/>
  <c r="AB83" i="3"/>
  <c r="AR31" i="3"/>
  <c r="AT71" i="3"/>
  <c r="R42" i="3"/>
  <c r="AT99" i="3"/>
  <c r="N37" i="3"/>
  <c r="M154" i="3"/>
  <c r="AL100" i="3"/>
  <c r="AP92" i="3"/>
  <c r="J91" i="3"/>
  <c r="F147" i="3"/>
  <c r="AN188" i="3"/>
  <c r="AV192" i="3"/>
  <c r="AZ188" i="3"/>
  <c r="AB189" i="3"/>
  <c r="K187" i="3"/>
  <c r="BA180" i="3"/>
  <c r="BK180" i="3"/>
  <c r="V181" i="3"/>
  <c r="O166" i="3"/>
  <c r="AA177" i="3"/>
  <c r="AK167" i="3"/>
  <c r="BM125" i="3"/>
  <c r="AT142" i="3"/>
  <c r="AY139" i="3"/>
  <c r="H150" i="3"/>
  <c r="AK157" i="3"/>
  <c r="BM164" i="3"/>
  <c r="AI174" i="3"/>
  <c r="P100" i="3"/>
  <c r="N52" i="3"/>
  <c r="BJ129" i="3"/>
  <c r="Y82" i="3"/>
  <c r="N162" i="3"/>
  <c r="AM95" i="3"/>
  <c r="BE51" i="3"/>
  <c r="BK110" i="3"/>
  <c r="P63" i="3"/>
  <c r="AA114" i="3"/>
  <c r="W56" i="3"/>
  <c r="AD148" i="3"/>
  <c r="AA85" i="3"/>
  <c r="AP34" i="3"/>
  <c r="AB139" i="3"/>
  <c r="AX102" i="3"/>
  <c r="BH49" i="3"/>
  <c r="BI139" i="3"/>
  <c r="AD80" i="3"/>
  <c r="BH30" i="3"/>
  <c r="AV107" i="3"/>
  <c r="K43" i="3"/>
  <c r="AT159" i="3"/>
  <c r="BD74" i="3"/>
  <c r="G17" i="3"/>
  <c r="BM108" i="3"/>
  <c r="BI43" i="3"/>
  <c r="AI157" i="3"/>
  <c r="BC69" i="3"/>
  <c r="BM13" i="3"/>
  <c r="S92" i="3"/>
  <c r="X17" i="3"/>
  <c r="AW95" i="3"/>
  <c r="V21" i="3"/>
  <c r="AH99" i="3"/>
  <c r="AO19" i="3"/>
  <c r="BK93" i="3"/>
  <c r="AW17" i="3"/>
  <c r="AW178" i="3"/>
  <c r="AH157" i="3"/>
  <c r="BD90" i="3"/>
  <c r="BA177" i="3"/>
  <c r="BC33" i="3"/>
  <c r="AZ78" i="3"/>
  <c r="AE150" i="3"/>
  <c r="AB16" i="3"/>
  <c r="AE86" i="3"/>
  <c r="O62" i="3"/>
  <c r="AN24" i="3"/>
  <c r="X109" i="3"/>
  <c r="AA23" i="3"/>
  <c r="BM144" i="3"/>
  <c r="AS138" i="3"/>
  <c r="BI90" i="3"/>
  <c r="T173" i="3"/>
  <c r="BJ115" i="3"/>
  <c r="AB27" i="3"/>
  <c r="BC62" i="3"/>
  <c r="AN93" i="3"/>
  <c r="Z15" i="3"/>
  <c r="Y54" i="3"/>
  <c r="AT18" i="3"/>
  <c r="U13" i="3"/>
  <c r="AJ82" i="3"/>
  <c r="AS10" i="3"/>
  <c r="N90" i="3"/>
  <c r="BL59" i="3"/>
  <c r="BI5" i="3"/>
  <c r="AX112" i="3"/>
  <c r="AG73" i="3"/>
  <c r="F185" i="3"/>
  <c r="F120" i="3"/>
  <c r="AN184" i="3"/>
  <c r="BK183" i="3"/>
  <c r="K183" i="3"/>
  <c r="AX49" i="3"/>
  <c r="AT43" i="3"/>
  <c r="AP183" i="3"/>
  <c r="AW191" i="3"/>
  <c r="BK167" i="3"/>
  <c r="Y120" i="3"/>
  <c r="M104" i="3"/>
  <c r="V76" i="3"/>
  <c r="AG86" i="3"/>
  <c r="AU83" i="3"/>
  <c r="AN77" i="3"/>
  <c r="BI25" i="3"/>
  <c r="P90" i="3"/>
  <c r="BA93" i="3"/>
  <c r="AD35" i="3"/>
  <c r="G31" i="3"/>
  <c r="AB52" i="3"/>
  <c r="AE174" i="3"/>
  <c r="AO13" i="3"/>
  <c r="AN12" i="3"/>
  <c r="AL14" i="3"/>
  <c r="Y89" i="3"/>
  <c r="BE128" i="3"/>
  <c r="P50" i="3"/>
  <c r="AO49" i="3"/>
  <c r="J186" i="3"/>
  <c r="AD96" i="3"/>
  <c r="AG34" i="3"/>
  <c r="BE157" i="3"/>
  <c r="BC84" i="3"/>
  <c r="AY68" i="3"/>
  <c r="AK39" i="3"/>
  <c r="AU45" i="3"/>
  <c r="AC34" i="3"/>
  <c r="AI29" i="3"/>
  <c r="BD133" i="3"/>
  <c r="BA128" i="3"/>
  <c r="BK17" i="3"/>
  <c r="BI17" i="3"/>
  <c r="AM26" i="3"/>
  <c r="L135" i="3"/>
  <c r="Q77" i="3"/>
  <c r="AN57" i="3"/>
  <c r="AQ140" i="3"/>
  <c r="W175" i="3"/>
  <c r="AQ74" i="3"/>
  <c r="BD55" i="3"/>
  <c r="L28" i="3"/>
  <c r="AS33" i="3"/>
  <c r="AW22" i="3"/>
  <c r="BH18" i="3"/>
  <c r="AP105" i="3"/>
  <c r="AQ173" i="3"/>
  <c r="AQ188" i="3"/>
  <c r="AB137" i="3"/>
  <c r="BC73" i="3"/>
  <c r="AQ21" i="3"/>
  <c r="AO65" i="3"/>
  <c r="T25" i="3"/>
  <c r="O131" i="3"/>
  <c r="AR151" i="3"/>
  <c r="AQ62" i="3"/>
  <c r="AZ177" i="3"/>
  <c r="J180" i="3"/>
  <c r="AD24" i="3"/>
  <c r="BJ10" i="3"/>
  <c r="AI7" i="3"/>
  <c r="AM86" i="3"/>
  <c r="AV114" i="3"/>
  <c r="AE154" i="3"/>
  <c r="BG24" i="3"/>
  <c r="AY183" i="3"/>
  <c r="AQ50" i="3"/>
  <c r="BG145" i="3"/>
  <c r="AJ181" i="3"/>
  <c r="W95" i="3"/>
  <c r="W44" i="3"/>
  <c r="AL8" i="3"/>
  <c r="F74" i="3"/>
  <c r="AL122" i="3"/>
  <c r="U127" i="3"/>
  <c r="AD140" i="3"/>
  <c r="G46" i="3"/>
  <c r="Q54" i="3"/>
  <c r="BM124" i="3"/>
  <c r="AF123" i="3"/>
  <c r="BK149" i="3"/>
  <c r="AI146" i="3"/>
  <c r="N109" i="3"/>
  <c r="Q118" i="3"/>
  <c r="W27" i="3"/>
  <c r="W23" i="3"/>
  <c r="AM80" i="3"/>
  <c r="AU72" i="3"/>
  <c r="BB135" i="3"/>
  <c r="AI125" i="3"/>
  <c r="BF97" i="3"/>
  <c r="BE98" i="3"/>
  <c r="U11" i="3"/>
  <c r="V5" i="3"/>
  <c r="J38" i="3"/>
  <c r="AV47" i="3"/>
  <c r="BB123" i="3"/>
  <c r="BB112" i="3"/>
  <c r="H83" i="3"/>
  <c r="BG81" i="3"/>
  <c r="S176" i="3"/>
  <c r="W28" i="3"/>
  <c r="BM15" i="3"/>
  <c r="I11" i="3"/>
  <c r="BE170" i="3"/>
  <c r="BB100" i="3"/>
  <c r="X64" i="3"/>
  <c r="BA38" i="3"/>
  <c r="H28" i="3"/>
  <c r="AV31" i="3"/>
  <c r="BC38" i="3"/>
  <c r="F80" i="3"/>
  <c r="AY105" i="3"/>
  <c r="AS47" i="3"/>
  <c r="AJ46" i="3"/>
  <c r="G24" i="3"/>
  <c r="BE8" i="3"/>
  <c r="BM87" i="3"/>
  <c r="AN97" i="3"/>
  <c r="Y131" i="3"/>
  <c r="AP78" i="3"/>
  <c r="BK42" i="3"/>
  <c r="AZ34" i="3"/>
  <c r="W80" i="3"/>
  <c r="AR64" i="3"/>
  <c r="O191" i="3"/>
  <c r="BI36" i="3"/>
  <c r="K120" i="3"/>
  <c r="AP66" i="3"/>
  <c r="AB25" i="3"/>
  <c r="K32" i="3"/>
  <c r="BF19" i="3"/>
  <c r="AH20" i="3"/>
  <c r="X167" i="3"/>
  <c r="BJ95" i="3"/>
  <c r="N34" i="3"/>
  <c r="L61" i="3"/>
  <c r="AB76" i="3"/>
  <c r="AC69" i="3"/>
  <c r="AP54" i="3"/>
  <c r="BF187" i="3"/>
  <c r="BI10" i="3"/>
  <c r="AR39" i="3"/>
  <c r="BB14" i="3"/>
  <c r="BE90" i="3"/>
  <c r="Q42" i="3"/>
  <c r="AC57" i="3"/>
  <c r="AM186" i="3"/>
  <c r="X152" i="3"/>
  <c r="K167" i="3"/>
  <c r="AE25" i="3"/>
  <c r="N91" i="3"/>
  <c r="BG174" i="3"/>
  <c r="L42" i="3"/>
  <c r="AX139" i="3"/>
  <c r="BG153" i="3"/>
  <c r="T127" i="3"/>
  <c r="AQ135" i="3"/>
  <c r="BA9" i="3"/>
  <c r="BD173" i="3"/>
  <c r="AJ64" i="3"/>
  <c r="BH114" i="3"/>
  <c r="I164" i="3"/>
  <c r="AY102" i="3"/>
  <c r="AY116" i="3"/>
  <c r="AA110" i="3"/>
  <c r="BA163" i="3"/>
  <c r="AE96" i="3"/>
  <c r="P148" i="3"/>
  <c r="BK67" i="3"/>
  <c r="AK138" i="3"/>
  <c r="BA91" i="3"/>
  <c r="AL97" i="3"/>
  <c r="Z44" i="3"/>
  <c r="AR132" i="3"/>
  <c r="AM138" i="3"/>
  <c r="BC142" i="3"/>
  <c r="Z133" i="3"/>
  <c r="X144" i="3"/>
  <c r="BC108" i="3"/>
  <c r="M92" i="3"/>
  <c r="AP64" i="3"/>
  <c r="Y71" i="3"/>
  <c r="W64" i="3"/>
  <c r="V63" i="3"/>
  <c r="O13" i="3"/>
  <c r="V142" i="3"/>
  <c r="W61" i="3"/>
  <c r="AQ111" i="3"/>
  <c r="BJ120" i="3"/>
  <c r="BC96" i="3"/>
  <c r="AS59" i="3"/>
  <c r="AH169" i="3"/>
  <c r="BH39" i="3"/>
  <c r="AX153" i="3"/>
  <c r="AZ18" i="3"/>
  <c r="Z177" i="3"/>
  <c r="BK82" i="3"/>
  <c r="Z45" i="3"/>
  <c r="AU123" i="3"/>
  <c r="BG118" i="3"/>
  <c r="BJ131" i="3"/>
  <c r="AO80" i="3"/>
  <c r="AV30" i="3"/>
  <c r="BJ19" i="3"/>
  <c r="AM136" i="3"/>
  <c r="BI141" i="3"/>
  <c r="P165" i="3"/>
  <c r="AZ163" i="3"/>
  <c r="AF62" i="3"/>
  <c r="AC87" i="3"/>
  <c r="BG136" i="3"/>
  <c r="U170" i="3"/>
  <c r="AV164" i="3"/>
  <c r="AT176" i="3"/>
  <c r="BK119" i="3"/>
  <c r="BH139" i="3"/>
  <c r="T123" i="3"/>
  <c r="V147" i="3"/>
  <c r="BC10" i="3"/>
  <c r="AR164" i="3"/>
  <c r="F167" i="3"/>
  <c r="AX182" i="3"/>
  <c r="BD105" i="3"/>
  <c r="T112" i="3"/>
  <c r="AE102" i="3"/>
  <c r="I98" i="3"/>
  <c r="AE67" i="3"/>
  <c r="AK62" i="3"/>
  <c r="F110" i="3"/>
  <c r="BJ158" i="3"/>
  <c r="T90" i="3"/>
  <c r="AM97" i="3"/>
  <c r="N78" i="3"/>
  <c r="AO75" i="3"/>
  <c r="BG90" i="3"/>
  <c r="G22" i="3"/>
  <c r="F146" i="3"/>
  <c r="BE134" i="3"/>
  <c r="BA74" i="3"/>
  <c r="AQ77" i="3"/>
  <c r="T59" i="3"/>
  <c r="AV46" i="3"/>
  <c r="BK4" i="3"/>
  <c r="AM93" i="3"/>
  <c r="F88" i="3"/>
  <c r="AN116" i="3"/>
  <c r="AW62" i="3"/>
  <c r="AP67" i="3"/>
  <c r="AQ65" i="3"/>
  <c r="J126" i="3"/>
  <c r="O150" i="3"/>
  <c r="BK64" i="3"/>
  <c r="K91" i="3"/>
  <c r="AQ147" i="3"/>
  <c r="BB88" i="3"/>
  <c r="U56" i="3"/>
  <c r="W47" i="3"/>
  <c r="AL104" i="3"/>
  <c r="BG94" i="3"/>
  <c r="BH112" i="3"/>
  <c r="AN164" i="3"/>
  <c r="BD92" i="3"/>
  <c r="BK34" i="3"/>
  <c r="AD34" i="3"/>
  <c r="AF9" i="3"/>
  <c r="AT148" i="3"/>
  <c r="AE122" i="3"/>
  <c r="BF61" i="3"/>
  <c r="BL78" i="3"/>
  <c r="X61" i="3"/>
  <c r="BG169" i="3"/>
  <c r="H74" i="3"/>
  <c r="G179" i="3"/>
  <c r="BJ165" i="3"/>
  <c r="BK10" i="3"/>
  <c r="AT125" i="3"/>
  <c r="M66" i="3"/>
  <c r="BF189" i="3"/>
  <c r="AH31" i="3"/>
  <c r="T154" i="3"/>
  <c r="AC139" i="3"/>
  <c r="G174" i="3"/>
  <c r="AT100" i="3"/>
  <c r="AX43" i="3"/>
  <c r="AF106" i="3"/>
  <c r="AG31" i="3"/>
  <c r="AG187" i="3"/>
  <c r="AD119" i="3"/>
  <c r="K139" i="3"/>
  <c r="V83" i="3"/>
  <c r="BJ20" i="3"/>
  <c r="AL60" i="3"/>
  <c r="AC99" i="3"/>
  <c r="AM124" i="3"/>
  <c r="AY130" i="3"/>
  <c r="AL112" i="3"/>
  <c r="O59" i="3"/>
  <c r="BF6" i="3"/>
  <c r="W24" i="3"/>
  <c r="AA55" i="3"/>
  <c r="AX188" i="3"/>
  <c r="BI116" i="3"/>
  <c r="M98" i="3"/>
  <c r="AL96" i="3"/>
  <c r="G114" i="3"/>
  <c r="AL65" i="3"/>
  <c r="AQ129" i="3"/>
  <c r="O56" i="3"/>
  <c r="O56" i="2" l="1"/>
  <c r="AQ129" i="2"/>
  <c r="AL65" i="2"/>
  <c r="G114" i="2"/>
  <c r="AL96" i="2"/>
  <c r="M98" i="2"/>
  <c r="BI116" i="2"/>
  <c r="AX188" i="2"/>
  <c r="AA55" i="2"/>
  <c r="W24" i="2"/>
  <c r="BF6" i="2"/>
  <c r="O59" i="2"/>
  <c r="AL112" i="2"/>
  <c r="AY130" i="2"/>
  <c r="AM124" i="2"/>
  <c r="AC99" i="2"/>
  <c r="AL60" i="2"/>
  <c r="BJ20" i="2"/>
  <c r="V83" i="2"/>
  <c r="K139" i="2"/>
  <c r="AD119" i="2"/>
  <c r="AG187" i="2"/>
  <c r="AG31" i="2"/>
  <c r="AF106" i="2"/>
  <c r="AX43" i="2"/>
  <c r="AT100" i="2"/>
  <c r="G174" i="2"/>
  <c r="AC139" i="2"/>
  <c r="T154" i="2"/>
  <c r="AH31" i="2"/>
  <c r="BF189" i="2"/>
  <c r="M66" i="2"/>
  <c r="AT125" i="2"/>
  <c r="BK10" i="2"/>
  <c r="BJ165" i="2"/>
  <c r="G179" i="2"/>
  <c r="H74" i="2"/>
  <c r="BG169" i="2"/>
  <c r="X61" i="2"/>
  <c r="BL78" i="2"/>
  <c r="BF61" i="2"/>
  <c r="AE122" i="2"/>
  <c r="AT148" i="2"/>
  <c r="AF9" i="2"/>
  <c r="AD34" i="2"/>
  <c r="BK34" i="2"/>
  <c r="BD92" i="2"/>
  <c r="AN164" i="2"/>
  <c r="BH112" i="2"/>
  <c r="BG94" i="2"/>
  <c r="AL104" i="2"/>
  <c r="W47" i="2"/>
  <c r="U56" i="2"/>
  <c r="BB88" i="2"/>
  <c r="AQ147" i="2"/>
  <c r="K91" i="2"/>
  <c r="BK64" i="2"/>
  <c r="O150" i="2"/>
  <c r="J126" i="2"/>
  <c r="AQ65" i="2"/>
  <c r="AP67" i="2"/>
  <c r="AW62" i="2"/>
  <c r="AN116" i="2"/>
  <c r="F88" i="2"/>
  <c r="AM93" i="2"/>
  <c r="BK4" i="2"/>
  <c r="BK3" i="3"/>
  <c r="BK3" i="2" s="1"/>
  <c r="AV46" i="2"/>
  <c r="T59" i="2"/>
  <c r="AQ77" i="2"/>
  <c r="BA74" i="2"/>
  <c r="BE134" i="2"/>
  <c r="F146" i="2"/>
  <c r="G22" i="2"/>
  <c r="BG90" i="2"/>
  <c r="AO75" i="2"/>
  <c r="N78" i="2"/>
  <c r="AM97" i="2"/>
  <c r="T90" i="2"/>
  <c r="BJ158" i="2"/>
  <c r="F110" i="2"/>
  <c r="AK62" i="2"/>
  <c r="AE67" i="2"/>
  <c r="I98" i="2"/>
  <c r="AE102" i="2"/>
  <c r="T112" i="2"/>
  <c r="BD105" i="2"/>
  <c r="AX182" i="2"/>
  <c r="F167" i="2"/>
  <c r="AR164" i="2"/>
  <c r="BC10" i="2"/>
  <c r="V147" i="2"/>
  <c r="T123" i="2"/>
  <c r="BH139" i="2"/>
  <c r="BK119" i="2"/>
  <c r="AT176" i="2"/>
  <c r="AV164" i="2"/>
  <c r="U170" i="2"/>
  <c r="BG136" i="2"/>
  <c r="AC87" i="2"/>
  <c r="AF62" i="2"/>
  <c r="AZ163" i="2"/>
  <c r="P165" i="2"/>
  <c r="BI141" i="2"/>
  <c r="AM136" i="2"/>
  <c r="BJ19" i="2"/>
  <c r="AV30" i="2"/>
  <c r="AO79" i="3"/>
  <c r="AO79" i="2" s="1"/>
  <c r="AO80" i="2"/>
  <c r="BJ131" i="2"/>
  <c r="BG118" i="2"/>
  <c r="BG117" i="3"/>
  <c r="BG117" i="2" s="1"/>
  <c r="AU123" i="2"/>
  <c r="Z45" i="2"/>
  <c r="BK82" i="2"/>
  <c r="Z177" i="2"/>
  <c r="AZ18" i="2"/>
  <c r="AX153" i="2"/>
  <c r="BH39" i="2"/>
  <c r="AH169" i="2"/>
  <c r="AS59" i="2"/>
  <c r="BC96" i="2"/>
  <c r="BJ120" i="2"/>
  <c r="AQ111" i="2"/>
  <c r="W61" i="2"/>
  <c r="V142" i="2"/>
  <c r="O13" i="2"/>
  <c r="V63" i="2"/>
  <c r="W64" i="2"/>
  <c r="Y71" i="2"/>
  <c r="AP64" i="2"/>
  <c r="M92" i="2"/>
  <c r="BC108" i="2"/>
  <c r="X144" i="2"/>
  <c r="Z133" i="2"/>
  <c r="BC142" i="2"/>
  <c r="AM138" i="2"/>
  <c r="AR132" i="2"/>
  <c r="Z44" i="2"/>
  <c r="AL97" i="2"/>
  <c r="BA91" i="2"/>
  <c r="AK138" i="2"/>
  <c r="BK67" i="2"/>
  <c r="P148" i="2"/>
  <c r="AE96" i="2"/>
  <c r="BA163" i="2"/>
  <c r="AA110" i="2"/>
  <c r="AY116" i="2"/>
  <c r="AY102" i="2"/>
  <c r="I164" i="2"/>
  <c r="BH114" i="2"/>
  <c r="AJ64" i="2"/>
  <c r="BD173" i="2"/>
  <c r="BA9" i="2"/>
  <c r="AQ135" i="2"/>
  <c r="T127" i="2"/>
  <c r="BG153" i="2"/>
  <c r="AX139" i="2"/>
  <c r="L41" i="3"/>
  <c r="L41" i="2" s="1"/>
  <c r="L42" i="2"/>
  <c r="BG174" i="2"/>
  <c r="N91" i="2"/>
  <c r="AE25" i="2"/>
  <c r="K167" i="2"/>
  <c r="X152" i="2"/>
  <c r="AM186" i="2"/>
  <c r="AC57" i="2"/>
  <c r="Q42" i="2"/>
  <c r="Q41" i="3"/>
  <c r="Q41" i="2" s="1"/>
  <c r="BE90" i="2"/>
  <c r="BB14" i="2"/>
  <c r="AR39" i="2"/>
  <c r="BI10" i="2"/>
  <c r="BF187" i="2"/>
  <c r="AP54" i="2"/>
  <c r="AC69" i="2"/>
  <c r="AB76" i="2"/>
  <c r="L61" i="2"/>
  <c r="N34" i="2"/>
  <c r="BJ95" i="2"/>
  <c r="X167" i="2"/>
  <c r="AH20" i="2"/>
  <c r="BF19" i="2"/>
  <c r="K32" i="2"/>
  <c r="AB25" i="2"/>
  <c r="AP66" i="2"/>
  <c r="K120" i="2"/>
  <c r="BI36" i="2"/>
  <c r="O191" i="2"/>
  <c r="AR64" i="2"/>
  <c r="W79" i="3"/>
  <c r="W79" i="2" s="1"/>
  <c r="W80" i="2"/>
  <c r="AZ34" i="2"/>
  <c r="BK42" i="2"/>
  <c r="BK41" i="3"/>
  <c r="BK41" i="2" s="1"/>
  <c r="AP78" i="2"/>
  <c r="Y131" i="2"/>
  <c r="AN97" i="2"/>
  <c r="BM87" i="2"/>
  <c r="BE8" i="2"/>
  <c r="G24" i="2"/>
  <c r="AJ46" i="2"/>
  <c r="AS47" i="2"/>
  <c r="AY105" i="2"/>
  <c r="F79" i="3"/>
  <c r="F79" i="2" s="1"/>
  <c r="F80" i="2"/>
  <c r="BC38" i="2"/>
  <c r="AV31" i="2"/>
  <c r="H28" i="2"/>
  <c r="BA38" i="2"/>
  <c r="X64" i="2"/>
  <c r="BB100" i="2"/>
  <c r="BE170" i="2"/>
  <c r="I11" i="2"/>
  <c r="BM15" i="2"/>
  <c r="W28" i="2"/>
  <c r="S176" i="2"/>
  <c r="BG81" i="2"/>
  <c r="H83" i="2"/>
  <c r="BB112" i="2"/>
  <c r="BB123" i="2"/>
  <c r="AV47" i="2"/>
  <c r="J38" i="2"/>
  <c r="V5" i="2"/>
  <c r="U11" i="2"/>
  <c r="BE98" i="2"/>
  <c r="BF97" i="2"/>
  <c r="AI125" i="2"/>
  <c r="BB135" i="2"/>
  <c r="AU72" i="2"/>
  <c r="AM79" i="3"/>
  <c r="AM79" i="2" s="1"/>
  <c r="AM80" i="2"/>
  <c r="W23" i="2"/>
  <c r="W27" i="2"/>
  <c r="Q117" i="3"/>
  <c r="Q117" i="2" s="1"/>
  <c r="Q118" i="2"/>
  <c r="N109" i="2"/>
  <c r="AI146" i="2"/>
  <c r="BK149" i="2"/>
  <c r="AF123" i="2"/>
  <c r="BM124" i="2"/>
  <c r="Q54" i="2"/>
  <c r="G46" i="2"/>
  <c r="AD140" i="2"/>
  <c r="U127" i="2"/>
  <c r="AL122" i="2"/>
  <c r="F74" i="2"/>
  <c r="AL8" i="2"/>
  <c r="W44" i="2"/>
  <c r="W95" i="2"/>
  <c r="AJ181" i="2"/>
  <c r="BG145" i="2"/>
  <c r="AQ50" i="2"/>
  <c r="AY183" i="2"/>
  <c r="BG24" i="2"/>
  <c r="AE154" i="2"/>
  <c r="AV114" i="2"/>
  <c r="AM86" i="2"/>
  <c r="AI7" i="2"/>
  <c r="BJ10" i="2"/>
  <c r="AD24" i="2"/>
  <c r="J180" i="2"/>
  <c r="AZ177" i="2"/>
  <c r="AQ62" i="2"/>
  <c r="AR151" i="2"/>
  <c r="O131" i="2"/>
  <c r="T25" i="2"/>
  <c r="AO65" i="2"/>
  <c r="AQ21" i="2"/>
  <c r="BC73" i="2"/>
  <c r="AB137" i="2"/>
  <c r="AQ188" i="2"/>
  <c r="AQ173" i="2"/>
  <c r="AP105" i="2"/>
  <c r="BH18" i="2"/>
  <c r="AW22" i="2"/>
  <c r="AS33" i="2"/>
  <c r="L28" i="2"/>
  <c r="BD55" i="2"/>
  <c r="AQ74" i="2"/>
  <c r="W175" i="2"/>
  <c r="AQ140" i="2"/>
  <c r="AN57" i="2"/>
  <c r="Q77" i="2"/>
  <c r="L135" i="2"/>
  <c r="AM26" i="2"/>
  <c r="BI17" i="2"/>
  <c r="BK17" i="2"/>
  <c r="BA128" i="2"/>
  <c r="BD133" i="2"/>
  <c r="AI29" i="2"/>
  <c r="AC34" i="2"/>
  <c r="AU45" i="2"/>
  <c r="AK39" i="2"/>
  <c r="AY68" i="2"/>
  <c r="BC84" i="2"/>
  <c r="BE157" i="2"/>
  <c r="AG34" i="2"/>
  <c r="AD96" i="2"/>
  <c r="J186" i="2"/>
  <c r="AO49" i="2"/>
  <c r="P50" i="2"/>
  <c r="BE128" i="2"/>
  <c r="Y89" i="2"/>
  <c r="AL14" i="2"/>
  <c r="AN12" i="2"/>
  <c r="AO13" i="2"/>
  <c r="AE174" i="2"/>
  <c r="AB52" i="2"/>
  <c r="G31" i="2"/>
  <c r="AD35" i="2"/>
  <c r="BA93" i="2"/>
  <c r="P90" i="2"/>
  <c r="BI25" i="2"/>
  <c r="AN77" i="2"/>
  <c r="AU83" i="2"/>
  <c r="AG86" i="2"/>
  <c r="V76" i="2"/>
  <c r="M104" i="2"/>
  <c r="Y120" i="2"/>
  <c r="BK167" i="2"/>
  <c r="AW191" i="2"/>
  <c r="AP183" i="2"/>
  <c r="AT43" i="2"/>
  <c r="AX49" i="2"/>
  <c r="K183" i="2"/>
  <c r="BK183" i="2"/>
  <c r="AN184" i="2"/>
  <c r="F120" i="2"/>
  <c r="F185" i="2"/>
  <c r="AG73" i="2"/>
  <c r="AX112" i="2"/>
  <c r="BI5" i="2"/>
  <c r="BL59" i="2"/>
  <c r="N90" i="2"/>
  <c r="AS10" i="2"/>
  <c r="AJ82" i="2"/>
  <c r="U13" i="2"/>
  <c r="AT18" i="2"/>
  <c r="Y54" i="2"/>
  <c r="Z15" i="2"/>
  <c r="AN93" i="2"/>
  <c r="BC62" i="2"/>
  <c r="AB27" i="2"/>
  <c r="BJ115" i="2"/>
  <c r="T173" i="2"/>
  <c r="BI90" i="2"/>
  <c r="AS138" i="2"/>
  <c r="BM144" i="2"/>
  <c r="AA23" i="2"/>
  <c r="X109" i="2"/>
  <c r="AN24" i="2"/>
  <c r="O62" i="2"/>
  <c r="AE86" i="2"/>
  <c r="AB16" i="2"/>
  <c r="AE150" i="2"/>
  <c r="AZ78" i="2"/>
  <c r="BC33" i="2"/>
  <c r="BA177" i="2"/>
  <c r="BD90" i="2"/>
  <c r="AH157" i="2"/>
  <c r="AW178" i="2"/>
  <c r="AW17" i="2"/>
  <c r="BK93" i="2"/>
  <c r="AO19" i="2"/>
  <c r="AH99" i="2"/>
  <c r="V21" i="2"/>
  <c r="AW95" i="2"/>
  <c r="X17" i="2"/>
  <c r="S92" i="2"/>
  <c r="BM13" i="2"/>
  <c r="BC69" i="2"/>
  <c r="AI157" i="2"/>
  <c r="BI43" i="2"/>
  <c r="BM108" i="2"/>
  <c r="G17" i="2"/>
  <c r="BD74" i="2"/>
  <c r="AT159" i="2"/>
  <c r="K43" i="2"/>
  <c r="AV107" i="2"/>
  <c r="BH30" i="2"/>
  <c r="AD80" i="2"/>
  <c r="AD79" i="3"/>
  <c r="AD79" i="2" s="1"/>
  <c r="BI139" i="2"/>
  <c r="BH49" i="2"/>
  <c r="AX102" i="2"/>
  <c r="AB139" i="2"/>
  <c r="AP34" i="2"/>
  <c r="AA85" i="2"/>
  <c r="AD148" i="2"/>
  <c r="W56" i="2"/>
  <c r="AA114" i="2"/>
  <c r="P63" i="2"/>
  <c r="BK110" i="2"/>
  <c r="BE51" i="2"/>
  <c r="AM95" i="2"/>
  <c r="N162" i="2"/>
  <c r="Y82" i="2"/>
  <c r="BJ129" i="2"/>
  <c r="N52" i="2"/>
  <c r="P100" i="2"/>
  <c r="AI174" i="2"/>
  <c r="BM164" i="2"/>
  <c r="AK157" i="2"/>
  <c r="H150" i="2"/>
  <c r="AY139" i="2"/>
  <c r="AT142" i="2"/>
  <c r="BM125" i="2"/>
  <c r="AK167" i="2"/>
  <c r="AA177" i="2"/>
  <c r="O166" i="2"/>
  <c r="V181" i="2"/>
  <c r="BK180" i="2"/>
  <c r="BA180" i="2"/>
  <c r="K187" i="2"/>
  <c r="AB189" i="2"/>
  <c r="AZ188" i="2"/>
  <c r="AV192" i="2"/>
  <c r="AN188" i="2"/>
  <c r="F147" i="2"/>
  <c r="J91" i="2"/>
  <c r="AP92" i="2"/>
  <c r="AL100" i="2"/>
  <c r="M154" i="2"/>
  <c r="N37" i="2"/>
  <c r="AT99" i="2"/>
  <c r="R41" i="3"/>
  <c r="R41" i="2" s="1"/>
  <c r="R42" i="2"/>
  <c r="AT71" i="2"/>
  <c r="AR31" i="2"/>
  <c r="AB83" i="2"/>
  <c r="AI98" i="2"/>
  <c r="BF104" i="2"/>
  <c r="AV66" i="2"/>
  <c r="BM116" i="2"/>
  <c r="BG13" i="2"/>
  <c r="I99" i="2"/>
  <c r="BA13" i="2"/>
  <c r="AS26" i="2"/>
  <c r="BH110" i="2"/>
  <c r="K25" i="2"/>
  <c r="AL64" i="2"/>
  <c r="AV51" i="2"/>
  <c r="AE90" i="2"/>
  <c r="H108" i="2"/>
  <c r="AN54" i="2"/>
  <c r="AJ17" i="2"/>
  <c r="U119" i="2"/>
  <c r="AU64" i="2"/>
  <c r="AJ113" i="2"/>
  <c r="BC120" i="2"/>
  <c r="AC18" i="2"/>
  <c r="AG94" i="2"/>
  <c r="BM19" i="2"/>
  <c r="AS100" i="2"/>
  <c r="BB21" i="2"/>
  <c r="S96" i="2"/>
  <c r="AZ17" i="2"/>
  <c r="AY92" i="2"/>
  <c r="T14" i="2"/>
  <c r="R74" i="2"/>
  <c r="AZ158" i="2"/>
  <c r="BB28" i="2"/>
  <c r="AW76" i="2"/>
  <c r="O134" i="2"/>
  <c r="AB31" i="2"/>
  <c r="BF93" i="2"/>
  <c r="W6" i="2"/>
  <c r="BK56" i="2"/>
  <c r="AV128" i="2"/>
  <c r="J40" i="2"/>
  <c r="K95" i="2"/>
  <c r="AV175" i="2"/>
  <c r="BM64" i="2"/>
  <c r="BI119" i="2"/>
  <c r="BJ34" i="2"/>
  <c r="BC85" i="2"/>
  <c r="BH157" i="2"/>
  <c r="AU56" i="2"/>
  <c r="BC114" i="2"/>
  <c r="AJ63" i="2"/>
  <c r="R99" i="2"/>
  <c r="Y172" i="2"/>
  <c r="AR86" i="2"/>
  <c r="AU136" i="2"/>
  <c r="AB69" i="2"/>
  <c r="AM116" i="2"/>
  <c r="AH52" i="2"/>
  <c r="AJ100" i="2"/>
  <c r="N175" i="2"/>
  <c r="AX145" i="2"/>
  <c r="U137" i="2"/>
  <c r="AL133" i="2"/>
  <c r="AJ128" i="2"/>
  <c r="BG130" i="2"/>
  <c r="T126" i="2"/>
  <c r="AH189" i="2"/>
  <c r="AZ124" i="2"/>
  <c r="AZ187" i="2"/>
  <c r="AB183" i="2"/>
  <c r="BC141" i="2"/>
  <c r="AE146" i="2"/>
  <c r="AZ146" i="2"/>
  <c r="V154" i="2"/>
  <c r="AS158" i="2"/>
  <c r="AY161" i="2"/>
  <c r="AE187" i="2"/>
  <c r="F154" i="2"/>
  <c r="F86" i="2"/>
  <c r="P66" i="2"/>
  <c r="AD166" i="2"/>
  <c r="AA76" i="2"/>
  <c r="AB72" i="2"/>
  <c r="AV102" i="2"/>
  <c r="AM17" i="2"/>
  <c r="AQ100" i="2"/>
  <c r="T17" i="2"/>
  <c r="AO20" i="2"/>
  <c r="I68" i="2"/>
  <c r="R22" i="2"/>
  <c r="S116" i="2"/>
  <c r="AB67" i="2"/>
  <c r="AD30" i="2"/>
  <c r="Z117" i="3"/>
  <c r="Z117" i="2" s="1"/>
  <c r="Z118" i="2"/>
  <c r="S3" i="3"/>
  <c r="S3" i="2" s="1"/>
  <c r="S4" i="2"/>
  <c r="AK104" i="2"/>
  <c r="AM143" i="2"/>
  <c r="BC17" i="2"/>
  <c r="AQ29" i="2"/>
  <c r="N114" i="2"/>
  <c r="AO31" i="2"/>
  <c r="J69" i="2"/>
  <c r="G88" i="2"/>
  <c r="AJ18" i="2"/>
  <c r="J154" i="2"/>
  <c r="AZ80" i="2"/>
  <c r="AZ79" i="3"/>
  <c r="AZ79" i="2" s="1"/>
  <c r="BD34" i="2"/>
  <c r="AM5" i="2"/>
  <c r="U92" i="2"/>
  <c r="AL164" i="2"/>
  <c r="K186" i="2"/>
  <c r="BA18" i="2"/>
  <c r="AQ95" i="2"/>
  <c r="AP23" i="2"/>
  <c r="AJ76" i="2"/>
  <c r="AH7" i="2"/>
  <c r="M73" i="2"/>
  <c r="AZ6" i="2"/>
  <c r="BB73" i="2"/>
  <c r="AS5" i="2"/>
  <c r="AB56" i="2"/>
  <c r="AB125" i="2"/>
  <c r="L29" i="2"/>
  <c r="AS95" i="2"/>
  <c r="AZ8" i="2"/>
  <c r="AO60" i="2"/>
  <c r="AN133" i="2"/>
  <c r="BD28" i="2"/>
  <c r="AL90" i="2"/>
  <c r="BB186" i="2"/>
  <c r="AV68" i="2"/>
  <c r="BE106" i="2"/>
  <c r="AJ27" i="2"/>
  <c r="AE80" i="2"/>
  <c r="AE79" i="3"/>
  <c r="AE79" i="2" s="1"/>
  <c r="M141" i="2"/>
  <c r="AR47" i="2"/>
  <c r="K86" i="2"/>
  <c r="AI158" i="2"/>
  <c r="J57" i="2"/>
  <c r="R115" i="2"/>
  <c r="BD63" i="2"/>
  <c r="AL111" i="2"/>
  <c r="AF52" i="2"/>
  <c r="BL86" i="2"/>
  <c r="K137" i="2"/>
  <c r="AV69" i="2"/>
  <c r="BK116" i="2"/>
  <c r="BB52" i="2"/>
  <c r="BD100" i="2"/>
  <c r="AV176" i="2"/>
  <c r="G166" i="2"/>
  <c r="AP159" i="2"/>
  <c r="L151" i="2"/>
  <c r="AJ140" i="2"/>
  <c r="BB143" i="2"/>
  <c r="AO138" i="2"/>
  <c r="AS141" i="2"/>
  <c r="G125" i="2"/>
  <c r="N188" i="2"/>
  <c r="BD183" i="2"/>
  <c r="J142" i="2"/>
  <c r="AY146" i="2"/>
  <c r="G147" i="2"/>
  <c r="T190" i="2"/>
  <c r="AM179" i="2"/>
  <c r="O180" i="2"/>
  <c r="W189" i="2"/>
  <c r="F186" i="2"/>
  <c r="F135" i="2"/>
  <c r="S82" i="2"/>
  <c r="P186" i="2"/>
  <c r="AY114" i="2"/>
  <c r="AA95" i="2"/>
  <c r="BM115" i="2"/>
  <c r="AS18" i="2"/>
  <c r="BD107" i="2"/>
  <c r="AS49" i="2"/>
  <c r="BD21" i="2"/>
  <c r="AN71" i="2"/>
  <c r="AN8" i="2"/>
  <c r="AN45" i="2"/>
  <c r="AA47" i="2"/>
  <c r="S143" i="2"/>
  <c r="AO7" i="2"/>
  <c r="AT119" i="2"/>
  <c r="Y60" i="2"/>
  <c r="AK46" i="2"/>
  <c r="AY19" i="2"/>
  <c r="AP135" i="2"/>
  <c r="BI21" i="2"/>
  <c r="BJ31" i="2"/>
  <c r="U71" i="2"/>
  <c r="AT81" i="2"/>
  <c r="Q32" i="2"/>
  <c r="AP133" i="2"/>
  <c r="Z30" i="2"/>
  <c r="L125" i="2"/>
  <c r="AS19" i="2"/>
  <c r="AS109" i="2"/>
  <c r="AQ56" i="2"/>
  <c r="AT175" i="2"/>
  <c r="AF61" i="2"/>
  <c r="AE6" i="2"/>
  <c r="N66" i="2"/>
  <c r="I91" i="2"/>
  <c r="AD121" i="2"/>
  <c r="AK187" i="2"/>
  <c r="AF7" i="2"/>
  <c r="L54" i="2"/>
  <c r="AG122" i="2"/>
  <c r="AK24" i="2"/>
  <c r="BH101" i="2"/>
  <c r="BJ7" i="2"/>
  <c r="BA55" i="2"/>
  <c r="M121" i="2"/>
  <c r="AF18" i="2"/>
  <c r="L74" i="2"/>
  <c r="AG145" i="2"/>
  <c r="H43" i="2"/>
  <c r="G90" i="2"/>
  <c r="AL126" i="2"/>
  <c r="AJ29" i="2"/>
  <c r="AO77" i="2"/>
  <c r="Y136" i="2"/>
  <c r="V18" i="2"/>
  <c r="AJ61" i="2"/>
  <c r="N113" i="2"/>
  <c r="BK6" i="2"/>
  <c r="V44" i="2"/>
  <c r="AG91" i="2"/>
  <c r="AK160" i="2"/>
  <c r="L44" i="2"/>
  <c r="AO81" i="2"/>
  <c r="BF141" i="2"/>
  <c r="BD27" i="2"/>
  <c r="AZ65" i="2"/>
  <c r="BF106" i="2"/>
  <c r="AA168" i="2"/>
  <c r="Z48" i="2"/>
  <c r="AM89" i="2"/>
  <c r="AL131" i="2"/>
  <c r="H33" i="2"/>
  <c r="AM72" i="2"/>
  <c r="AT115" i="2"/>
  <c r="K64" i="2"/>
  <c r="BF111" i="2"/>
  <c r="AF174" i="2"/>
  <c r="V74" i="2"/>
  <c r="AH108" i="2"/>
  <c r="H164" i="2"/>
  <c r="W70" i="2"/>
  <c r="AI104" i="2"/>
  <c r="AD183" i="2"/>
  <c r="P88" i="2"/>
  <c r="AT127" i="2"/>
  <c r="R117" i="3"/>
  <c r="R117" i="2" s="1"/>
  <c r="R118" i="2"/>
  <c r="AX166" i="2"/>
  <c r="AD138" i="2"/>
  <c r="AX151" i="2"/>
  <c r="BF161" i="2"/>
  <c r="BH126" i="2"/>
  <c r="AH159" i="2"/>
  <c r="AA137" i="2"/>
  <c r="AP189" i="2"/>
  <c r="AJ182" i="2"/>
  <c r="AQ165" i="2"/>
  <c r="R157" i="2"/>
  <c r="Z147" i="2"/>
  <c r="BI188" i="2"/>
  <c r="I175" i="2"/>
  <c r="BG167" i="2"/>
  <c r="BK189" i="2"/>
  <c r="AI180" i="2"/>
  <c r="BD172" i="2"/>
  <c r="AT189" i="2"/>
  <c r="F151" i="2"/>
  <c r="F21" i="2"/>
  <c r="AG137" i="2"/>
  <c r="BE84" i="2"/>
  <c r="AX26" i="2"/>
  <c r="AN127" i="2"/>
  <c r="AP51" i="2"/>
  <c r="O29" i="2"/>
  <c r="Z125" i="2"/>
  <c r="W19" i="2"/>
  <c r="L91" i="2"/>
  <c r="S16" i="2"/>
  <c r="BL40" i="2"/>
  <c r="X88" i="2"/>
  <c r="J39" i="2"/>
  <c r="AW126" i="2"/>
  <c r="AW9" i="2"/>
  <c r="O97" i="2"/>
  <c r="O120" i="2"/>
  <c r="BA97" i="2"/>
  <c r="BF54" i="2"/>
  <c r="AF111" i="2"/>
  <c r="BG72" i="2"/>
  <c r="AX10" i="2"/>
  <c r="BM148" i="2"/>
  <c r="BF65" i="2"/>
  <c r="BG45" i="2"/>
  <c r="R13" i="2"/>
  <c r="Y34" i="2"/>
  <c r="BC75" i="2"/>
  <c r="AR120" i="2"/>
  <c r="T115" i="2"/>
  <c r="BF8" i="2"/>
  <c r="Z107" i="2"/>
  <c r="W49" i="2"/>
  <c r="AW19" i="2"/>
  <c r="AG107" i="2"/>
  <c r="AK20" i="2"/>
  <c r="BF56" i="2"/>
  <c r="P102" i="2"/>
  <c r="AT181" i="2"/>
  <c r="R141" i="2"/>
  <c r="BH85" i="2"/>
  <c r="AA26" i="2"/>
  <c r="Y23" i="2"/>
  <c r="AN108" i="2"/>
  <c r="BM72" i="2"/>
  <c r="AG33" i="2"/>
  <c r="AQ7" i="2"/>
  <c r="AV32" i="2"/>
  <c r="R72" i="2"/>
  <c r="H129" i="2"/>
  <c r="AQ13" i="2"/>
  <c r="AC82" i="2"/>
  <c r="X9" i="2"/>
  <c r="BH32" i="2"/>
  <c r="AJ56" i="2"/>
  <c r="W92" i="2"/>
  <c r="P137" i="2"/>
  <c r="AU71" i="2"/>
  <c r="BG7" i="2"/>
  <c r="AP31" i="2"/>
  <c r="P54" i="2"/>
  <c r="AX90" i="2"/>
  <c r="AH139" i="2"/>
  <c r="AI24" i="2"/>
  <c r="BG143" i="2"/>
  <c r="I20" i="2"/>
  <c r="AH49" i="2"/>
  <c r="AP75" i="2"/>
  <c r="BA110" i="2"/>
  <c r="T160" i="2"/>
  <c r="K15" i="2"/>
  <c r="AJ32" i="2"/>
  <c r="R57" i="2"/>
  <c r="J82" i="2"/>
  <c r="P128" i="2"/>
  <c r="AR3" i="3"/>
  <c r="AR3" i="2" s="1"/>
  <c r="AR4" i="2"/>
  <c r="BG18" i="2"/>
  <c r="AA40" i="2"/>
  <c r="AS62" i="2"/>
  <c r="G92" i="2"/>
  <c r="AM129" i="2"/>
  <c r="BG6" i="2"/>
  <c r="BK20" i="2"/>
  <c r="O43" i="2"/>
  <c r="BF66" i="2"/>
  <c r="AK94" i="2"/>
  <c r="G127" i="2"/>
  <c r="AW91" i="2"/>
  <c r="AG125" i="2"/>
  <c r="AW168" i="2"/>
  <c r="AB122" i="2"/>
  <c r="AN170" i="2"/>
  <c r="V132" i="2"/>
  <c r="L190" i="2"/>
  <c r="AE110" i="2"/>
  <c r="AM144" i="2"/>
  <c r="BH7" i="2"/>
  <c r="AN19" i="2"/>
  <c r="BB37" i="2"/>
  <c r="AV54" i="2"/>
  <c r="AI76" i="2"/>
  <c r="BG101" i="2"/>
  <c r="Q123" i="2"/>
  <c r="BM165" i="2"/>
  <c r="BB9" i="2"/>
  <c r="AF25" i="2"/>
  <c r="AS39" i="2"/>
  <c r="V60" i="2"/>
  <c r="H78" i="2"/>
  <c r="AC102" i="2"/>
  <c r="R123" i="2"/>
  <c r="AH162" i="2"/>
  <c r="U8" i="2"/>
  <c r="K23" i="2"/>
  <c r="AF41" i="3"/>
  <c r="AF41" i="2" s="1"/>
  <c r="AF42" i="2"/>
  <c r="Y56" i="2"/>
  <c r="Y79" i="3"/>
  <c r="Y79" i="2" s="1"/>
  <c r="Y80" i="2"/>
  <c r="BI97" i="2"/>
  <c r="BI121" i="2"/>
  <c r="Q149" i="2"/>
  <c r="AM7" i="2"/>
  <c r="BD18" i="2"/>
  <c r="BM36" i="2"/>
  <c r="AD51" i="2"/>
  <c r="AV74" i="2"/>
  <c r="AX95" i="2"/>
  <c r="AJ120" i="2"/>
  <c r="BB153" i="2"/>
  <c r="T6" i="2"/>
  <c r="AS17" i="2"/>
  <c r="AP27" i="2"/>
  <c r="AF43" i="2"/>
  <c r="T57" i="2"/>
  <c r="AW75" i="2"/>
  <c r="AI90" i="2"/>
  <c r="AF108" i="2"/>
  <c r="L127" i="2"/>
  <c r="M161" i="2"/>
  <c r="BI6" i="2"/>
  <c r="P19" i="2"/>
  <c r="BJ32" i="2"/>
  <c r="BC45" i="2"/>
  <c r="AY63" i="2"/>
  <c r="AF78" i="2"/>
  <c r="AM96" i="2"/>
  <c r="BD110" i="2"/>
  <c r="BD137" i="2"/>
  <c r="M165" i="2"/>
  <c r="AA9" i="2"/>
  <c r="AP18" i="2"/>
  <c r="AM32" i="2"/>
  <c r="U44" i="2"/>
  <c r="AD62" i="2"/>
  <c r="BH81" i="2"/>
  <c r="J95" i="2"/>
  <c r="AX113" i="2"/>
  <c r="AS135" i="2"/>
  <c r="L170" i="2"/>
  <c r="R7" i="2"/>
  <c r="AQ18" i="2"/>
  <c r="AL29" i="2"/>
  <c r="AT44" i="2"/>
  <c r="R58" i="2"/>
  <c r="AZ75" i="2"/>
  <c r="BM91" i="2"/>
  <c r="AD110" i="2"/>
  <c r="AA136" i="2"/>
  <c r="AA161" i="2"/>
  <c r="O23" i="2"/>
  <c r="J32" i="2"/>
  <c r="AF44" i="2"/>
  <c r="I55" i="2"/>
  <c r="AI69" i="2"/>
  <c r="BM81" i="2"/>
  <c r="V96" i="2"/>
  <c r="AQ107" i="2"/>
  <c r="N125" i="2"/>
  <c r="AA142" i="2"/>
  <c r="AA178" i="2"/>
  <c r="BI30" i="2"/>
  <c r="AE40" i="2"/>
  <c r="AY54" i="2"/>
  <c r="G66" i="2"/>
  <c r="R81" i="2"/>
  <c r="BK92" i="2"/>
  <c r="P107" i="2"/>
  <c r="R121" i="2"/>
  <c r="AB142" i="2"/>
  <c r="BK169" i="2"/>
  <c r="BJ26" i="2"/>
  <c r="BE35" i="2"/>
  <c r="AX48" i="2"/>
  <c r="G63" i="2"/>
  <c r="AZ74" i="2"/>
  <c r="BK89" i="2"/>
  <c r="BH100" i="2"/>
  <c r="AS115" i="2"/>
  <c r="AP132" i="2"/>
  <c r="BG161" i="2"/>
  <c r="AV21" i="2"/>
  <c r="AB33" i="2"/>
  <c r="Y46" i="2"/>
  <c r="BF57" i="2"/>
  <c r="BK72" i="2"/>
  <c r="BE88" i="2"/>
  <c r="AK100" i="2"/>
  <c r="Q116" i="2"/>
  <c r="BB138" i="2"/>
  <c r="M164" i="2"/>
  <c r="AO54" i="2"/>
  <c r="AJ67" i="2"/>
  <c r="AT77" i="2"/>
  <c r="BK90" i="2"/>
  <c r="BK102" i="2"/>
  <c r="M112" i="2"/>
  <c r="AM128" i="2"/>
  <c r="N151" i="2"/>
  <c r="K175" i="2"/>
  <c r="G53" i="2"/>
  <c r="G65" i="2"/>
  <c r="AP74" i="2"/>
  <c r="AM87" i="2"/>
  <c r="AM99" i="2"/>
  <c r="BB108" i="2"/>
  <c r="AW123" i="2"/>
  <c r="N144" i="2"/>
  <c r="BG164" i="2"/>
  <c r="H49" i="2"/>
  <c r="H61" i="2"/>
  <c r="AQ70" i="2"/>
  <c r="AN83" i="2"/>
  <c r="AN95" i="2"/>
  <c r="BC104" i="2"/>
  <c r="AE117" i="3"/>
  <c r="AE117" i="2" s="1"/>
  <c r="AE118" i="2"/>
  <c r="T136" i="2"/>
  <c r="AI154" i="2"/>
  <c r="V184" i="2"/>
  <c r="N56" i="2"/>
  <c r="AC65" i="2"/>
  <c r="AC77" i="2"/>
  <c r="AO91" i="2"/>
  <c r="AE101" i="2"/>
  <c r="AT114" i="2"/>
  <c r="G132" i="2"/>
  <c r="M148" i="2"/>
  <c r="L178" i="2"/>
  <c r="W121" i="2"/>
  <c r="V131" i="2"/>
  <c r="AI147" i="2"/>
  <c r="Z172" i="2"/>
  <c r="BJ113" i="2"/>
  <c r="AA127" i="2"/>
  <c r="I142" i="2"/>
  <c r="AT160" i="2"/>
  <c r="BA184" i="2"/>
  <c r="O123" i="2"/>
  <c r="AU134" i="2"/>
  <c r="V152" i="2"/>
  <c r="Y175" i="2"/>
  <c r="N115" i="2"/>
  <c r="AL129" i="2"/>
  <c r="BB145" i="2"/>
  <c r="AC162" i="2"/>
  <c r="AW189" i="2"/>
  <c r="AM134" i="2"/>
  <c r="AH144" i="2"/>
  <c r="AJ162" i="2"/>
  <c r="BC181" i="2"/>
  <c r="O127" i="2"/>
  <c r="S139" i="2"/>
  <c r="AT154" i="2"/>
  <c r="AH170" i="2"/>
  <c r="AN192" i="2"/>
  <c r="AT145" i="2"/>
  <c r="BL159" i="2"/>
  <c r="V179" i="2"/>
  <c r="AF128" i="2"/>
  <c r="AU137" i="2"/>
  <c r="BK153" i="2"/>
  <c r="BK173" i="2"/>
  <c r="H190" i="2"/>
  <c r="BC178" i="2"/>
  <c r="AT169" i="2"/>
  <c r="AA183" i="2"/>
  <c r="AU184" i="2"/>
  <c r="AJ151" i="2"/>
  <c r="AE166" i="2"/>
  <c r="AL182" i="2"/>
  <c r="AI145" i="2"/>
  <c r="AO157" i="2"/>
  <c r="AH171" i="2"/>
  <c r="AM185" i="2"/>
  <c r="AT147" i="2"/>
  <c r="W163" i="2"/>
  <c r="S177" i="2"/>
  <c r="AA189" i="2"/>
  <c r="AU147" i="2"/>
  <c r="AU163" i="2"/>
  <c r="AF175" i="2"/>
  <c r="S191" i="2"/>
  <c r="BL158" i="2"/>
  <c r="N168" i="2"/>
  <c r="N180" i="2"/>
  <c r="H149" i="2"/>
  <c r="AN159" i="2"/>
  <c r="AN171" i="2"/>
  <c r="AO183" i="2"/>
  <c r="AC149" i="2"/>
  <c r="U163" i="2"/>
  <c r="P176" i="2"/>
  <c r="O186" i="2"/>
  <c r="AA190" i="2"/>
  <c r="AH190" i="2"/>
  <c r="AT188" i="2"/>
  <c r="AZ165" i="2"/>
  <c r="AU129" i="2"/>
  <c r="AO155" i="3"/>
  <c r="AO155" i="2" s="1"/>
  <c r="AO156" i="2"/>
  <c r="N167" i="2"/>
  <c r="Z171" i="2"/>
  <c r="BM186" i="2"/>
  <c r="BB171" i="2"/>
  <c r="AX146" i="2"/>
  <c r="BL172" i="2"/>
  <c r="BK152" i="2"/>
  <c r="AU178" i="2"/>
  <c r="AZ149" i="2"/>
  <c r="AF180" i="2"/>
  <c r="N160" i="2"/>
  <c r="AC181" i="2"/>
  <c r="AN163" i="2"/>
  <c r="BH184" i="2"/>
  <c r="AJ164" i="2"/>
  <c r="M191" i="2"/>
  <c r="F82" i="2"/>
  <c r="F163" i="2"/>
  <c r="X73" i="2"/>
  <c r="AN15" i="2"/>
  <c r="AI132" i="2"/>
  <c r="BL14" i="2"/>
  <c r="Z95" i="2"/>
  <c r="Y81" i="2"/>
  <c r="J27" i="2"/>
  <c r="AA35" i="2"/>
  <c r="AD147" i="2"/>
  <c r="S35" i="2"/>
  <c r="BE104" i="2"/>
  <c r="K96" i="2"/>
  <c r="AP190" i="2"/>
  <c r="AX23" i="2"/>
  <c r="AM15" i="2"/>
  <c r="AF150" i="2"/>
  <c r="BI93" i="2"/>
  <c r="Y115" i="2"/>
  <c r="BB39" i="2"/>
  <c r="BA146" i="2"/>
  <c r="AG29" i="2"/>
  <c r="AS32" i="2"/>
  <c r="T61" i="2"/>
  <c r="AZ13" i="2"/>
  <c r="AZ35" i="2"/>
  <c r="S68" i="2"/>
  <c r="P81" i="2"/>
  <c r="J98" i="2"/>
  <c r="R66" i="2"/>
  <c r="BE94" i="2"/>
  <c r="AM65" i="2"/>
  <c r="BE5" i="2"/>
  <c r="H88" i="2"/>
  <c r="Z18" i="2"/>
  <c r="AA94" i="2"/>
  <c r="AF21" i="2"/>
  <c r="AX96" i="2"/>
  <c r="AV28" i="2"/>
  <c r="BH98" i="2"/>
  <c r="AU132" i="2"/>
  <c r="AB106" i="2"/>
  <c r="AW115" i="2"/>
  <c r="BG25" i="2"/>
  <c r="AK81" i="2"/>
  <c r="BE177" i="2"/>
  <c r="AM46" i="2"/>
  <c r="N106" i="2"/>
  <c r="AM13" i="2"/>
  <c r="BC59" i="2"/>
  <c r="P126" i="2"/>
  <c r="AM24" i="2"/>
  <c r="AX78" i="2"/>
  <c r="Y167" i="2"/>
  <c r="BI32" i="2"/>
  <c r="AE78" i="2"/>
  <c r="X136" i="2"/>
  <c r="BF20" i="2"/>
  <c r="J66" i="2"/>
  <c r="BE117" i="3"/>
  <c r="BE117" i="2" s="1"/>
  <c r="BE118" i="2"/>
  <c r="Q11" i="2"/>
  <c r="AF50" i="2"/>
  <c r="AD98" i="2"/>
  <c r="H176" i="2"/>
  <c r="BB34" i="2"/>
  <c r="AL78" i="2"/>
  <c r="AX140" i="2"/>
  <c r="V46" i="2"/>
  <c r="BE86" i="2"/>
  <c r="BF127" i="2"/>
  <c r="AE32" i="2"/>
  <c r="Z71" i="2"/>
  <c r="AL109" i="2"/>
  <c r="BM183" i="2"/>
  <c r="Y65" i="2"/>
  <c r="BJ119" i="2"/>
  <c r="AV25" i="2"/>
  <c r="H63" i="2"/>
  <c r="L106" i="2"/>
  <c r="AL178" i="2"/>
  <c r="R83" i="2"/>
  <c r="K131" i="2"/>
  <c r="BJ78" i="2"/>
  <c r="AB126" i="2"/>
  <c r="AK139" i="2"/>
  <c r="AK168" i="2"/>
  <c r="AL191" i="2"/>
  <c r="F20" i="2"/>
  <c r="F70" i="2"/>
  <c r="Q120" i="2"/>
  <c r="BF108" i="2"/>
  <c r="Z24" i="2"/>
  <c r="L62" i="2"/>
  <c r="H56" i="2"/>
  <c r="N23" i="2"/>
  <c r="I135" i="2"/>
  <c r="P77" i="2"/>
  <c r="AL93" i="2"/>
  <c r="AJ174" i="2"/>
  <c r="BL105" i="2"/>
  <c r="AM84" i="2"/>
  <c r="W43" i="2"/>
  <c r="G75" i="2"/>
  <c r="S46" i="2"/>
  <c r="AL17" i="2"/>
  <c r="AD137" i="2"/>
  <c r="AW10" i="2"/>
  <c r="G6" i="2"/>
  <c r="O17" i="2"/>
  <c r="AK173" i="2"/>
  <c r="AU75" i="2"/>
  <c r="BF116" i="2"/>
  <c r="AU26" i="2"/>
  <c r="BJ53" i="2"/>
  <c r="AH16" i="2"/>
  <c r="BC95" i="2"/>
  <c r="BG8" i="2"/>
  <c r="AR12" i="2"/>
  <c r="X140" i="2"/>
  <c r="AE17" i="2"/>
  <c r="K98" i="2"/>
  <c r="BI15" i="2"/>
  <c r="AF96" i="2"/>
  <c r="M6" i="2"/>
  <c r="BM89" i="2"/>
  <c r="BF18" i="2"/>
  <c r="G95" i="2"/>
  <c r="AN27" i="2"/>
  <c r="Y97" i="2"/>
  <c r="T29" i="2"/>
  <c r="AK99" i="2"/>
  <c r="AG133" i="2"/>
  <c r="BB107" i="2"/>
  <c r="AJ116" i="2"/>
  <c r="S26" i="2"/>
  <c r="AL82" i="2"/>
  <c r="AP180" i="2"/>
  <c r="AJ47" i="2"/>
  <c r="BB106" i="2"/>
  <c r="AA175" i="2"/>
  <c r="Q45" i="2"/>
  <c r="S106" i="2"/>
  <c r="L10" i="2"/>
  <c r="X60" i="2"/>
  <c r="AV125" i="2"/>
  <c r="AI19" i="2"/>
  <c r="U64" i="2"/>
  <c r="N111" i="2"/>
  <c r="AJ11" i="2"/>
  <c r="U52" i="2"/>
  <c r="BA99" i="2"/>
  <c r="BF142" i="2"/>
  <c r="AK11" i="2"/>
  <c r="BH50" i="2"/>
  <c r="I102" i="2"/>
  <c r="L177" i="2"/>
  <c r="M35" i="2"/>
  <c r="AL79" i="3"/>
  <c r="AL79" i="2" s="1"/>
  <c r="AL80" i="2"/>
  <c r="AD141" i="2"/>
  <c r="AD36" i="2"/>
  <c r="BD60" i="2"/>
  <c r="BI98" i="2"/>
  <c r="U155" i="3"/>
  <c r="U155" i="2" s="1"/>
  <c r="U156" i="2"/>
  <c r="AV45" i="2"/>
  <c r="BD83" i="2"/>
  <c r="X128" i="2"/>
  <c r="AZ28" i="2"/>
  <c r="BH79" i="3"/>
  <c r="BH79" i="2" s="1"/>
  <c r="BH80" i="2"/>
  <c r="AA120" i="2"/>
  <c r="AG167" i="2"/>
  <c r="BC48" i="2"/>
  <c r="AD91" i="2"/>
  <c r="AY143" i="2"/>
  <c r="AT69" i="2"/>
  <c r="BA104" i="2"/>
  <c r="Z155" i="3"/>
  <c r="Z155" i="2" s="1"/>
  <c r="Z156" i="2"/>
  <c r="Q67" i="2"/>
  <c r="AC101" i="2"/>
  <c r="K148" i="2"/>
  <c r="R63" i="2"/>
  <c r="AD97" i="2"/>
  <c r="AT140" i="2"/>
  <c r="X58" i="2"/>
  <c r="AJ79" i="3"/>
  <c r="AJ79" i="2" s="1"/>
  <c r="AJ80" i="2"/>
  <c r="H117" i="3"/>
  <c r="H117" i="2" s="1"/>
  <c r="H118" i="2"/>
  <c r="W184" i="2"/>
  <c r="AY152" i="2"/>
  <c r="AJ129" i="2"/>
  <c r="Q190" i="2"/>
  <c r="AD155" i="3"/>
  <c r="AD155" i="2" s="1"/>
  <c r="AD156" i="2"/>
  <c r="AH132" i="2"/>
  <c r="AC124" i="2"/>
  <c r="BB150" i="2"/>
  <c r="BC131" i="2"/>
  <c r="Q178" i="2"/>
  <c r="AQ166" i="2"/>
  <c r="W182" i="2"/>
  <c r="BG157" i="2"/>
  <c r="AU181" i="2"/>
  <c r="BL187" i="2"/>
  <c r="AU172" i="2"/>
  <c r="BJ162" i="2"/>
  <c r="AF188" i="2"/>
  <c r="AX179" i="2"/>
  <c r="AD150" i="2"/>
  <c r="R192" i="2"/>
  <c r="BB172" i="2"/>
  <c r="R151" i="2"/>
  <c r="AD173" i="2"/>
  <c r="X154" i="2"/>
  <c r="Z178" i="2"/>
  <c r="AJ192" i="2"/>
  <c r="F162" i="2"/>
  <c r="F98" i="2"/>
  <c r="BM7" i="2"/>
  <c r="Q176" i="2"/>
  <c r="N26" i="2"/>
  <c r="AD64" i="2"/>
  <c r="AR69" i="2"/>
  <c r="BL103" i="2"/>
  <c r="BE147" i="2"/>
  <c r="AM31" i="2"/>
  <c r="AZ37" i="2"/>
  <c r="AP184" i="2"/>
  <c r="AG39" i="2"/>
  <c r="I129" i="2"/>
  <c r="AY98" i="2"/>
  <c r="S9" i="2"/>
  <c r="AQ75" i="2"/>
  <c r="AM20" i="2"/>
  <c r="N139" i="2"/>
  <c r="K17" i="2"/>
  <c r="AE7" i="2"/>
  <c r="BF17" i="2"/>
  <c r="BC177" i="2"/>
  <c r="AQ76" i="2"/>
  <c r="AT122" i="2"/>
  <c r="AI33" i="2"/>
  <c r="AR55" i="2"/>
  <c r="J44" i="2"/>
  <c r="BF73" i="2"/>
  <c r="Q100" i="2"/>
  <c r="V103" i="2"/>
  <c r="U68" i="2"/>
  <c r="AM102" i="2"/>
  <c r="BB67" i="2"/>
  <c r="AH53" i="2"/>
  <c r="P57" i="2"/>
  <c r="AQ3" i="3"/>
  <c r="AQ3" i="2" s="1"/>
  <c r="AQ4" i="2"/>
  <c r="AS64" i="2"/>
  <c r="AP148" i="2"/>
  <c r="AJ45" i="2"/>
  <c r="S155" i="3"/>
  <c r="S155" i="2" s="1"/>
  <c r="S156" i="2"/>
  <c r="AK48" i="2"/>
  <c r="AK153" i="2"/>
  <c r="X100" i="2"/>
  <c r="AQ145" i="2"/>
  <c r="U169" i="2"/>
  <c r="AD41" i="3"/>
  <c r="AD41" i="2" s="1"/>
  <c r="AD42" i="2"/>
  <c r="BA106" i="2"/>
  <c r="BA15" i="2"/>
  <c r="BE64" i="2"/>
  <c r="V136" i="2"/>
  <c r="BM30" i="2"/>
  <c r="BM84" i="2"/>
  <c r="AV170" i="2"/>
  <c r="BJ25" i="2"/>
  <c r="AN81" i="2"/>
  <c r="AN169" i="2"/>
  <c r="AQ33" i="2"/>
  <c r="BK80" i="2"/>
  <c r="BK79" i="3"/>
  <c r="BK79" i="2" s="1"/>
  <c r="X138" i="2"/>
  <c r="R24" i="2"/>
  <c r="AG67" i="2"/>
  <c r="AL120" i="2"/>
  <c r="BE11" i="2"/>
  <c r="W51" i="2"/>
  <c r="AK102" i="2"/>
  <c r="W178" i="2"/>
  <c r="AO35" i="2"/>
  <c r="AG81" i="2"/>
  <c r="N142" i="2"/>
  <c r="AX36" i="2"/>
  <c r="AJ72" i="2"/>
  <c r="W99" i="2"/>
  <c r="BA157" i="2"/>
  <c r="W46" i="2"/>
  <c r="S84" i="2"/>
  <c r="BJ128" i="2"/>
  <c r="G29" i="2"/>
  <c r="H66" i="2"/>
  <c r="BG106" i="2"/>
  <c r="AB168" i="2"/>
  <c r="N49" i="2"/>
  <c r="BH63" i="2"/>
  <c r="BH106" i="2"/>
  <c r="L180" i="2"/>
  <c r="BF83" i="2"/>
  <c r="L119" i="2"/>
  <c r="BI190" i="2"/>
  <c r="AH79" i="3"/>
  <c r="AH79" i="2" s="1"/>
  <c r="AH80" i="2"/>
  <c r="AW101" i="2"/>
  <c r="BE148" i="2"/>
  <c r="AL63" i="2"/>
  <c r="AX97" i="2"/>
  <c r="H141" i="2"/>
  <c r="AR58" i="2"/>
  <c r="AY93" i="2"/>
  <c r="U107" i="2"/>
  <c r="BL160" i="2"/>
  <c r="AV137" i="2"/>
  <c r="BB119" i="2"/>
  <c r="AR169" i="2"/>
  <c r="BK140" i="2"/>
  <c r="Z121" i="2"/>
  <c r="AG172" i="2"/>
  <c r="P151" i="2"/>
  <c r="AB185" i="2"/>
  <c r="AG159" i="2"/>
  <c r="AX148" i="2"/>
  <c r="BJ130" i="2"/>
  <c r="AB177" i="2"/>
  <c r="AS172" i="2"/>
  <c r="BC154" i="2"/>
  <c r="BM147" i="2"/>
  <c r="BH188" i="2"/>
  <c r="H180" i="2"/>
  <c r="AK166" i="2"/>
  <c r="I161" i="2"/>
  <c r="AL151" i="2"/>
  <c r="BF185" i="2"/>
  <c r="AT178" i="2"/>
  <c r="BG192" i="2"/>
  <c r="F26" i="2"/>
  <c r="F169" i="2"/>
  <c r="AU12" i="2"/>
  <c r="AZ11" i="2"/>
  <c r="BD14" i="2"/>
  <c r="Z96" i="2"/>
  <c r="W33" i="2"/>
  <c r="T162" i="2"/>
  <c r="U35" i="2"/>
  <c r="AM38" i="2"/>
  <c r="L37" i="2"/>
  <c r="BI40" i="2"/>
  <c r="M135" i="2"/>
  <c r="AJ101" i="2"/>
  <c r="K11" i="2"/>
  <c r="AC29" i="2"/>
  <c r="W77" i="2"/>
  <c r="AZ123" i="2"/>
  <c r="Z34" i="2"/>
  <c r="AN56" i="2"/>
  <c r="K102" i="2"/>
  <c r="AF104" i="2"/>
  <c r="AC48" i="2"/>
  <c r="G36" i="2"/>
  <c r="AS38" i="2"/>
  <c r="AS6" i="2"/>
  <c r="AP44" i="2"/>
  <c r="AK165" i="2"/>
  <c r="V7" i="2"/>
  <c r="X91" i="2"/>
  <c r="BA19" i="2"/>
  <c r="AC71" i="2"/>
  <c r="BD8" i="2"/>
  <c r="AF75" i="2"/>
  <c r="AM10" i="2"/>
  <c r="BB78" i="2"/>
  <c r="Q105" i="2"/>
  <c r="U132" i="2"/>
  <c r="AQ93" i="2"/>
  <c r="T11" i="2"/>
  <c r="H64" i="2"/>
  <c r="AA107" i="2"/>
  <c r="AI184" i="2"/>
  <c r="R49" i="2"/>
  <c r="BH88" i="2"/>
  <c r="AD190" i="2"/>
  <c r="X31" i="2"/>
  <c r="AC66" i="2"/>
  <c r="AC107" i="2"/>
  <c r="BL10" i="2"/>
  <c r="AS40" i="2"/>
  <c r="K87" i="2"/>
  <c r="AX134" i="2"/>
  <c r="O11" i="2"/>
  <c r="AA34" i="2"/>
  <c r="N65" i="2"/>
  <c r="BD98" i="2"/>
  <c r="I139" i="2"/>
  <c r="K12" i="2"/>
  <c r="V36" i="2"/>
  <c r="AC68" i="2"/>
  <c r="AP121" i="2"/>
  <c r="AZ185" i="2"/>
  <c r="AK38" i="2"/>
  <c r="BM85" i="2"/>
  <c r="AN148" i="2"/>
  <c r="R21" i="2"/>
  <c r="L66" i="2"/>
  <c r="L121" i="2"/>
  <c r="BM25" i="2"/>
  <c r="AM61" i="2"/>
  <c r="Z88" i="2"/>
  <c r="AY134" i="2"/>
  <c r="AT33" i="2"/>
  <c r="AK72" i="2"/>
  <c r="AP110" i="2"/>
  <c r="AF20" i="2"/>
  <c r="K55" i="2"/>
  <c r="W93" i="2"/>
  <c r="AC142" i="2"/>
  <c r="AQ38" i="2"/>
  <c r="I80" i="2"/>
  <c r="I79" i="3"/>
  <c r="I79" i="2" s="1"/>
  <c r="BC125" i="2"/>
  <c r="M181" i="2"/>
  <c r="M84" i="2"/>
  <c r="AN119" i="2"/>
  <c r="AN191" i="2"/>
  <c r="BB79" i="3"/>
  <c r="BB79" i="2" s="1"/>
  <c r="BB80" i="2"/>
  <c r="T114" i="2"/>
  <c r="AJ179" i="2"/>
  <c r="BF75" i="2"/>
  <c r="Y110" i="2"/>
  <c r="AN141" i="2"/>
  <c r="BL58" i="2"/>
  <c r="Z94" i="2"/>
  <c r="BA136" i="2"/>
  <c r="BA123" i="2"/>
  <c r="AH178" i="2"/>
  <c r="O146" i="2"/>
  <c r="X126" i="2"/>
  <c r="S182" i="2"/>
  <c r="I150" i="2"/>
  <c r="X137" i="2"/>
  <c r="BK185" i="2"/>
  <c r="BK159" i="2"/>
  <c r="K149" i="2"/>
  <c r="Q131" i="2"/>
  <c r="BI177" i="2"/>
  <c r="AH173" i="2"/>
  <c r="H155" i="3"/>
  <c r="H155" i="2" s="1"/>
  <c r="H156" i="2"/>
  <c r="AS163" i="2"/>
  <c r="AV154" i="2"/>
  <c r="Q141" i="2"/>
  <c r="BJ181" i="2"/>
  <c r="AC173" i="2"/>
  <c r="BC164" i="2"/>
  <c r="BL154" i="2"/>
  <c r="AW192" i="2"/>
  <c r="AI13" i="2"/>
  <c r="M51" i="2"/>
  <c r="I81" i="2"/>
  <c r="I93" i="2"/>
  <c r="AR102" i="2"/>
  <c r="AR114" i="2"/>
  <c r="BM132" i="2"/>
  <c r="BI149" i="2"/>
  <c r="Z180" i="2"/>
  <c r="BK54" i="2"/>
  <c r="M64" i="2"/>
  <c r="M76" i="2"/>
  <c r="J89" i="2"/>
  <c r="AS98" i="2"/>
  <c r="AS110" i="2"/>
  <c r="AC126" i="2"/>
  <c r="AR142" i="2"/>
  <c r="Y168" i="2"/>
  <c r="AW49" i="2"/>
  <c r="S59" i="2"/>
  <c r="S71" i="2"/>
  <c r="AJ84" i="2"/>
  <c r="AT94" i="2"/>
  <c r="BI107" i="2"/>
  <c r="AR122" i="2"/>
  <c r="M137" i="2"/>
  <c r="S162" i="2"/>
  <c r="AO113" i="2"/>
  <c r="N124" i="2"/>
  <c r="BD138" i="2"/>
  <c r="Q161" i="2"/>
  <c r="AT179" i="2"/>
  <c r="AC120" i="2"/>
  <c r="AQ146" i="2"/>
  <c r="AZ170" i="2"/>
  <c r="AU126" i="2"/>
  <c r="AZ141" i="2"/>
  <c r="BH182" i="2"/>
  <c r="U122" i="2"/>
  <c r="AP136" i="2"/>
  <c r="AN150" i="2"/>
  <c r="I128" i="2"/>
  <c r="AR137" i="2"/>
  <c r="H152" i="2"/>
  <c r="AC172" i="2"/>
  <c r="AB186" i="2"/>
  <c r="AX132" i="2"/>
  <c r="AB146" i="2"/>
  <c r="Y160" i="2"/>
  <c r="BB179" i="2"/>
  <c r="AL149" i="2"/>
  <c r="J168" i="2"/>
  <c r="AL189" i="2"/>
  <c r="AK131" i="2"/>
  <c r="BL144" i="2"/>
  <c r="AP162" i="2"/>
  <c r="S178" i="2"/>
  <c r="AS169" i="2"/>
  <c r="BK186" i="2"/>
  <c r="BH173" i="2"/>
  <c r="AI175" i="2"/>
  <c r="T143" i="2"/>
  <c r="AN155" i="3"/>
  <c r="AN155" i="2" s="1"/>
  <c r="AN156" i="2"/>
  <c r="BJ173" i="2"/>
  <c r="Y139" i="2"/>
  <c r="AQ148" i="2"/>
  <c r="Z164" i="2"/>
  <c r="BL177" i="2"/>
  <c r="BB189" i="2"/>
  <c r="L155" i="3"/>
  <c r="L155" i="2" s="1"/>
  <c r="L156" i="2"/>
  <c r="I170" i="2"/>
  <c r="BE180" i="2"/>
  <c r="AK141" i="2"/>
  <c r="AW154" i="2"/>
  <c r="Q167" i="2"/>
  <c r="R182" i="2"/>
  <c r="AK151" i="2"/>
  <c r="AW161" i="2"/>
  <c r="AW173" i="2"/>
  <c r="BE185" i="2"/>
  <c r="M152" i="2"/>
  <c r="J165" i="2"/>
  <c r="J177" i="2"/>
  <c r="AJ186" i="2"/>
  <c r="P155" i="3"/>
  <c r="P155" i="2" s="1"/>
  <c r="P156" i="2"/>
  <c r="K169" i="2"/>
  <c r="AO179" i="2"/>
  <c r="AX187" i="2"/>
  <c r="F150" i="2"/>
  <c r="F136" i="2"/>
  <c r="BM10" i="2"/>
  <c r="AS97" i="2"/>
  <c r="AW18" i="2"/>
  <c r="R159" i="2"/>
  <c r="I40" i="2"/>
  <c r="K94" i="2"/>
  <c r="T65" i="2"/>
  <c r="BE9" i="2"/>
  <c r="AC24" i="2"/>
  <c r="T9" i="2"/>
  <c r="AP98" i="2"/>
  <c r="Q48" i="2"/>
  <c r="J18" i="2"/>
  <c r="AW72" i="2"/>
  <c r="BM40" i="2"/>
  <c r="AZ84" i="2"/>
  <c r="BH93" i="2"/>
  <c r="AX91" i="2"/>
  <c r="AK143" i="2"/>
  <c r="P52" i="2"/>
  <c r="BD3" i="3"/>
  <c r="BD3" i="2" s="1"/>
  <c r="BD4" i="2"/>
  <c r="BF38" i="2"/>
  <c r="BJ135" i="2"/>
  <c r="AW36" i="2"/>
  <c r="AS63" i="2"/>
  <c r="Y107" i="2"/>
  <c r="X11" i="2"/>
  <c r="S21" i="2"/>
  <c r="AM160" i="2"/>
  <c r="G20" i="2"/>
  <c r="AP112" i="2"/>
  <c r="AI18" i="2"/>
  <c r="BJ108" i="2"/>
  <c r="BL57" i="2"/>
  <c r="S60" i="2"/>
  <c r="AC6" i="2"/>
  <c r="AD73" i="2"/>
  <c r="AK154" i="2"/>
  <c r="BI47" i="2"/>
  <c r="AQ163" i="2"/>
  <c r="BJ79" i="3"/>
  <c r="BJ79" i="2" s="1"/>
  <c r="BJ80" i="2"/>
  <c r="W160" i="2"/>
  <c r="AW103" i="2"/>
  <c r="BG150" i="2"/>
  <c r="AD130" i="2"/>
  <c r="I28" i="2"/>
  <c r="U65" i="2"/>
  <c r="AR139" i="2"/>
  <c r="BL16" i="2"/>
  <c r="M50" i="2"/>
  <c r="AG114" i="2"/>
  <c r="I3" i="3"/>
  <c r="I3" i="2" s="1"/>
  <c r="I4" i="2"/>
  <c r="W32" i="2"/>
  <c r="J87" i="2"/>
  <c r="BE130" i="2"/>
  <c r="AV14" i="2"/>
  <c r="AR63" i="2"/>
  <c r="BD106" i="2"/>
  <c r="BC11" i="2"/>
  <c r="AW47" i="2"/>
  <c r="AZ99" i="2"/>
  <c r="BC187" i="2"/>
  <c r="AF37" i="2"/>
  <c r="Q88" i="2"/>
  <c r="Y153" i="2"/>
  <c r="AC25" i="2"/>
  <c r="K71" i="2"/>
  <c r="AU121" i="2"/>
  <c r="AD25" i="2"/>
  <c r="G67" i="2"/>
  <c r="Z122" i="2"/>
  <c r="AN26" i="2"/>
  <c r="R62" i="2"/>
  <c r="AE103" i="2"/>
  <c r="BM160" i="2"/>
  <c r="T47" i="2"/>
  <c r="T73" i="2"/>
  <c r="BA114" i="2"/>
  <c r="G21" i="2"/>
  <c r="BK55" i="2"/>
  <c r="G94" i="2"/>
  <c r="AD144" i="2"/>
  <c r="R39" i="2"/>
  <c r="BI79" i="3"/>
  <c r="BI79" i="2" s="1"/>
  <c r="BI80" i="2"/>
  <c r="BA126" i="2"/>
  <c r="AY60" i="2"/>
  <c r="BA84" i="2"/>
  <c r="W120" i="2"/>
  <c r="Q47" i="2"/>
  <c r="AC81" i="2"/>
  <c r="AA115" i="2"/>
  <c r="BL181" i="2"/>
  <c r="AG64" i="2"/>
  <c r="AD89" i="2"/>
  <c r="BD126" i="2"/>
  <c r="X50" i="2"/>
  <c r="BD84" i="2"/>
  <c r="AA123" i="2"/>
  <c r="BI113" i="2"/>
  <c r="BC161" i="2"/>
  <c r="R134" i="2"/>
  <c r="H116" i="2"/>
  <c r="Y163" i="2"/>
  <c r="AO122" i="2"/>
  <c r="BA174" i="2"/>
  <c r="AL152" i="2"/>
  <c r="Y133" i="2"/>
  <c r="R180" i="2"/>
  <c r="AP168" i="2"/>
  <c r="W145" i="2"/>
  <c r="G170" i="2"/>
  <c r="BL175" i="2"/>
  <c r="R174" i="2"/>
  <c r="AW164" i="2"/>
  <c r="AL155" i="3"/>
  <c r="AL155" i="2" s="1"/>
  <c r="AL156" i="2"/>
  <c r="BE141" i="2"/>
  <c r="BE151" i="2"/>
  <c r="M186" i="2"/>
  <c r="AD177" i="2"/>
  <c r="AE169" i="2"/>
  <c r="Y188" i="2"/>
  <c r="F58" i="2"/>
  <c r="F57" i="2"/>
  <c r="AN178" i="2"/>
  <c r="BH36" i="2"/>
  <c r="K62" i="2"/>
  <c r="BL37" i="2"/>
  <c r="R100" i="2"/>
  <c r="O99" i="2"/>
  <c r="AM8" i="2"/>
  <c r="V94" i="2"/>
  <c r="W135" i="2"/>
  <c r="BK105" i="2"/>
  <c r="BB121" i="2"/>
  <c r="AG13" i="2"/>
  <c r="AN63" i="2"/>
  <c r="AS78" i="2"/>
  <c r="AD13" i="2"/>
  <c r="BF85" i="2"/>
  <c r="BB95" i="2"/>
  <c r="J138" i="2"/>
  <c r="BA35" i="2"/>
  <c r="AC20" i="2"/>
  <c r="V185" i="2"/>
  <c r="I130" i="2"/>
  <c r="BM150" i="2"/>
  <c r="AK37" i="2"/>
  <c r="AX65" i="2"/>
  <c r="T108" i="2"/>
  <c r="Q13" i="2"/>
  <c r="AE51" i="2"/>
  <c r="L43" i="2"/>
  <c r="BK47" i="2"/>
  <c r="AD17" i="2"/>
  <c r="AC46" i="2"/>
  <c r="AZ172" i="2"/>
  <c r="BM34" i="2"/>
  <c r="AM139" i="2"/>
  <c r="AI45" i="2"/>
  <c r="R155" i="3"/>
  <c r="R155" i="2" s="1"/>
  <c r="R156" i="2"/>
  <c r="AJ48" i="2"/>
  <c r="V165" i="2"/>
  <c r="AY58" i="2"/>
  <c r="BB163" i="2"/>
  <c r="Q104" i="2"/>
  <c r="W166" i="2"/>
  <c r="AX178" i="2"/>
  <c r="AO28" i="2"/>
  <c r="AH90" i="2"/>
  <c r="R189" i="2"/>
  <c r="BA50" i="2"/>
  <c r="G115" i="2"/>
  <c r="Q16" i="2"/>
  <c r="AQ68" i="2"/>
  <c r="AZ139" i="2"/>
  <c r="BA27" i="2"/>
  <c r="BJ88" i="2"/>
  <c r="AD176" i="2"/>
  <c r="AH35" i="2"/>
  <c r="AA86" i="2"/>
  <c r="S141" i="2"/>
  <c r="H26" i="2"/>
  <c r="BD69" i="2"/>
  <c r="AB123" i="2"/>
  <c r="AK15" i="2"/>
  <c r="Q53" i="2"/>
  <c r="AA87" i="2"/>
  <c r="O152" i="2"/>
  <c r="BB25" i="2"/>
  <c r="AI67" i="2"/>
  <c r="BJ122" i="2"/>
  <c r="BH26" i="2"/>
  <c r="T38" i="2"/>
  <c r="AE77" i="2"/>
  <c r="AQ115" i="2"/>
  <c r="AY24" i="2"/>
  <c r="V59" i="2"/>
  <c r="AE100" i="2"/>
  <c r="O159" i="2"/>
  <c r="AZ32" i="2"/>
  <c r="AQ67" i="2"/>
  <c r="AZ108" i="2"/>
  <c r="AG178" i="2"/>
  <c r="AS50" i="2"/>
  <c r="X93" i="2"/>
  <c r="Q147" i="2"/>
  <c r="AJ71" i="2"/>
  <c r="AQ106" i="2"/>
  <c r="BI160" i="2"/>
  <c r="AZ68" i="2"/>
  <c r="S103" i="2"/>
  <c r="BF133" i="2"/>
  <c r="AL55" i="2"/>
  <c r="AX89" i="2"/>
  <c r="R127" i="2"/>
  <c r="AR50" i="2"/>
  <c r="K85" i="2"/>
  <c r="AY123" i="2"/>
  <c r="P114" i="2"/>
  <c r="AV139" i="2"/>
  <c r="X121" i="2"/>
  <c r="BD171" i="2"/>
  <c r="AM142" i="2"/>
  <c r="BI122" i="2"/>
  <c r="Z175" i="2"/>
  <c r="AG153" i="2"/>
  <c r="AS133" i="2"/>
  <c r="AV180" i="2"/>
  <c r="AL169" i="2"/>
  <c r="L132" i="2"/>
  <c r="W179" i="2"/>
  <c r="AP174" i="2"/>
  <c r="BD157" i="2"/>
  <c r="AX149" i="2"/>
  <c r="G165" i="2"/>
  <c r="BI155" i="3"/>
  <c r="BI155" i="2" s="1"/>
  <c r="BI156" i="2"/>
  <c r="L142" i="2"/>
  <c r="X183" i="2"/>
  <c r="AR174" i="2"/>
  <c r="AX165" i="2"/>
  <c r="BD155" i="3"/>
  <c r="BD155" i="2" s="1"/>
  <c r="BD156" i="2"/>
  <c r="AS188" i="2"/>
  <c r="F133" i="2"/>
  <c r="F96" i="2"/>
  <c r="BK192" i="2"/>
  <c r="AV43" i="2"/>
  <c r="I122" i="2"/>
  <c r="BG33" i="2"/>
  <c r="BI59" i="2"/>
  <c r="Y109" i="2"/>
  <c r="G74" i="2"/>
  <c r="AW11" i="2"/>
  <c r="AA32" i="2"/>
  <c r="O22" i="2"/>
  <c r="Z14" i="2"/>
  <c r="AA52" i="2"/>
  <c r="AK25" i="2"/>
  <c r="S85" i="2"/>
  <c r="Q57" i="2"/>
  <c r="BE72" i="2"/>
  <c r="X23" i="2"/>
  <c r="U48" i="2"/>
  <c r="M21" i="2"/>
  <c r="H187" i="2"/>
  <c r="U131" i="2"/>
  <c r="BL165" i="2"/>
  <c r="O38" i="2"/>
  <c r="BA98" i="2"/>
  <c r="T120" i="2"/>
  <c r="AH14" i="2"/>
  <c r="R52" i="2"/>
  <c r="AN44" i="2"/>
  <c r="BE48" i="2"/>
  <c r="BG32" i="2"/>
  <c r="J47" i="2"/>
  <c r="BL173" i="2"/>
  <c r="AR35" i="2"/>
  <c r="BA142" i="2"/>
  <c r="AT46" i="2"/>
  <c r="W157" i="2"/>
  <c r="AS54" i="2"/>
  <c r="AW166" i="2"/>
  <c r="AD59" i="2"/>
  <c r="W165" i="2"/>
  <c r="BM104" i="2"/>
  <c r="BE167" i="2"/>
  <c r="W132" i="2"/>
  <c r="AM29" i="2"/>
  <c r="AK91" i="2"/>
  <c r="AF141" i="2"/>
  <c r="AX17" i="2"/>
  <c r="L73" i="2"/>
  <c r="BG115" i="2"/>
  <c r="BI4" i="2"/>
  <c r="BI3" i="3"/>
  <c r="BI3" i="2" s="1"/>
  <c r="Q33" i="2"/>
  <c r="R69" i="2"/>
  <c r="AB140" i="2"/>
  <c r="P28" i="2"/>
  <c r="AG89" i="2"/>
  <c r="K179" i="2"/>
  <c r="BJ35" i="2"/>
  <c r="BC86" i="2"/>
  <c r="BE142" i="2"/>
  <c r="AF26" i="2"/>
  <c r="AD55" i="2"/>
  <c r="AV106" i="2"/>
  <c r="AF4" i="2"/>
  <c r="AF3" i="3"/>
  <c r="AF3" i="2" s="1"/>
  <c r="G40" i="2"/>
  <c r="BC87" i="2"/>
  <c r="BE105" i="2"/>
  <c r="AG3" i="3"/>
  <c r="AG3" i="2" s="1"/>
  <c r="AG4" i="2"/>
  <c r="AH37" i="2"/>
  <c r="AI68" i="2"/>
  <c r="AD123" i="2"/>
  <c r="AS29" i="2"/>
  <c r="AC63" i="2"/>
  <c r="BI89" i="2"/>
  <c r="AQ137" i="2"/>
  <c r="P35" i="2"/>
  <c r="AA74" i="2"/>
  <c r="BG100" i="2"/>
  <c r="BB161" i="2"/>
  <c r="S43" i="2"/>
  <c r="AG83" i="2"/>
  <c r="AZ126" i="2"/>
  <c r="Y179" i="2"/>
  <c r="BA54" i="2"/>
  <c r="L97" i="2"/>
  <c r="X156" i="2"/>
  <c r="X155" i="3"/>
  <c r="X155" i="2" s="1"/>
  <c r="AT61" i="2"/>
  <c r="AB97" i="2"/>
  <c r="G121" i="2"/>
  <c r="AV167" i="2"/>
  <c r="BE71" i="2"/>
  <c r="X82" i="2"/>
  <c r="X106" i="2"/>
  <c r="AA134" i="2"/>
  <c r="BF55" i="2"/>
  <c r="H77" i="2"/>
  <c r="Y102" i="2"/>
  <c r="AS127" i="2"/>
  <c r="AW171" i="2"/>
  <c r="N72" i="2"/>
  <c r="BD108" i="2"/>
  <c r="BI164" i="2"/>
  <c r="G140" i="2"/>
  <c r="AR121" i="2"/>
  <c r="AA172" i="2"/>
  <c r="AH143" i="2"/>
  <c r="P123" i="2"/>
  <c r="AS176" i="2"/>
  <c r="U141" i="2"/>
  <c r="AD124" i="2"/>
  <c r="AV165" i="2"/>
  <c r="AX154" i="2"/>
  <c r="Q135" i="2"/>
  <c r="W164" i="2"/>
  <c r="BJ170" i="2"/>
  <c r="AY176" i="2"/>
  <c r="J175" i="2"/>
  <c r="AG165" i="2"/>
  <c r="S157" i="2"/>
  <c r="BJ155" i="3"/>
  <c r="BJ155" i="2" s="1"/>
  <c r="BJ156" i="2"/>
  <c r="AF152" i="2"/>
  <c r="BE186" i="2"/>
  <c r="Y178" i="2"/>
  <c r="Z170" i="2"/>
  <c r="AD191" i="2"/>
  <c r="F103" i="2"/>
  <c r="F157" i="2"/>
  <c r="BA149" i="2"/>
  <c r="BH53" i="2"/>
  <c r="AD134" i="2"/>
  <c r="BJ44" i="2"/>
  <c r="M62" i="2"/>
  <c r="N12" i="2"/>
  <c r="AR75" i="2"/>
  <c r="AL45" i="2"/>
  <c r="AQ61" i="2"/>
  <c r="BI138" i="2"/>
  <c r="V19" i="2"/>
  <c r="AT146" i="2"/>
  <c r="AB38" i="2"/>
  <c r="BB162" i="2"/>
  <c r="AI89" i="2"/>
  <c r="BE99" i="2"/>
  <c r="BD95" i="2"/>
  <c r="AZ189" i="2"/>
  <c r="BB110" i="2"/>
  <c r="I21" i="2"/>
  <c r="AR32" i="2"/>
  <c r="AM9" i="2"/>
  <c r="BK131" i="2"/>
  <c r="BB8" i="2"/>
  <c r="Z23" i="2"/>
  <c r="AD106" i="2"/>
  <c r="AK106" i="2"/>
  <c r="BC5" i="2"/>
  <c r="AC75" i="2"/>
  <c r="Q186" i="2"/>
  <c r="AJ74" i="2"/>
  <c r="AB75" i="2"/>
  <c r="U69" i="2"/>
  <c r="AZ7" i="2"/>
  <c r="H76" i="2"/>
  <c r="L15" i="2"/>
  <c r="Q79" i="3"/>
  <c r="Q79" i="2" s="1"/>
  <c r="Q80" i="2"/>
  <c r="I17" i="2"/>
  <c r="BH82" i="2"/>
  <c r="T109" i="2"/>
  <c r="M157" i="2"/>
  <c r="AG98" i="2"/>
  <c r="AE30" i="2"/>
  <c r="AN67" i="2"/>
  <c r="Q142" i="2"/>
  <c r="AI36" i="2"/>
  <c r="AW92" i="2"/>
  <c r="S5" i="2"/>
  <c r="AN52" i="2"/>
  <c r="AX110" i="2"/>
  <c r="BG15" i="2"/>
  <c r="AF65" i="2"/>
  <c r="BC138" i="2"/>
  <c r="BM24" i="2"/>
  <c r="AB68" i="2"/>
  <c r="Y87" i="2"/>
  <c r="V143" i="2"/>
  <c r="BD26" i="2"/>
  <c r="BC74" i="2"/>
  <c r="AC125" i="2"/>
  <c r="L16" i="2"/>
  <c r="AI40" i="2"/>
  <c r="BL91" i="2"/>
  <c r="BK155" i="3"/>
  <c r="BK155" i="2" s="1"/>
  <c r="BK156" i="2"/>
  <c r="AH26" i="2"/>
  <c r="BK68" i="2"/>
  <c r="BD124" i="2"/>
  <c r="BM29" i="2"/>
  <c r="BA63" i="2"/>
  <c r="AP104" i="2"/>
  <c r="N163" i="2"/>
  <c r="U38" i="2"/>
  <c r="AY74" i="2"/>
  <c r="K116" i="2"/>
  <c r="V22" i="2"/>
  <c r="AG57" i="2"/>
  <c r="BG97" i="2"/>
  <c r="AM146" i="2"/>
  <c r="M40" i="2"/>
  <c r="AB82" i="2"/>
  <c r="Z128" i="2"/>
  <c r="U62" i="2"/>
  <c r="AV85" i="2"/>
  <c r="AE121" i="2"/>
  <c r="L48" i="2"/>
  <c r="AR82" i="2"/>
  <c r="AL116" i="2"/>
  <c r="N184" i="2"/>
  <c r="AB77" i="2"/>
  <c r="BH111" i="2"/>
  <c r="AL172" i="2"/>
  <c r="AH72" i="2"/>
  <c r="K109" i="2"/>
  <c r="AF165" i="2"/>
  <c r="AG140" i="2"/>
  <c r="BL121" i="2"/>
  <c r="T117" i="3"/>
  <c r="T117" i="2" s="1"/>
  <c r="T118" i="2"/>
  <c r="AP165" i="2"/>
  <c r="AG138" i="2"/>
  <c r="AR129" i="2"/>
  <c r="S174" i="2"/>
  <c r="BI147" i="2"/>
  <c r="AP139" i="2"/>
  <c r="AO192" i="2"/>
  <c r="BF164" i="2"/>
  <c r="Y171" i="2"/>
  <c r="O177" i="2"/>
  <c r="AJ175" i="2"/>
  <c r="BD165" i="2"/>
  <c r="AP157" i="2"/>
  <c r="AZ142" i="2"/>
  <c r="G184" i="2"/>
  <c r="S175" i="2"/>
  <c r="AS166" i="2"/>
  <c r="AK191" i="2"/>
  <c r="AX191" i="2"/>
  <c r="F54" i="2"/>
  <c r="F166" i="2"/>
  <c r="AX18" i="2"/>
  <c r="AO45" i="2"/>
  <c r="AM100" i="2"/>
  <c r="Y124" i="2"/>
  <c r="AS144" i="2"/>
  <c r="BI142" i="2"/>
  <c r="S65" i="2"/>
  <c r="BD81" i="2"/>
  <c r="BC46" i="2"/>
  <c r="K65" i="2"/>
  <c r="I158" i="2"/>
  <c r="AX21" i="2"/>
  <c r="AS155" i="3"/>
  <c r="AS155" i="2" s="1"/>
  <c r="AS156" i="2"/>
  <c r="BE41" i="3"/>
  <c r="BE41" i="2" s="1"/>
  <c r="BE42" i="2"/>
  <c r="AX9" i="2"/>
  <c r="BG36" i="2"/>
  <c r="AO76" i="2"/>
  <c r="AI32" i="2"/>
  <c r="BH55" i="2"/>
  <c r="AR29" i="2"/>
  <c r="Y191" i="2"/>
  <c r="O143" i="2"/>
  <c r="AF181" i="2"/>
  <c r="AM40" i="2"/>
  <c r="T133" i="2"/>
  <c r="V9" i="2"/>
  <c r="AA27" i="2"/>
  <c r="AV26" i="2"/>
  <c r="BB191" i="2"/>
  <c r="U23" i="2"/>
  <c r="BA116" i="2"/>
  <c r="AH21" i="2"/>
  <c r="G84" i="2"/>
  <c r="Y78" i="2"/>
  <c r="J70" i="2"/>
  <c r="W147" i="2"/>
  <c r="R29" i="2"/>
  <c r="BB109" i="2"/>
  <c r="AR15" i="2"/>
  <c r="AV56" i="2"/>
  <c r="H112" i="2"/>
  <c r="AK17" i="2"/>
  <c r="AQ83" i="2"/>
  <c r="BB187" i="2"/>
  <c r="I154" i="2"/>
  <c r="AB158" i="2"/>
  <c r="Q174" i="2"/>
  <c r="G134" i="2"/>
  <c r="BK16" i="2"/>
  <c r="AZ50" i="2"/>
  <c r="AV92" i="2"/>
  <c r="S146" i="2"/>
  <c r="BB18" i="2"/>
  <c r="AI52" i="2"/>
  <c r="AK117" i="3"/>
  <c r="AK117" i="2" s="1"/>
  <c r="AK118" i="2"/>
  <c r="AQ5" i="2"/>
  <c r="J34" i="2"/>
  <c r="AC70" i="2"/>
  <c r="M111" i="2"/>
  <c r="AK184" i="2"/>
  <c r="J29" i="2"/>
  <c r="BL65" i="2"/>
  <c r="I115" i="2"/>
  <c r="J4" i="2"/>
  <c r="J3" i="3"/>
  <c r="J3" i="2" s="1"/>
  <c r="W25" i="2"/>
  <c r="AY53" i="2"/>
  <c r="BA87" i="2"/>
  <c r="W122" i="2"/>
  <c r="AE4" i="2"/>
  <c r="AE3" i="3"/>
  <c r="AE3" i="2" s="1"/>
  <c r="S27" i="2"/>
  <c r="BI56" i="2"/>
  <c r="H90" i="2"/>
  <c r="AO126" i="2"/>
  <c r="G5" i="2"/>
  <c r="BE26" i="2"/>
  <c r="AW58" i="2"/>
  <c r="AA92" i="2"/>
  <c r="H131" i="2"/>
  <c r="H5" i="2"/>
  <c r="BF26" i="2"/>
  <c r="AK54" i="2"/>
  <c r="AD69" i="2"/>
  <c r="AX106" i="2"/>
  <c r="AY182" i="2"/>
  <c r="AJ52" i="2"/>
  <c r="AO90" i="2"/>
  <c r="AW138" i="2"/>
  <c r="AO38" i="2"/>
  <c r="BB63" i="2"/>
  <c r="AP101" i="2"/>
  <c r="O163" i="2"/>
  <c r="X46" i="2"/>
  <c r="T84" i="2"/>
  <c r="BH127" i="2"/>
  <c r="BA28" i="2"/>
  <c r="AN55" i="2"/>
  <c r="BH97" i="2"/>
  <c r="BI157" i="2"/>
  <c r="AJ75" i="2"/>
  <c r="W110" i="2"/>
  <c r="AP169" i="2"/>
  <c r="AF72" i="2"/>
  <c r="BL94" i="2"/>
  <c r="T135" i="2"/>
  <c r="AG56" i="2"/>
  <c r="BM90" i="2"/>
  <c r="AO128" i="2"/>
  <c r="AM51" i="2"/>
  <c r="Z86" i="2"/>
  <c r="J125" i="2"/>
  <c r="S166" i="2"/>
  <c r="BG140" i="2"/>
  <c r="S122" i="2"/>
  <c r="BE154" i="2"/>
  <c r="AN118" i="2"/>
  <c r="AN117" i="3"/>
  <c r="AN117" i="2" s="1"/>
  <c r="P166" i="2"/>
  <c r="BG123" i="2"/>
  <c r="J159" i="2"/>
  <c r="BL129" i="2"/>
  <c r="AS154" i="2"/>
  <c r="Y125" i="2"/>
  <c r="S148" i="2"/>
  <c r="BL139" i="2"/>
  <c r="BE123" i="2"/>
  <c r="U165" i="2"/>
  <c r="AC189" i="2"/>
  <c r="AZ145" i="2"/>
  <c r="BH140" i="2"/>
  <c r="G180" i="2"/>
  <c r="BF171" i="2"/>
  <c r="AQ157" i="2"/>
  <c r="G153" i="2"/>
  <c r="AO187" i="2"/>
  <c r="BM178" i="2"/>
  <c r="U171" i="2"/>
  <c r="Y192" i="2"/>
  <c r="F192" i="2"/>
  <c r="F171" i="2"/>
  <c r="G55" i="2"/>
  <c r="AG126" i="2"/>
  <c r="V95" i="2"/>
  <c r="Y66" i="2"/>
  <c r="R56" i="2"/>
  <c r="AS23" i="2"/>
  <c r="R93" i="2"/>
  <c r="AZ5" i="2"/>
  <c r="G178" i="2"/>
  <c r="AL25" i="2"/>
  <c r="BF172" i="2"/>
  <c r="AN17" i="2"/>
  <c r="I94" i="2"/>
  <c r="AJ91" i="2"/>
  <c r="AC13" i="2"/>
  <c r="BJ37" i="2"/>
  <c r="BG21" i="2"/>
  <c r="AR171" i="2"/>
  <c r="N24" i="2"/>
  <c r="AO59" i="2"/>
  <c r="BB62" i="2"/>
  <c r="AP36" i="2"/>
  <c r="P17" i="2"/>
  <c r="S137" i="2"/>
  <c r="M11" i="2"/>
  <c r="AH29" i="2"/>
  <c r="AE27" i="2"/>
  <c r="J6" i="2"/>
  <c r="BL23" i="2"/>
  <c r="BB77" i="2"/>
  <c r="AH42" i="2"/>
  <c r="AH41" i="3"/>
  <c r="AH41" i="2" s="1"/>
  <c r="AG49" i="2"/>
  <c r="AB10" i="2"/>
  <c r="U37" i="2"/>
  <c r="BL148" i="2"/>
  <c r="Y53" i="2"/>
  <c r="AH166" i="2"/>
  <c r="S57" i="2"/>
  <c r="AU175" i="2"/>
  <c r="AX62" i="2"/>
  <c r="P189" i="2"/>
  <c r="BA107" i="2"/>
  <c r="AQ175" i="2"/>
  <c r="BA187" i="2"/>
  <c r="O51" i="2"/>
  <c r="S93" i="2"/>
  <c r="AG7" i="2"/>
  <c r="J53" i="2"/>
  <c r="I119" i="2"/>
  <c r="BD20" i="2"/>
  <c r="BM70" i="2"/>
  <c r="M143" i="2"/>
  <c r="AP29" i="2"/>
  <c r="AR91" i="2"/>
  <c r="AD4" i="2"/>
  <c r="AD3" i="3"/>
  <c r="AD3" i="2" s="1"/>
  <c r="AE37" i="2"/>
  <c r="L88" i="2"/>
  <c r="BF155" i="3"/>
  <c r="BF155" i="2" s="1"/>
  <c r="BF156" i="2"/>
  <c r="AQ27" i="2"/>
  <c r="AX75" i="2"/>
  <c r="X127" i="2"/>
  <c r="AA5" i="2"/>
  <c r="Q30" i="2"/>
  <c r="T74" i="2"/>
  <c r="BD131" i="2"/>
  <c r="AQ14" i="2"/>
  <c r="AF55" i="2"/>
  <c r="L107" i="2"/>
  <c r="AS183" i="2"/>
  <c r="AI39" i="2"/>
  <c r="BF78" i="2"/>
  <c r="K122" i="2"/>
  <c r="AO26" i="2"/>
  <c r="Q64" i="2"/>
  <c r="V102" i="2"/>
  <c r="K164" i="2"/>
  <c r="AR46" i="2"/>
  <c r="AR84" i="2"/>
  <c r="Y128" i="2"/>
  <c r="BF31" i="2"/>
  <c r="T67" i="2"/>
  <c r="T110" i="2"/>
  <c r="AT49" i="2"/>
  <c r="AQ86" i="2"/>
  <c r="M122" i="2"/>
  <c r="AZ48" i="2"/>
  <c r="AZ72" i="2"/>
  <c r="S95" i="2"/>
  <c r="AV135" i="2"/>
  <c r="BA56" i="2"/>
  <c r="T91" i="2"/>
  <c r="AE129" i="2"/>
  <c r="BG51" i="2"/>
  <c r="AT86" i="2"/>
  <c r="AK125" i="2"/>
  <c r="AE115" i="2"/>
  <c r="AD164" i="2"/>
  <c r="AN136" i="2"/>
  <c r="BH118" i="2"/>
  <c r="BH117" i="3"/>
  <c r="BH117" i="2" s="1"/>
  <c r="AZ166" i="2"/>
  <c r="Q124" i="2"/>
  <c r="H179" i="2"/>
  <c r="AE155" i="3"/>
  <c r="AE155" i="2" s="1"/>
  <c r="AE156" i="2"/>
  <c r="BH134" i="2"/>
  <c r="BC182" i="2"/>
  <c r="BK172" i="2"/>
  <c r="AN147" i="2"/>
  <c r="AE185" i="2"/>
  <c r="BI180" i="2"/>
  <c r="AK163" i="2"/>
  <c r="AU154" i="2"/>
  <c r="BD145" i="2"/>
  <c r="S172" i="2"/>
  <c r="V158" i="2"/>
  <c r="AA153" i="2"/>
  <c r="AA188" i="2"/>
  <c r="T179" i="2"/>
  <c r="AO171" i="2"/>
  <c r="AS185" i="2"/>
  <c r="F139" i="2"/>
  <c r="F174" i="2"/>
  <c r="AG51" i="2"/>
  <c r="BM60" i="2"/>
  <c r="T82" i="2"/>
  <c r="BD149" i="2"/>
  <c r="M97" i="2"/>
  <c r="BM68" i="2"/>
  <c r="T31" i="2"/>
  <c r="AY30" i="2"/>
  <c r="H178" i="2"/>
  <c r="AE95" i="2"/>
  <c r="BJ81" i="2"/>
  <c r="L27" i="2"/>
  <c r="AI124" i="2"/>
  <c r="AW5" i="2"/>
  <c r="AT66" i="2"/>
  <c r="BD76" i="2"/>
  <c r="BG17" i="2"/>
  <c r="R120" i="2"/>
  <c r="BJ85" i="2"/>
  <c r="T28" i="2"/>
  <c r="BM54" i="2"/>
  <c r="Z78" i="2"/>
  <c r="BG27" i="2"/>
  <c r="AE11" i="2"/>
  <c r="X72" i="2"/>
  <c r="S30" i="2"/>
  <c r="AV168" i="2"/>
  <c r="K82" i="2"/>
  <c r="BJ39" i="2"/>
  <c r="AE192" i="2"/>
  <c r="AO160" i="2"/>
  <c r="M140" i="2"/>
  <c r="BK51" i="2"/>
  <c r="H148" i="2"/>
  <c r="AP53" i="2"/>
  <c r="AM154" i="2"/>
  <c r="N54" i="2"/>
  <c r="AF145" i="2"/>
  <c r="T49" i="2"/>
  <c r="AJ141" i="2"/>
  <c r="BC37" i="2"/>
  <c r="O106" i="2"/>
  <c r="AT17" i="2"/>
  <c r="Q76" i="2"/>
  <c r="Y161" i="2"/>
  <c r="AY41" i="3"/>
  <c r="AY41" i="2" s="1"/>
  <c r="AY42" i="2"/>
  <c r="AU107" i="2"/>
  <c r="BK14" i="2"/>
  <c r="AL73" i="2"/>
  <c r="AZ157" i="2"/>
  <c r="S53" i="2"/>
  <c r="I106" i="2"/>
  <c r="BI174" i="2"/>
  <c r="AO64" i="2"/>
  <c r="AC119" i="2"/>
  <c r="AJ58" i="2"/>
  <c r="AU110" i="2"/>
  <c r="M32" i="2"/>
  <c r="AH83" i="2"/>
  <c r="Q159" i="2"/>
  <c r="AB89" i="2"/>
  <c r="AO143" i="2"/>
  <c r="G73" i="2"/>
  <c r="BD121" i="2"/>
  <c r="H57" i="2"/>
  <c r="O116" i="2"/>
  <c r="N64" i="2"/>
  <c r="K113" i="2"/>
  <c r="AY115" i="2"/>
  <c r="BC191" i="2"/>
  <c r="O182" i="2"/>
  <c r="AB167" i="2"/>
  <c r="M160" i="2"/>
  <c r="AY160" i="2"/>
  <c r="BC188" i="2"/>
  <c r="AF124" i="2"/>
  <c r="AL186" i="2"/>
  <c r="AK182" i="2"/>
  <c r="AI141" i="2"/>
  <c r="K146" i="2"/>
  <c r="AF146" i="2"/>
  <c r="AU153" i="2"/>
  <c r="Y158" i="2"/>
  <c r="BI171" i="2"/>
  <c r="N192" i="2"/>
  <c r="F9" i="2"/>
  <c r="F125" i="2"/>
  <c r="AG63" i="2"/>
  <c r="AH73" i="2"/>
  <c r="M87" i="2"/>
  <c r="AU152" i="2"/>
  <c r="BE102" i="2"/>
  <c r="X16" i="2"/>
  <c r="O86" i="2"/>
  <c r="AE5" i="2"/>
  <c r="X19" i="2"/>
  <c r="M5" i="2"/>
  <c r="AD5" i="2"/>
  <c r="AK70" i="2"/>
  <c r="L96" i="2"/>
  <c r="H44" i="2"/>
  <c r="BF4" i="2"/>
  <c r="BF3" i="3"/>
  <c r="BF3" i="2" s="1"/>
  <c r="AE59" i="2"/>
  <c r="I6" i="2"/>
  <c r="S61" i="2"/>
  <c r="BC65" i="2"/>
  <c r="BB86" i="2"/>
  <c r="AK18" i="2"/>
  <c r="U121" i="2"/>
  <c r="BD89" i="2"/>
  <c r="BE29" i="2"/>
  <c r="AE58" i="2"/>
  <c r="BF89" i="2"/>
  <c r="AC28" i="2"/>
  <c r="AY15" i="2"/>
  <c r="O73" i="2"/>
  <c r="BC30" i="2"/>
  <c r="AS171" i="2"/>
  <c r="BG82" i="2"/>
  <c r="AB40" i="2"/>
  <c r="BH89" i="2"/>
  <c r="AR163" i="2"/>
  <c r="K141" i="2"/>
  <c r="AS74" i="2"/>
  <c r="T8" i="2"/>
  <c r="AM58" i="2"/>
  <c r="BA155" i="3"/>
  <c r="BA155" i="2" s="1"/>
  <c r="BA156" i="2"/>
  <c r="BB54" i="2"/>
  <c r="U146" i="2"/>
  <c r="BD49" i="2"/>
  <c r="U142" i="2"/>
  <c r="K38" i="2"/>
  <c r="AU106" i="2"/>
  <c r="U18" i="2"/>
  <c r="BK91" i="2"/>
  <c r="AF8" i="2"/>
  <c r="I60" i="2"/>
  <c r="BJ132" i="2"/>
  <c r="AB28" i="2"/>
  <c r="J90" i="2"/>
  <c r="BB185" i="2"/>
  <c r="X68" i="2"/>
  <c r="G123" i="2"/>
  <c r="AJ39" i="2"/>
  <c r="AZ91" i="2"/>
  <c r="AM166" i="2"/>
  <c r="BH58" i="2"/>
  <c r="AC111" i="2"/>
  <c r="AS41" i="3"/>
  <c r="AS41" i="2" s="1"/>
  <c r="AS42" i="2"/>
  <c r="Z99" i="2"/>
  <c r="Z53" i="2"/>
  <c r="R111" i="2"/>
  <c r="L52" i="2"/>
  <c r="BG107" i="2"/>
  <c r="M48" i="2"/>
  <c r="BH91" i="2"/>
  <c r="AS152" i="2"/>
  <c r="AH76" i="2"/>
  <c r="BE126" i="2"/>
  <c r="O130" i="2"/>
  <c r="BK125" i="2"/>
  <c r="AI119" i="2"/>
  <c r="S114" i="2"/>
  <c r="AW186" i="2"/>
  <c r="T138" i="2"/>
  <c r="W141" i="2"/>
  <c r="AZ136" i="2"/>
  <c r="M177" i="2"/>
  <c r="BG146" i="2"/>
  <c r="AK155" i="3"/>
  <c r="AK155" i="2" s="1"/>
  <c r="AK156" i="2"/>
  <c r="Q162" i="2"/>
  <c r="AB159" i="2"/>
  <c r="S167" i="2"/>
  <c r="AS170" i="2"/>
  <c r="P172" i="2"/>
  <c r="AK192" i="2"/>
  <c r="F11" i="2"/>
  <c r="U63" i="2"/>
  <c r="BG108" i="2"/>
  <c r="BB3" i="3"/>
  <c r="BB3" i="2" s="1"/>
  <c r="BB4" i="2"/>
  <c r="AP13" i="2"/>
  <c r="AA39" i="2"/>
  <c r="AN113" i="2"/>
  <c r="N86" i="2"/>
  <c r="X6" i="2"/>
  <c r="AY84" i="2"/>
  <c r="S102" i="2"/>
  <c r="AL106" i="2"/>
  <c r="AY45" i="2"/>
  <c r="BI135" i="2"/>
  <c r="AT32" i="2"/>
  <c r="BJ82" i="2"/>
  <c r="AO43" i="2"/>
  <c r="BM45" i="2"/>
  <c r="AP76" i="2"/>
  <c r="BJ64" i="2"/>
  <c r="AI70" i="2"/>
  <c r="AB8" i="2"/>
  <c r="X132" i="2"/>
  <c r="AU52" i="2"/>
  <c r="V92" i="2"/>
  <c r="BK108" i="2"/>
  <c r="W55" i="2"/>
  <c r="BL17" i="2"/>
  <c r="G120" i="2"/>
  <c r="AJ65" i="2"/>
  <c r="AE114" i="2"/>
  <c r="AC130" i="2"/>
  <c r="H7" i="2"/>
  <c r="T75" i="2"/>
  <c r="AR8" i="2"/>
  <c r="X101" i="2"/>
  <c r="L22" i="2"/>
  <c r="BG96" i="2"/>
  <c r="H18" i="2"/>
  <c r="AH93" i="2"/>
  <c r="AN14" i="2"/>
  <c r="BB74" i="2"/>
  <c r="U6" i="2"/>
  <c r="M77" i="2"/>
  <c r="L163" i="2"/>
  <c r="AH43" i="2"/>
  <c r="AG109" i="2"/>
  <c r="AV17" i="2"/>
  <c r="BE74" i="2"/>
  <c r="AU159" i="2"/>
  <c r="Z54" i="2"/>
  <c r="AM123" i="2"/>
  <c r="BD39" i="2"/>
  <c r="K92" i="2"/>
  <c r="AF167" i="2"/>
  <c r="W59" i="2"/>
  <c r="BB114" i="2"/>
  <c r="BA32" i="2"/>
  <c r="U84" i="2"/>
  <c r="AW162" i="2"/>
  <c r="W90" i="2"/>
  <c r="AW144" i="2"/>
  <c r="AU73" i="2"/>
  <c r="AP122" i="2"/>
  <c r="AV57" i="2"/>
  <c r="O104" i="2"/>
  <c r="AW182" i="2"/>
  <c r="BI87" i="2"/>
  <c r="AL146" i="2"/>
  <c r="N146" i="2"/>
  <c r="AW137" i="2"/>
  <c r="BJ133" i="2"/>
  <c r="BG128" i="2"/>
  <c r="N131" i="2"/>
  <c r="AN126" i="2"/>
  <c r="AR190" i="2"/>
  <c r="G137" i="2"/>
  <c r="AM177" i="2"/>
  <c r="P147" i="2"/>
  <c r="BH155" i="3"/>
  <c r="BH155" i="2" s="1"/>
  <c r="BH156" i="2"/>
  <c r="AN162" i="2"/>
  <c r="AY159" i="2"/>
  <c r="AI189" i="2"/>
  <c r="BB148" i="2"/>
  <c r="BH192" i="2"/>
  <c r="F102" i="2"/>
  <c r="F137" i="2"/>
  <c r="AR14" i="2"/>
  <c r="AL6" i="2"/>
  <c r="BJ67" i="2"/>
  <c r="BJ106" i="2"/>
  <c r="AS81" i="2"/>
  <c r="BL39" i="2"/>
  <c r="AI87" i="2"/>
  <c r="P93" i="2"/>
  <c r="BE78" i="2"/>
  <c r="AH24" i="2"/>
  <c r="S115" i="2"/>
  <c r="BG9" i="2"/>
  <c r="BA95" i="2"/>
  <c r="V69" i="2"/>
  <c r="AV41" i="3"/>
  <c r="AV41" i="2" s="1"/>
  <c r="AV42" i="2"/>
  <c r="BM74" i="2"/>
  <c r="AY86" i="2"/>
  <c r="N103" i="2"/>
  <c r="X105" i="2"/>
  <c r="BL179" i="2"/>
  <c r="AN25" i="2"/>
  <c r="AX66" i="2"/>
  <c r="J31" i="2"/>
  <c r="AM12" i="2"/>
  <c r="AV55" i="2"/>
  <c r="BF70" i="2"/>
  <c r="AJ53" i="2"/>
  <c r="AC21" i="2"/>
  <c r="BG48" i="2"/>
  <c r="AX14" i="2"/>
  <c r="AH81" i="2"/>
  <c r="AA18" i="2"/>
  <c r="V91" i="2"/>
  <c r="T20" i="2"/>
  <c r="BC93" i="2"/>
  <c r="U115" i="2"/>
  <c r="BD167" i="2"/>
  <c r="R143" i="2"/>
  <c r="V37" i="2"/>
  <c r="Q96" i="2"/>
  <c r="AD9" i="2"/>
  <c r="BB59" i="2"/>
  <c r="G161" i="2"/>
  <c r="X37" i="2"/>
  <c r="U97" i="2"/>
  <c r="K7" i="2"/>
  <c r="BC50" i="2"/>
  <c r="BG119" i="2"/>
  <c r="Y17" i="2"/>
  <c r="U75" i="2"/>
  <c r="AB160" i="2"/>
  <c r="AE45" i="2"/>
  <c r="G96" i="2"/>
  <c r="Y164" i="2"/>
  <c r="O32" i="2"/>
  <c r="R76" i="2"/>
  <c r="P134" i="2"/>
  <c r="W18" i="2"/>
  <c r="X75" i="2"/>
  <c r="AS130" i="2"/>
  <c r="BC31" i="2"/>
  <c r="K69" i="2"/>
  <c r="O107" i="2"/>
  <c r="K40" i="2"/>
  <c r="BG79" i="3"/>
  <c r="BG79" i="2" s="1"/>
  <c r="BG80" i="2"/>
  <c r="BF120" i="2"/>
  <c r="AP26" i="2"/>
  <c r="AU59" i="2"/>
  <c r="AF100" i="2"/>
  <c r="P159" i="2"/>
  <c r="T43" i="2"/>
  <c r="AS84" i="2"/>
  <c r="J133" i="2"/>
  <c r="U54" i="2"/>
  <c r="BF99" i="2"/>
  <c r="AA145" i="2"/>
  <c r="V62" i="2"/>
  <c r="AH96" i="2"/>
  <c r="AM137" i="2"/>
  <c r="W58" i="2"/>
  <c r="AI92" i="2"/>
  <c r="M131" i="2"/>
  <c r="I53" i="2"/>
  <c r="K101" i="2"/>
  <c r="AX147" i="2"/>
  <c r="BL130" i="2"/>
  <c r="AP113" i="2"/>
  <c r="K160" i="2"/>
  <c r="W134" i="2"/>
  <c r="BG114" i="2"/>
  <c r="AA141" i="2"/>
  <c r="AH131" i="2"/>
  <c r="I162" i="2"/>
  <c r="BK138" i="2"/>
  <c r="AK169" i="2"/>
  <c r="Y142" i="2"/>
  <c r="AA125" i="2"/>
  <c r="AS167" i="2"/>
  <c r="AO165" i="2"/>
  <c r="AM147" i="2"/>
  <c r="AD142" i="2"/>
  <c r="BH181" i="2"/>
  <c r="AT173" i="2"/>
  <c r="I160" i="2"/>
  <c r="BJ154" i="2"/>
  <c r="T159" i="2"/>
  <c r="I149" i="2"/>
  <c r="Z188" i="2"/>
  <c r="F113" i="2"/>
  <c r="F129" i="2"/>
  <c r="AV18" i="2"/>
  <c r="BH84" i="2"/>
  <c r="BG14" i="2"/>
  <c r="BK120" i="2"/>
  <c r="AO100" i="2"/>
  <c r="R85" i="2"/>
  <c r="AY49" i="2"/>
  <c r="BK59" i="2"/>
  <c r="M65" i="2"/>
  <c r="AL53" i="2"/>
  <c r="BE22" i="2"/>
  <c r="X81" i="2"/>
  <c r="BD10" i="2"/>
  <c r="K61" i="2"/>
  <c r="F83" i="2"/>
  <c r="F68" i="2"/>
  <c r="F177" i="2"/>
  <c r="F138" i="2"/>
  <c r="F50" i="2"/>
  <c r="F140" i="2"/>
  <c r="N41" i="3"/>
  <c r="N41" i="2" s="1"/>
  <c r="N42" i="2"/>
  <c r="AC76" i="2"/>
  <c r="L31" i="2"/>
  <c r="AE134" i="2"/>
  <c r="L87" i="2"/>
  <c r="BM120" i="2"/>
  <c r="AQ17" i="2"/>
  <c r="K31" i="2"/>
  <c r="BE16" i="2"/>
  <c r="AF19" i="2"/>
  <c r="AW12" i="2"/>
  <c r="J176" i="2"/>
  <c r="BJ27" i="2"/>
  <c r="AT97" i="2"/>
  <c r="AM73" i="2"/>
  <c r="G111" i="2"/>
  <c r="J30" i="2"/>
  <c r="AD54" i="2"/>
  <c r="M94" i="2"/>
  <c r="BI126" i="2"/>
  <c r="O18" i="2"/>
  <c r="AF6" i="2"/>
  <c r="AN53" i="2"/>
  <c r="AN20" i="2"/>
  <c r="AX84" i="2"/>
  <c r="AJ66" i="2"/>
  <c r="BI96" i="2"/>
  <c r="AT40" i="2"/>
  <c r="M75" i="2"/>
  <c r="M18" i="2"/>
  <c r="Q22" i="2"/>
  <c r="AR60" i="2"/>
  <c r="AK44" i="2"/>
  <c r="AM85" i="2"/>
  <c r="L26" i="2"/>
  <c r="AH89" i="2"/>
  <c r="AY69" i="2"/>
  <c r="O46" i="2"/>
  <c r="AP82" i="2"/>
  <c r="BB140" i="2"/>
  <c r="S17" i="2"/>
  <c r="AA10" i="2"/>
  <c r="AI93" i="2"/>
  <c r="BG102" i="2"/>
  <c r="AY11" i="2"/>
  <c r="AD48" i="2"/>
  <c r="G122" i="2"/>
  <c r="BD99" i="2"/>
  <c r="AS55" i="2"/>
  <c r="AZ112" i="2"/>
  <c r="V77" i="2"/>
  <c r="BI11" i="2"/>
  <c r="BI150" i="2"/>
  <c r="M102" i="2"/>
  <c r="X49" i="2"/>
  <c r="BH13" i="2"/>
  <c r="H35" i="2"/>
  <c r="BG76" i="2"/>
  <c r="AL121" i="2"/>
  <c r="W119" i="2"/>
  <c r="AZ92" i="2"/>
  <c r="AK64" i="2"/>
  <c r="AI9" i="2"/>
  <c r="I117" i="3"/>
  <c r="I117" i="2" s="1"/>
  <c r="I118" i="2"/>
  <c r="Z58" i="2"/>
  <c r="AJ22" i="2"/>
  <c r="BH123" i="2"/>
  <c r="N21" i="2"/>
  <c r="BH57" i="2"/>
  <c r="AT103" i="2"/>
  <c r="AL183" i="2"/>
  <c r="AV152" i="2"/>
  <c r="BB89" i="2"/>
  <c r="AF29" i="2"/>
  <c r="BJ24" i="2"/>
  <c r="R109" i="2"/>
  <c r="BE76" i="2"/>
  <c r="X34" i="2"/>
  <c r="Q8" i="2"/>
  <c r="AN40" i="2"/>
  <c r="BL76" i="2"/>
  <c r="AU130" i="2"/>
  <c r="J14" i="2"/>
  <c r="BI84" i="2"/>
  <c r="BK9" i="2"/>
  <c r="AK33" i="2"/>
  <c r="N57" i="2"/>
  <c r="G93" i="2"/>
  <c r="P138" i="2"/>
  <c r="U72" i="2"/>
  <c r="AC8" i="2"/>
  <c r="R32" i="2"/>
  <c r="Q62" i="2"/>
  <c r="P91" i="2"/>
  <c r="AY142" i="2"/>
  <c r="J25" i="2"/>
  <c r="AH145" i="2"/>
  <c r="AU20" i="2"/>
  <c r="T50" i="2"/>
  <c r="Z76" i="2"/>
  <c r="AJ111" i="2"/>
  <c r="AS165" i="2"/>
  <c r="AQ15" i="2"/>
  <c r="J33" i="2"/>
  <c r="AG58" i="2"/>
  <c r="V89" i="2"/>
  <c r="K129" i="2"/>
  <c r="J5" i="2"/>
  <c r="Z19" i="2"/>
  <c r="G41" i="3"/>
  <c r="G41" i="2" s="1"/>
  <c r="G42" i="2"/>
  <c r="O63" i="2"/>
  <c r="BB93" i="2"/>
  <c r="U130" i="2"/>
  <c r="Z7" i="2"/>
  <c r="AG21" i="2"/>
  <c r="AY43" i="2"/>
  <c r="AA67" i="2"/>
  <c r="Q95" i="2"/>
  <c r="BB141" i="2"/>
  <c r="AF92" i="2"/>
  <c r="AF126" i="2"/>
  <c r="BI169" i="2"/>
  <c r="L123" i="2"/>
  <c r="AP175" i="2"/>
  <c r="P133" i="2"/>
  <c r="AI83" i="2"/>
  <c r="AX111" i="2"/>
  <c r="AV145" i="2"/>
  <c r="S8" i="2"/>
  <c r="BL19" i="2"/>
  <c r="R38" i="2"/>
  <c r="BA59" i="2"/>
  <c r="AM77" i="2"/>
  <c r="T102" i="2"/>
  <c r="BL123" i="2"/>
  <c r="AX168" i="2"/>
  <c r="J10" i="2"/>
  <c r="BH25" i="2"/>
  <c r="O40" i="2"/>
  <c r="BJ60" i="2"/>
  <c r="AV78" i="2"/>
  <c r="BI102" i="2"/>
  <c r="BM123" i="2"/>
  <c r="AX163" i="2"/>
  <c r="AT11" i="2"/>
  <c r="AQ23" i="2"/>
  <c r="BH42" i="2"/>
  <c r="BH41" i="3"/>
  <c r="BH41" i="2" s="1"/>
  <c r="BM56" i="2"/>
  <c r="AM81" i="2"/>
  <c r="AA98" i="2"/>
  <c r="AI122" i="2"/>
  <c r="S150" i="2"/>
  <c r="BK7" i="2"/>
  <c r="S19" i="2"/>
  <c r="AC37" i="2"/>
  <c r="AO52" i="2"/>
  <c r="AA75" i="2"/>
  <c r="AY100" i="2"/>
  <c r="N121" i="2"/>
  <c r="BH154" i="2"/>
  <c r="AN6" i="2"/>
  <c r="BM17" i="2"/>
  <c r="Y28" i="2"/>
  <c r="BD43" i="2"/>
  <c r="AZ57" i="2"/>
  <c r="P76" i="2"/>
  <c r="Z91" i="2"/>
  <c r="BL108" i="2"/>
  <c r="BM127" i="2"/>
  <c r="U162" i="2"/>
  <c r="AT9" i="2"/>
  <c r="AJ19" i="2"/>
  <c r="T33" i="2"/>
  <c r="J46" i="2"/>
  <c r="V64" i="2"/>
  <c r="AB79" i="3"/>
  <c r="AB79" i="2" s="1"/>
  <c r="AB80" i="2"/>
  <c r="AK97" i="2"/>
  <c r="O111" i="2"/>
  <c r="Y138" i="2"/>
  <c r="L167" i="2"/>
  <c r="AU9" i="2"/>
  <c r="BJ18" i="2"/>
  <c r="BK32" i="2"/>
  <c r="AY47" i="2"/>
  <c r="BF62" i="2"/>
  <c r="Q82" i="2"/>
  <c r="AT95" i="2"/>
  <c r="AC114" i="2"/>
  <c r="Z136" i="2"/>
  <c r="I171" i="2"/>
  <c r="AL7" i="2"/>
  <c r="BK18" i="2"/>
  <c r="BJ29" i="2"/>
  <c r="AG45" i="2"/>
  <c r="AX58" i="2"/>
  <c r="S76" i="2"/>
  <c r="AU95" i="2"/>
  <c r="BF110" i="2"/>
  <c r="BF137" i="2"/>
  <c r="AF162" i="2"/>
  <c r="AI23" i="2"/>
  <c r="AD32" i="2"/>
  <c r="AZ44" i="2"/>
  <c r="AG55" i="2"/>
  <c r="BG69" i="2"/>
  <c r="U82" i="2"/>
  <c r="AT96" i="2"/>
  <c r="Z108" i="2"/>
  <c r="AZ125" i="2"/>
  <c r="BE149" i="2"/>
  <c r="P179" i="2"/>
  <c r="P31" i="2"/>
  <c r="AY40" i="2"/>
  <c r="J55" i="2"/>
  <c r="AE66" i="2"/>
  <c r="AP81" i="2"/>
  <c r="V93" i="2"/>
  <c r="AR107" i="2"/>
  <c r="AX121" i="2"/>
  <c r="AW143" i="2"/>
  <c r="AX170" i="2"/>
  <c r="Q27" i="2"/>
  <c r="AP38" i="2"/>
  <c r="M49" i="2"/>
  <c r="AE63" i="2"/>
  <c r="K75" i="2"/>
  <c r="S90" i="2"/>
  <c r="S101" i="2"/>
  <c r="L116" i="2"/>
  <c r="I133" i="2"/>
  <c r="AV162" i="2"/>
  <c r="W22" i="2"/>
  <c r="AV33" i="2"/>
  <c r="AS46" i="2"/>
  <c r="M58" i="2"/>
  <c r="V73" i="2"/>
  <c r="P89" i="2"/>
  <c r="BI100" i="2"/>
  <c r="AS116" i="2"/>
  <c r="AD139" i="2"/>
  <c r="BK165" i="2"/>
  <c r="BI54" i="2"/>
  <c r="BD67" i="2"/>
  <c r="U78" i="2"/>
  <c r="R91" i="2"/>
  <c r="R103" i="2"/>
  <c r="AG112" i="2"/>
  <c r="AC129" i="2"/>
  <c r="BJ151" i="2"/>
  <c r="AO176" i="2"/>
  <c r="AA53" i="2"/>
  <c r="AA65" i="2"/>
  <c r="BJ74" i="2"/>
  <c r="BG87" i="2"/>
  <c r="BG99" i="2"/>
  <c r="I109" i="2"/>
  <c r="R124" i="2"/>
  <c r="AX144" i="2"/>
  <c r="AA165" i="2"/>
  <c r="AB49" i="2"/>
  <c r="AB61" i="2"/>
  <c r="BK70" i="2"/>
  <c r="BH83" i="2"/>
  <c r="BH95" i="2"/>
  <c r="J105" i="2"/>
  <c r="BC117" i="3"/>
  <c r="BC117" i="2" s="1"/>
  <c r="BC118" i="2"/>
  <c r="AV136" i="2"/>
  <c r="AQ155" i="3"/>
  <c r="AQ155" i="2" s="1"/>
  <c r="AQ156" i="2"/>
  <c r="K185" i="2"/>
  <c r="AH56" i="2"/>
  <c r="AW65" i="2"/>
  <c r="AW77" i="2"/>
  <c r="BI91" i="2"/>
  <c r="AY101" i="2"/>
  <c r="AC115" i="2"/>
  <c r="AM132" i="2"/>
  <c r="BG148" i="2"/>
  <c r="AS179" i="2"/>
  <c r="AQ121" i="2"/>
  <c r="AS131" i="2"/>
  <c r="AI148" i="2"/>
  <c r="AM173" i="2"/>
  <c r="Q114" i="2"/>
  <c r="AX127" i="2"/>
  <c r="AL142" i="2"/>
  <c r="R161" i="2"/>
  <c r="AG185" i="2"/>
  <c r="AI123" i="2"/>
  <c r="AD135" i="2"/>
  <c r="BE152" i="2"/>
  <c r="AR176" i="2"/>
  <c r="AH115" i="2"/>
  <c r="BI129" i="2"/>
  <c r="Q146" i="2"/>
  <c r="BH162" i="2"/>
  <c r="Y190" i="2"/>
  <c r="BG134" i="2"/>
  <c r="BF144" i="2"/>
  <c r="AC163" i="2"/>
  <c r="U182" i="2"/>
  <c r="AI127" i="2"/>
  <c r="AO139" i="2"/>
  <c r="AF155" i="3"/>
  <c r="AF155" i="2" s="1"/>
  <c r="AF156" i="2"/>
  <c r="AE171" i="2"/>
  <c r="K132" i="2"/>
  <c r="AC146" i="2"/>
  <c r="Z160" i="2"/>
  <c r="BC179" i="2"/>
  <c r="AZ128" i="2"/>
  <c r="V138" i="2"/>
  <c r="R154" i="2"/>
  <c r="V174" i="2"/>
  <c r="BE190" i="2"/>
  <c r="L179" i="2"/>
  <c r="K170" i="2"/>
  <c r="BB183" i="2"/>
  <c r="I185" i="2"/>
  <c r="BM151" i="2"/>
  <c r="BE166" i="2"/>
  <c r="AC183" i="2"/>
  <c r="BC145" i="2"/>
  <c r="BL157" i="2"/>
  <c r="BE171" i="2"/>
  <c r="BL185" i="2"/>
  <c r="U148" i="2"/>
  <c r="AT163" i="2"/>
  <c r="AP177" i="2"/>
  <c r="BC189" i="2"/>
  <c r="V148" i="2"/>
  <c r="AB164" i="2"/>
  <c r="BC175" i="2"/>
  <c r="AV191" i="2"/>
  <c r="S159" i="2"/>
  <c r="AH168" i="2"/>
  <c r="AH180" i="2"/>
  <c r="AB149" i="2"/>
  <c r="BH159" i="2"/>
  <c r="BH171" i="2"/>
  <c r="BJ183" i="2"/>
  <c r="AW149" i="2"/>
  <c r="AO163" i="2"/>
  <c r="AJ176" i="2"/>
  <c r="AK186" i="2"/>
  <c r="AX190" i="2"/>
  <c r="BB190" i="2"/>
  <c r="U189" i="2"/>
  <c r="AL147" i="2"/>
  <c r="T181" i="2"/>
  <c r="I143" i="2"/>
  <c r="AZ175" i="2"/>
  <c r="BH180" i="2"/>
  <c r="AD189" i="2"/>
  <c r="P153" i="2"/>
  <c r="AV184" i="2"/>
  <c r="P162" i="2"/>
  <c r="J187" i="2"/>
  <c r="H165" i="2"/>
  <c r="AU139" i="2"/>
  <c r="AI165" i="2"/>
  <c r="AG191" i="2"/>
  <c r="N172" i="2"/>
  <c r="AQ150" i="2"/>
  <c r="BC172" i="2"/>
  <c r="AC153" i="2"/>
  <c r="AE177" i="2"/>
  <c r="BE191" i="2"/>
  <c r="F28" i="2"/>
  <c r="F158" i="2"/>
  <c r="BB70" i="2"/>
  <c r="AH137" i="2"/>
  <c r="AE19" i="2"/>
  <c r="AZ59" i="2"/>
  <c r="BK48" i="2"/>
  <c r="H12" i="2"/>
  <c r="BF126" i="2"/>
  <c r="BJ71" i="2"/>
  <c r="AB90" i="2"/>
  <c r="G58" i="2"/>
  <c r="AR37" i="2"/>
  <c r="AV98" i="2"/>
  <c r="BL26" i="2"/>
  <c r="AB11" i="2"/>
  <c r="AW160" i="2"/>
  <c r="Q73" i="2"/>
  <c r="X67" i="2"/>
  <c r="T3" i="3"/>
  <c r="T3" i="2" s="1"/>
  <c r="T4" i="2"/>
  <c r="AT16" i="2"/>
  <c r="AL143" i="2"/>
  <c r="AL74" i="2"/>
  <c r="J114" i="2"/>
  <c r="BL25" i="2"/>
  <c r="Z191" i="2"/>
  <c r="AV91" i="2"/>
  <c r="BC91" i="2"/>
  <c r="K45" i="2"/>
  <c r="AG18" i="2"/>
  <c r="H36" i="2"/>
  <c r="R186" i="2"/>
  <c r="BL34" i="2"/>
  <c r="AD152" i="2"/>
  <c r="AX55" i="2"/>
  <c r="J190" i="2"/>
  <c r="AN62" i="2"/>
  <c r="Y7" i="2"/>
  <c r="BC72" i="2"/>
  <c r="O9" i="2"/>
  <c r="J76" i="2"/>
  <c r="AS96" i="2"/>
  <c r="AT129" i="2"/>
  <c r="BH90" i="2"/>
  <c r="I10" i="2"/>
  <c r="BH61" i="2"/>
  <c r="BA127" i="2"/>
  <c r="AY27" i="2"/>
  <c r="I87" i="2"/>
  <c r="AU170" i="2"/>
  <c r="BF44" i="2"/>
  <c r="AQ105" i="2"/>
  <c r="BD9" i="2"/>
  <c r="BH59" i="2"/>
  <c r="BF124" i="2"/>
  <c r="O19" i="2"/>
  <c r="AX63" i="2"/>
  <c r="BC110" i="2"/>
  <c r="P11" i="2"/>
  <c r="AX47" i="2"/>
  <c r="Q99" i="2"/>
  <c r="AP182" i="2"/>
  <c r="BA34" i="2"/>
  <c r="J84" i="2"/>
  <c r="H146" i="2"/>
  <c r="M20" i="2"/>
  <c r="BD64" i="2"/>
  <c r="AV112" i="2"/>
  <c r="AX24" i="2"/>
  <c r="AB60" i="2"/>
  <c r="AK98" i="2"/>
  <c r="AN154" i="2"/>
  <c r="R43" i="2"/>
  <c r="AF83" i="2"/>
  <c r="BG127" i="2"/>
  <c r="BE39" i="2"/>
  <c r="AT76" i="2"/>
  <c r="K106" i="2"/>
  <c r="AN166" i="2"/>
  <c r="AA48" i="2"/>
  <c r="AV90" i="2"/>
  <c r="AE142" i="2"/>
  <c r="Z69" i="2"/>
  <c r="AG104" i="2"/>
  <c r="AG154" i="2"/>
  <c r="BJ66" i="2"/>
  <c r="I101" i="2"/>
  <c r="AV147" i="2"/>
  <c r="BK50" i="2"/>
  <c r="J85" i="2"/>
  <c r="J109" i="2"/>
  <c r="P188" i="2"/>
  <c r="AW69" i="2"/>
  <c r="K93" i="2"/>
  <c r="BL116" i="2"/>
  <c r="AE159" i="2"/>
  <c r="BF122" i="2"/>
  <c r="AP176" i="2"/>
  <c r="M129" i="2"/>
  <c r="AS189" i="2"/>
  <c r="I140" i="2"/>
  <c r="AV179" i="2"/>
  <c r="G148" i="2"/>
  <c r="I124" i="2"/>
  <c r="U150" i="2"/>
  <c r="X184" i="2"/>
  <c r="BM140" i="2"/>
  <c r="AT133" i="2"/>
  <c r="K166" i="2"/>
  <c r="V130" i="2"/>
  <c r="AF157" i="2"/>
  <c r="AT167" i="2"/>
  <c r="AZ171" i="2"/>
  <c r="AB187" i="2"/>
  <c r="J185" i="2"/>
  <c r="AM162" i="2"/>
  <c r="AN187" i="2"/>
  <c r="AH165" i="2"/>
  <c r="V140" i="2"/>
  <c r="BF165" i="2"/>
  <c r="BH191" i="2"/>
  <c r="AH172" i="2"/>
  <c r="BK150" i="2"/>
  <c r="J173" i="2"/>
  <c r="AW153" i="2"/>
  <c r="AY177" i="2"/>
  <c r="M192" i="2"/>
  <c r="F144" i="2"/>
  <c r="F179" i="2"/>
  <c r="AE88" i="2"/>
  <c r="AF166" i="2"/>
  <c r="U96" i="2"/>
  <c r="AK88" i="2"/>
  <c r="G30" i="2"/>
  <c r="H75" i="2"/>
  <c r="R36" i="2"/>
  <c r="U89" i="2"/>
  <c r="L5" i="2"/>
  <c r="AD38" i="2"/>
  <c r="BM113" i="2"/>
  <c r="AP97" i="2"/>
  <c r="P6" i="2"/>
  <c r="T35" i="2"/>
  <c r="AW16" i="2"/>
  <c r="AT155" i="3"/>
  <c r="AT155" i="2" s="1"/>
  <c r="AT156" i="2"/>
  <c r="AY94" i="2"/>
  <c r="AR119" i="2"/>
  <c r="W48" i="2"/>
  <c r="AD154" i="2"/>
  <c r="AQ32" i="2"/>
  <c r="BB35" i="2"/>
  <c r="I62" i="2"/>
  <c r="T131" i="2"/>
  <c r="L101" i="2"/>
  <c r="AZ46" i="2"/>
  <c r="BJ100" i="2"/>
  <c r="BA67" i="2"/>
  <c r="AQ35" i="2"/>
  <c r="H154" i="2"/>
  <c r="AA30" i="2"/>
  <c r="BC116" i="2"/>
  <c r="AL42" i="2"/>
  <c r="AL41" i="3"/>
  <c r="AL41" i="2" s="1"/>
  <c r="BL134" i="2"/>
  <c r="BM44" i="2"/>
  <c r="AF153" i="2"/>
  <c r="BJ47" i="2"/>
  <c r="BI151" i="2"/>
  <c r="AB130" i="2"/>
  <c r="Y91" i="2"/>
  <c r="AG10" i="2"/>
  <c r="AA62" i="2"/>
  <c r="AF135" i="2"/>
  <c r="N28" i="2"/>
  <c r="AW87" i="2"/>
  <c r="BK13" i="2"/>
  <c r="AE65" i="2"/>
  <c r="BJ127" i="2"/>
  <c r="AH25" i="2"/>
  <c r="Z79" i="3"/>
  <c r="Z79" i="2" s="1"/>
  <c r="Z80" i="2"/>
  <c r="BA168" i="2"/>
  <c r="S33" i="2"/>
  <c r="AA79" i="3"/>
  <c r="AA79" i="2" s="1"/>
  <c r="AA80" i="2"/>
  <c r="BC137" i="2"/>
  <c r="AM35" i="2"/>
  <c r="AB86" i="2"/>
  <c r="AQ183" i="2"/>
  <c r="L35" i="2"/>
  <c r="AT84" i="2"/>
  <c r="BL146" i="2"/>
  <c r="AJ20" i="2"/>
  <c r="Q65" i="2"/>
  <c r="O113" i="2"/>
  <c r="Y25" i="2"/>
  <c r="H72" i="2"/>
  <c r="Y113" i="2"/>
  <c r="AE20" i="2"/>
  <c r="AF57" i="2"/>
  <c r="BJ109" i="2"/>
  <c r="BJ186" i="2"/>
  <c r="AA51" i="2"/>
  <c r="AI106" i="2"/>
  <c r="W26" i="2"/>
  <c r="AF63" i="2"/>
  <c r="AJ106" i="2"/>
  <c r="AC179" i="2"/>
  <c r="AL83" i="2"/>
  <c r="BA117" i="3"/>
  <c r="BA117" i="2" s="1"/>
  <c r="BA118" i="2"/>
  <c r="J188" i="2"/>
  <c r="N79" i="3"/>
  <c r="N79" i="2" s="1"/>
  <c r="N80" i="2"/>
  <c r="AG113" i="2"/>
  <c r="R51" i="2"/>
  <c r="AD85" i="2"/>
  <c r="I121" i="2"/>
  <c r="H189" i="2"/>
  <c r="AE93" i="2"/>
  <c r="AX135" i="2"/>
  <c r="M123" i="2"/>
  <c r="AH119" i="2"/>
  <c r="H169" i="2"/>
  <c r="AI140" i="2"/>
  <c r="AY120" i="2"/>
  <c r="BL171" i="2"/>
  <c r="AU165" i="2"/>
  <c r="V141" i="2"/>
  <c r="W148" i="2"/>
  <c r="BE143" i="2"/>
  <c r="AF168" i="2"/>
  <c r="AP191" i="2"/>
  <c r="AS147" i="2"/>
  <c r="BE165" i="2"/>
  <c r="BK191" i="2"/>
  <c r="F156" i="2"/>
  <c r="F155" i="3"/>
  <c r="F155" i="2" s="1"/>
  <c r="F31" i="2"/>
  <c r="Y73" i="2"/>
  <c r="I56" i="2"/>
  <c r="AT34" i="2"/>
  <c r="AL48" i="2"/>
  <c r="X71" i="2"/>
  <c r="BF147" i="2"/>
  <c r="BD78" i="2"/>
  <c r="Z8" i="2"/>
  <c r="Z3" i="3"/>
  <c r="Z3" i="2" s="1"/>
  <c r="Z4" i="2"/>
  <c r="U85" i="2"/>
  <c r="AV44" i="2"/>
  <c r="AJ87" i="2"/>
  <c r="BC47" i="2"/>
  <c r="AO17" i="2"/>
  <c r="X165" i="2"/>
  <c r="BL96" i="2"/>
  <c r="BL124" i="2"/>
  <c r="M85" i="2"/>
  <c r="BC167" i="2"/>
  <c r="S185" i="2"/>
  <c r="W3" i="3"/>
  <c r="W3" i="2" s="1"/>
  <c r="W4" i="2"/>
  <c r="AS120" i="2"/>
  <c r="AG134" i="2"/>
  <c r="AY10" i="2"/>
  <c r="T13" i="2"/>
  <c r="L34" i="2"/>
  <c r="S37" i="2"/>
  <c r="O5" i="2"/>
  <c r="I36" i="2"/>
  <c r="L157" i="2"/>
  <c r="AQ31" i="2"/>
  <c r="M120" i="2"/>
  <c r="M43" i="2"/>
  <c r="X8" i="2"/>
  <c r="AW74" i="2"/>
  <c r="G10" i="2"/>
  <c r="AD77" i="2"/>
  <c r="AU104" i="2"/>
  <c r="Z131" i="2"/>
  <c r="T92" i="2"/>
  <c r="BE10" i="2"/>
  <c r="AO63" i="2"/>
  <c r="M136" i="2"/>
  <c r="AP28" i="2"/>
  <c r="AB107" i="2"/>
  <c r="S14" i="2"/>
  <c r="BK65" i="2"/>
  <c r="AQ128" i="2"/>
  <c r="Q40" i="2"/>
  <c r="L105" i="2"/>
  <c r="BH10" i="2"/>
  <c r="AG46" i="2"/>
  <c r="AT111" i="2"/>
  <c r="BD11" i="2"/>
  <c r="AW52" i="2"/>
  <c r="T100" i="2"/>
  <c r="AR184" i="2"/>
  <c r="AN35" i="2"/>
  <c r="AK85" i="2"/>
  <c r="AH147" i="2"/>
  <c r="BH20" i="2"/>
  <c r="AS65" i="2"/>
  <c r="AN120" i="2"/>
  <c r="AS25" i="2"/>
  <c r="O61" i="2"/>
  <c r="BA113" i="2"/>
  <c r="AJ23" i="2"/>
  <c r="BD57" i="2"/>
  <c r="BJ98" i="2"/>
  <c r="AC148" i="2"/>
  <c r="AF40" i="2"/>
  <c r="S81" i="2"/>
  <c r="BG120" i="2"/>
  <c r="BF35" i="2"/>
  <c r="BB91" i="2"/>
  <c r="AE144" i="2"/>
  <c r="U70" i="2"/>
  <c r="H105" i="2"/>
  <c r="AS157" i="2"/>
  <c r="AK67" i="2"/>
  <c r="BE113" i="2"/>
  <c r="BJ178" i="2"/>
  <c r="AL75" i="2"/>
  <c r="AX109" i="2"/>
  <c r="R166" i="2"/>
  <c r="AR70" i="2"/>
  <c r="U136" i="2"/>
  <c r="AG123" i="2"/>
  <c r="BJ177" i="2"/>
  <c r="AY145" i="2"/>
  <c r="AO125" i="2"/>
  <c r="AP181" i="2"/>
  <c r="AP149" i="2"/>
  <c r="AW136" i="2"/>
  <c r="AR141" i="2"/>
  <c r="AO134" i="2"/>
  <c r="BD182" i="2"/>
  <c r="R158" i="2"/>
  <c r="I182" i="2"/>
  <c r="V188" i="2"/>
  <c r="AG186" i="2"/>
  <c r="AA174" i="2"/>
  <c r="M166" i="2"/>
  <c r="BA150" i="2"/>
  <c r="AQ192" i="2"/>
  <c r="AR182" i="2"/>
  <c r="AX173" i="2"/>
  <c r="AE165" i="2"/>
  <c r="U192" i="2"/>
  <c r="F159" i="2"/>
  <c r="F56" i="2"/>
  <c r="BG28" i="2"/>
  <c r="R8" i="2"/>
  <c r="AX34" i="2"/>
  <c r="BL77" i="2"/>
  <c r="AE87" i="2"/>
  <c r="AC72" i="2"/>
  <c r="AA3" i="3"/>
  <c r="AA3" i="2" s="1"/>
  <c r="AA4" i="2"/>
  <c r="BE81" i="2"/>
  <c r="J96" i="2"/>
  <c r="Q6" i="2"/>
  <c r="S89" i="2"/>
  <c r="AM45" i="2"/>
  <c r="M91" i="2"/>
  <c r="AP55" i="2"/>
  <c r="AR10" i="2"/>
  <c r="AV79" i="3"/>
  <c r="AV79" i="2" s="1"/>
  <c r="AV80" i="2"/>
  <c r="BF72" i="2"/>
  <c r="H104" i="2"/>
  <c r="K130" i="2"/>
  <c r="Y18" i="2"/>
  <c r="BJ90" i="2"/>
  <c r="AQ161" i="2"/>
  <c r="S79" i="3"/>
  <c r="S79" i="2" s="1"/>
  <c r="S80" i="2"/>
  <c r="AJ5" i="2"/>
  <c r="AX5" i="2"/>
  <c r="AM121" i="2"/>
  <c r="AY135" i="2"/>
  <c r="BJ11" i="2"/>
  <c r="AZ19" i="2"/>
  <c r="AC147" i="2"/>
  <c r="AH18" i="2"/>
  <c r="BK100" i="2"/>
  <c r="BJ16" i="2"/>
  <c r="M105" i="2"/>
  <c r="S32" i="2"/>
  <c r="U124" i="2"/>
  <c r="AW43" i="2"/>
  <c r="BA151" i="2"/>
  <c r="AU46" i="2"/>
  <c r="X157" i="2"/>
  <c r="U49" i="2"/>
  <c r="T155" i="3"/>
  <c r="T155" i="2" s="1"/>
  <c r="T156" i="2"/>
  <c r="BC101" i="2"/>
  <c r="BI146" i="2"/>
  <c r="AP170" i="2"/>
  <c r="AL46" i="2"/>
  <c r="BH137" i="2"/>
  <c r="AN29" i="2"/>
  <c r="V65" i="2"/>
  <c r="BL107" i="2"/>
  <c r="AU14" i="2"/>
  <c r="H46" i="2"/>
  <c r="AG85" i="2"/>
  <c r="AG129" i="2"/>
  <c r="Z26" i="2"/>
  <c r="AE61" i="2"/>
  <c r="AR105" i="2"/>
  <c r="BH170" i="2"/>
  <c r="J20" i="2"/>
  <c r="BE46" i="2"/>
  <c r="Z81" i="2"/>
  <c r="I112" i="2"/>
  <c r="AY185" i="2"/>
  <c r="AP24" i="2"/>
  <c r="P53" i="2"/>
  <c r="AV100" i="2"/>
  <c r="L12" i="2"/>
  <c r="BC51" i="2"/>
  <c r="AI103" i="2"/>
  <c r="M12" i="2"/>
  <c r="O48" i="2"/>
  <c r="BC99" i="2"/>
  <c r="I176" i="2"/>
  <c r="S47" i="2"/>
  <c r="AU99" i="2"/>
  <c r="AG158" i="2"/>
  <c r="AQ46" i="2"/>
  <c r="AQ84" i="2"/>
  <c r="V129" i="2"/>
  <c r="BE31" i="2"/>
  <c r="AF66" i="2"/>
  <c r="S121" i="2"/>
  <c r="BK26" i="2"/>
  <c r="S64" i="2"/>
  <c r="V107" i="2"/>
  <c r="K60" i="2"/>
  <c r="M96" i="2"/>
  <c r="AT136" i="2"/>
  <c r="AP58" i="2"/>
  <c r="X102" i="2"/>
  <c r="S149" i="2"/>
  <c r="BF63" i="2"/>
  <c r="Y98" i="2"/>
  <c r="AY167" i="2"/>
  <c r="BL70" i="2"/>
  <c r="P122" i="2"/>
  <c r="U113" i="2"/>
  <c r="AR160" i="2"/>
  <c r="AK133" i="2"/>
  <c r="AG115" i="2"/>
  <c r="AB162" i="2"/>
  <c r="R136" i="2"/>
  <c r="BB127" i="2"/>
  <c r="BM171" i="2"/>
  <c r="AS145" i="2"/>
  <c r="AT137" i="2"/>
  <c r="BD188" i="2"/>
  <c r="L162" i="2"/>
  <c r="AD186" i="2"/>
  <c r="BK142" i="2"/>
  <c r="AX138" i="2"/>
  <c r="Z189" i="2"/>
  <c r="AE180" i="2"/>
  <c r="BH166" i="2"/>
  <c r="AC161" i="2"/>
  <c r="BF151" i="2"/>
  <c r="N186" i="2"/>
  <c r="U179" i="2"/>
  <c r="AO188" i="2"/>
  <c r="F47" i="2"/>
  <c r="F72" i="2"/>
  <c r="F99" i="2"/>
  <c r="AU35" i="2"/>
  <c r="BH5" i="2"/>
  <c r="AU89" i="2"/>
  <c r="BB16" i="2"/>
  <c r="AZ103" i="2"/>
  <c r="V25" i="2"/>
  <c r="BK37" i="2"/>
  <c r="W81" i="2"/>
  <c r="AS164" i="2"/>
  <c r="AR49" i="2"/>
  <c r="AY125" i="2"/>
  <c r="BD125" i="2"/>
  <c r="AO40" i="2"/>
  <c r="N7" i="2"/>
  <c r="AY104" i="2"/>
  <c r="AW185" i="2"/>
  <c r="BD46" i="2"/>
  <c r="S54" i="2"/>
  <c r="I16" i="2"/>
  <c r="AY62" i="2"/>
  <c r="O90" i="2"/>
  <c r="AQ11" i="2"/>
  <c r="AF34" i="2"/>
  <c r="AB19" i="2"/>
  <c r="AC83" i="2"/>
  <c r="AA151" i="2"/>
  <c r="AG74" i="2"/>
  <c r="AT19" i="2"/>
  <c r="BG125" i="2"/>
  <c r="G81" i="2"/>
  <c r="I24" i="2"/>
  <c r="AK134" i="2"/>
  <c r="AL134" i="2"/>
  <c r="G19" i="2"/>
  <c r="BE91" i="2"/>
  <c r="AH181" i="2"/>
  <c r="BM176" i="2"/>
  <c r="AE14" i="2"/>
  <c r="BI85" i="2"/>
  <c r="AO36" i="2"/>
  <c r="BK24" i="2"/>
  <c r="BG131" i="2"/>
  <c r="N61" i="2"/>
  <c r="N6" i="2"/>
  <c r="I35" i="2"/>
  <c r="AW67" i="2"/>
  <c r="BA122" i="2"/>
  <c r="N58" i="2"/>
  <c r="S23" i="2"/>
  <c r="BF146" i="2"/>
  <c r="M103" i="2"/>
  <c r="AF46" i="2"/>
  <c r="BK15" i="2"/>
  <c r="AZ10" i="2"/>
  <c r="BF76" i="2"/>
  <c r="AL20" i="2"/>
  <c r="AQ49" i="2"/>
  <c r="Q102" i="2"/>
  <c r="AL153" i="2"/>
  <c r="AR38" i="2"/>
  <c r="Z109" i="2"/>
  <c r="AM19" i="2"/>
  <c r="AC39" i="2"/>
  <c r="AV71" i="2"/>
  <c r="AS101" i="2"/>
  <c r="AA8" i="2"/>
  <c r="BH148" i="2"/>
  <c r="AF17" i="2"/>
  <c r="S45" i="2"/>
  <c r="T69" i="2"/>
  <c r="H107" i="2"/>
  <c r="AU55" i="2"/>
  <c r="BL7" i="2"/>
  <c r="AM33" i="2"/>
  <c r="AI59" i="2"/>
  <c r="AC92" i="2"/>
  <c r="M125" i="2"/>
  <c r="AK5" i="2"/>
  <c r="P25" i="2"/>
  <c r="AB44" i="2"/>
  <c r="AX72" i="2"/>
  <c r="X97" i="2"/>
  <c r="AE153" i="2"/>
  <c r="N9" i="2"/>
  <c r="S29" i="2"/>
  <c r="M47" i="2"/>
  <c r="I76" i="2"/>
  <c r="AF99" i="2"/>
  <c r="V160" i="2"/>
  <c r="AH11" i="2"/>
  <c r="BE30" i="2"/>
  <c r="AW56" i="2"/>
  <c r="R79" i="3"/>
  <c r="R79" i="2" s="1"/>
  <c r="R80" i="2"/>
  <c r="BD109" i="2"/>
  <c r="AG157" i="2"/>
  <c r="BM105" i="2"/>
  <c r="AS136" i="2"/>
  <c r="AF102" i="2"/>
  <c r="K133" i="2"/>
  <c r="V110" i="2"/>
  <c r="AQ149" i="2"/>
  <c r="T94" i="2"/>
  <c r="BD120" i="2"/>
  <c r="W174" i="2"/>
  <c r="AS14" i="2"/>
  <c r="AX27" i="2"/>
  <c r="AI47" i="2"/>
  <c r="AV64" i="2"/>
  <c r="BG88" i="2"/>
  <c r="BK107" i="2"/>
  <c r="AT138" i="2"/>
  <c r="AX185" i="2"/>
  <c r="AN16" i="2"/>
  <c r="AF30" i="2"/>
  <c r="BB49" i="2"/>
  <c r="BJ65" i="2"/>
  <c r="AA89" i="2"/>
  <c r="AT113" i="2"/>
  <c r="AU138" i="2"/>
  <c r="AB191" i="2"/>
  <c r="AD15" i="2"/>
  <c r="BH31" i="2"/>
  <c r="AN46" i="2"/>
  <c r="AT67" i="2"/>
  <c r="AN86" i="2"/>
  <c r="BM107" i="2"/>
  <c r="G130" i="2"/>
  <c r="AB175" i="2"/>
  <c r="W11" i="2"/>
  <c r="BB26" i="2"/>
  <c r="AT45" i="2"/>
  <c r="AH62" i="2"/>
  <c r="AY87" i="2"/>
  <c r="T106" i="2"/>
  <c r="AM135" i="2"/>
  <c r="N174" i="2"/>
  <c r="AI11" i="2"/>
  <c r="AD20" i="2"/>
  <c r="AY34" i="2"/>
  <c r="P47" i="2"/>
  <c r="AP65" i="2"/>
  <c r="BF81" i="2"/>
  <c r="P99" i="2"/>
  <c r="P117" i="3"/>
  <c r="P117" i="2" s="1"/>
  <c r="P118" i="2"/>
  <c r="BE139" i="2"/>
  <c r="X186" i="2"/>
  <c r="AE12" i="2"/>
  <c r="X25" i="2"/>
  <c r="AT36" i="2"/>
  <c r="AZ53" i="2"/>
  <c r="BI68" i="2"/>
  <c r="BB87" i="2"/>
  <c r="O101" i="2"/>
  <c r="X122" i="2"/>
  <c r="M145" i="2"/>
  <c r="AS186" i="2"/>
  <c r="BJ14" i="2"/>
  <c r="AQ24" i="2"/>
  <c r="BM38" i="2"/>
  <c r="V52" i="2"/>
  <c r="AZ70" i="2"/>
  <c r="AC86" i="2"/>
  <c r="AD104" i="2"/>
  <c r="K121" i="2"/>
  <c r="AD149" i="2"/>
  <c r="AS180" i="2"/>
  <c r="AG12" i="2"/>
  <c r="AP21" i="2"/>
  <c r="X36" i="2"/>
  <c r="W52" i="2"/>
  <c r="AN66" i="2"/>
  <c r="AD86" i="2"/>
  <c r="V100" i="2"/>
  <c r="AV121" i="2"/>
  <c r="AJ143" i="2"/>
  <c r="Q177" i="2"/>
  <c r="T26" i="2"/>
  <c r="AS37" i="2"/>
  <c r="AP47" i="2"/>
  <c r="BK61" i="2"/>
  <c r="S73" i="2"/>
  <c r="AX88" i="2"/>
  <c r="G103" i="2"/>
  <c r="AZ114" i="2"/>
  <c r="X135" i="2"/>
  <c r="N159" i="2"/>
  <c r="K24" i="2"/>
  <c r="U34" i="2"/>
  <c r="BK46" i="2"/>
  <c r="AI58" i="2"/>
  <c r="BI72" i="2"/>
  <c r="Z85" i="2"/>
  <c r="AV99" i="2"/>
  <c r="AB111" i="2"/>
  <c r="AF130" i="2"/>
  <c r="BB157" i="2"/>
  <c r="AZ20" i="2"/>
  <c r="L32" i="2"/>
  <c r="X41" i="3"/>
  <c r="X41" i="2" s="1"/>
  <c r="X42" i="2"/>
  <c r="AI55" i="2"/>
  <c r="BD66" i="2"/>
  <c r="AA82" i="2"/>
  <c r="AU93" i="2"/>
  <c r="AS107" i="2"/>
  <c r="AY121" i="2"/>
  <c r="AX143" i="2"/>
  <c r="BL169" i="2"/>
  <c r="R27" i="2"/>
  <c r="BK38" i="2"/>
  <c r="BJ49" i="2"/>
  <c r="AQ64" i="2"/>
  <c r="AK79" i="3"/>
  <c r="AK79" i="2" s="1"/>
  <c r="AK80" i="2"/>
  <c r="AO92" i="2"/>
  <c r="AT107" i="2"/>
  <c r="O126" i="2"/>
  <c r="BI145" i="2"/>
  <c r="G182" i="2"/>
  <c r="AE60" i="2"/>
  <c r="BI70" i="2"/>
  <c r="AG84" i="2"/>
  <c r="AG96" i="2"/>
  <c r="AV105" i="2"/>
  <c r="BL119" i="2"/>
  <c r="J137" i="2"/>
  <c r="BG158" i="2"/>
  <c r="AG192" i="2"/>
  <c r="BJ58" i="2"/>
  <c r="L68" i="2"/>
  <c r="BI133" i="2"/>
  <c r="BA115" i="2"/>
  <c r="BG162" i="2"/>
  <c r="K174" i="2"/>
  <c r="U138" i="2"/>
  <c r="X189" i="2"/>
  <c r="F143" i="2"/>
  <c r="F18" i="2"/>
  <c r="BI67" i="2"/>
  <c r="AS34" i="2"/>
  <c r="AI66" i="2"/>
  <c r="BI27" i="2"/>
  <c r="AK137" i="2"/>
  <c r="AT172" i="2"/>
  <c r="AW37" i="2"/>
  <c r="I41" i="3"/>
  <c r="I41" i="2" s="1"/>
  <c r="I42" i="2"/>
  <c r="AU47" i="2"/>
  <c r="AM113" i="2"/>
  <c r="AO3" i="3"/>
  <c r="AO3" i="2" s="1"/>
  <c r="AO4" i="2"/>
  <c r="AL61" i="2"/>
  <c r="N75" i="2"/>
  <c r="S12" i="2"/>
  <c r="K159" i="2"/>
  <c r="U20" i="2"/>
  <c r="AC30" i="2"/>
  <c r="AX19" i="2"/>
  <c r="AK183" i="2"/>
  <c r="AS123" i="2"/>
  <c r="BL6" i="2"/>
  <c r="BJ123" i="2"/>
  <c r="Y148" i="2"/>
  <c r="BD17" i="2"/>
  <c r="AC50" i="2"/>
  <c r="AO114" i="2"/>
  <c r="V72" i="2"/>
  <c r="BM161" i="2"/>
  <c r="BA71" i="2"/>
  <c r="R34" i="2"/>
  <c r="W138" i="2"/>
  <c r="BL44" i="2"/>
  <c r="AP9" i="2"/>
  <c r="BI76" i="2"/>
  <c r="AE31" i="2"/>
  <c r="AO106" i="2"/>
  <c r="BG137" i="2"/>
  <c r="AR175" i="2"/>
  <c r="Z89" i="2"/>
  <c r="AE71" i="2"/>
  <c r="G68" i="2"/>
  <c r="M46" i="2"/>
  <c r="AB136" i="2"/>
  <c r="BE20" i="2"/>
  <c r="AK66" i="2"/>
  <c r="AZ117" i="3"/>
  <c r="AZ117" i="2" s="1"/>
  <c r="AZ118" i="2"/>
  <c r="AY12" i="2"/>
  <c r="G54" i="2"/>
  <c r="BD122" i="2"/>
  <c r="Q15" i="2"/>
  <c r="AX52" i="2"/>
  <c r="BJ104" i="2"/>
  <c r="AR181" i="2"/>
  <c r="AV36" i="2"/>
  <c r="BJ86" i="2"/>
  <c r="AF144" i="2"/>
  <c r="BM37" i="2"/>
  <c r="AR76" i="2"/>
  <c r="O115" i="2"/>
  <c r="AO34" i="2"/>
  <c r="BB85" i="2"/>
  <c r="AJ131" i="2"/>
  <c r="AF32" i="2"/>
  <c r="O67" i="2"/>
  <c r="AB108" i="2"/>
  <c r="AV177" i="2"/>
  <c r="Q50" i="2"/>
  <c r="AC108" i="2"/>
  <c r="H192" i="2"/>
  <c r="BA96" i="2"/>
  <c r="AL137" i="2"/>
  <c r="Q59" i="2"/>
  <c r="AC93" i="2"/>
  <c r="AD133" i="2"/>
  <c r="R55" i="2"/>
  <c r="BM98" i="2"/>
  <c r="K143" i="2"/>
  <c r="AM59" i="2"/>
  <c r="U95" i="2"/>
  <c r="AL163" i="2"/>
  <c r="P139" i="2"/>
  <c r="AW120" i="2"/>
  <c r="Q171" i="2"/>
  <c r="K142" i="2"/>
  <c r="W137" i="2"/>
  <c r="AC128" i="2"/>
  <c r="BI172" i="2"/>
  <c r="BC146" i="2"/>
  <c r="AP138" i="2"/>
  <c r="G190" i="2"/>
  <c r="AF163" i="2"/>
  <c r="Z187" i="2"/>
  <c r="AQ143" i="2"/>
  <c r="X149" i="2"/>
  <c r="R190" i="2"/>
  <c r="O181" i="2"/>
  <c r="AQ167" i="2"/>
  <c r="X162" i="2"/>
  <c r="AG152" i="2"/>
  <c r="BF186" i="2"/>
  <c r="BI179" i="2"/>
  <c r="BC183" i="2"/>
  <c r="F40" i="2"/>
  <c r="F16" i="2"/>
  <c r="AA96" i="2"/>
  <c r="AG166" i="2"/>
  <c r="BL52" i="2"/>
  <c r="BH178" i="2"/>
  <c r="M41" i="3"/>
  <c r="M41" i="2" s="1"/>
  <c r="M42" i="2"/>
  <c r="R102" i="2"/>
  <c r="BE68" i="2"/>
  <c r="AT10" i="2"/>
  <c r="H30" i="2"/>
  <c r="N16" i="2"/>
  <c r="BF102" i="2"/>
  <c r="BE49" i="2"/>
  <c r="AM23" i="2"/>
  <c r="BB81" i="2"/>
  <c r="BB46" i="2"/>
  <c r="W67" i="2"/>
  <c r="AD22" i="2"/>
  <c r="U143" i="2"/>
  <c r="M53" i="2"/>
  <c r="BD38" i="2"/>
  <c r="AQ39" i="2"/>
  <c r="AY66" i="2"/>
  <c r="AP69" i="2"/>
  <c r="AM25" i="2"/>
  <c r="AW66" i="2"/>
  <c r="BJ94" i="2"/>
  <c r="AW104" i="2"/>
  <c r="H132" i="2"/>
  <c r="BH73" i="2"/>
  <c r="I163" i="2"/>
  <c r="W72" i="2"/>
  <c r="Q66" i="2"/>
  <c r="BC67" i="2"/>
  <c r="AB26" i="2"/>
  <c r="BB98" i="2"/>
  <c r="X30" i="2"/>
  <c r="BC109" i="2"/>
  <c r="AP32" i="2"/>
  <c r="AE111" i="2"/>
  <c r="R138" i="2"/>
  <c r="AF112" i="2"/>
  <c r="AB131" i="2"/>
  <c r="Q49" i="2"/>
  <c r="AO109" i="2"/>
  <c r="V17" i="2"/>
  <c r="AR72" i="2"/>
  <c r="AA140" i="2"/>
  <c r="BC32" i="2"/>
  <c r="AX87" i="2"/>
  <c r="J179" i="2"/>
  <c r="AO46" i="2"/>
  <c r="AD107" i="2"/>
  <c r="J12" i="2"/>
  <c r="T52" i="2"/>
  <c r="X119" i="2"/>
  <c r="Z13" i="2"/>
  <c r="AI54" i="2"/>
  <c r="P106" i="2"/>
  <c r="L4" i="2"/>
  <c r="L3" i="3"/>
  <c r="L3" i="2" s="1"/>
  <c r="AV39" i="2"/>
  <c r="U105" i="2"/>
  <c r="M4" i="2"/>
  <c r="M3" i="3"/>
  <c r="M3" i="2" s="1"/>
  <c r="J37" i="2"/>
  <c r="AB87" i="2"/>
  <c r="AH179" i="2"/>
  <c r="AT62" i="2"/>
  <c r="BC103" i="2"/>
  <c r="BA161" i="2"/>
  <c r="AQ47" i="2"/>
  <c r="N89" i="2"/>
  <c r="AO132" i="2"/>
  <c r="BL41" i="3"/>
  <c r="BL41" i="2" s="1"/>
  <c r="BL42" i="2"/>
  <c r="I83" i="2"/>
  <c r="N126" i="2"/>
  <c r="BF27" i="2"/>
  <c r="BB65" i="2"/>
  <c r="BE108" i="2"/>
  <c r="Z61" i="2"/>
  <c r="H97" i="2"/>
  <c r="AI138" i="2"/>
  <c r="AK59" i="2"/>
  <c r="AW93" i="2"/>
  <c r="O151" i="2"/>
  <c r="BA76" i="2"/>
  <c r="T111" i="2"/>
  <c r="AA170" i="2"/>
  <c r="BG71" i="2"/>
  <c r="AJ108" i="2"/>
  <c r="J164" i="2"/>
  <c r="V162" i="2"/>
  <c r="AT134" i="2"/>
  <c r="AB116" i="2"/>
  <c r="K184" i="2"/>
  <c r="AY151" i="2"/>
  <c r="S138" i="2"/>
  <c r="K188" i="2"/>
  <c r="T161" i="2"/>
  <c r="Z150" i="2"/>
  <c r="AU145" i="2"/>
  <c r="AJ170" i="2"/>
  <c r="Y176" i="2"/>
  <c r="AU174" i="2"/>
  <c r="AW190" i="2"/>
  <c r="AL181" i="2"/>
  <c r="X168" i="2"/>
  <c r="AR162" i="2"/>
  <c r="BA152" i="2"/>
  <c r="Q187" i="2"/>
  <c r="P180" i="2"/>
  <c r="J184" i="2"/>
  <c r="F111" i="2"/>
  <c r="F8" i="2"/>
  <c r="BE14" i="2"/>
  <c r="AS92" i="2"/>
  <c r="AP89" i="2"/>
  <c r="AP45" i="2"/>
  <c r="BL176" i="2"/>
  <c r="O12" i="2"/>
  <c r="BI71" i="2"/>
  <c r="AM44" i="2"/>
  <c r="T54" i="2"/>
  <c r="AZ62" i="2"/>
  <c r="AF15" i="2"/>
  <c r="M139" i="2"/>
  <c r="BE32" i="2"/>
  <c r="AN160" i="2"/>
  <c r="AI34" i="2"/>
  <c r="BG11" i="2"/>
  <c r="AF154" i="2"/>
  <c r="AY156" i="2"/>
  <c r="AY155" i="3"/>
  <c r="AY155" i="2" s="1"/>
  <c r="BE56" i="2"/>
  <c r="R48" i="2"/>
  <c r="X40" i="2"/>
  <c r="AN69" i="2"/>
  <c r="AH70" i="2"/>
  <c r="K30" i="2"/>
  <c r="AE69" i="2"/>
  <c r="N102" i="2"/>
  <c r="AI105" i="2"/>
  <c r="P5" i="2"/>
  <c r="AI74" i="2"/>
  <c r="AV173" i="2"/>
  <c r="BI73" i="2"/>
  <c r="T68" i="2"/>
  <c r="W68" i="2"/>
  <c r="X7" i="2"/>
  <c r="AE75" i="2"/>
  <c r="AG11" i="2"/>
  <c r="BA78" i="2"/>
  <c r="AR16" i="2"/>
  <c r="L82" i="2"/>
  <c r="AU108" i="2"/>
  <c r="BI154" i="2"/>
  <c r="AU97" i="2"/>
  <c r="O16" i="2"/>
  <c r="BA49" i="2"/>
  <c r="H110" i="2"/>
  <c r="Z6" i="2"/>
  <c r="T51" i="2"/>
  <c r="I92" i="2"/>
  <c r="AG141" i="2"/>
  <c r="AO16" i="2"/>
  <c r="G48" i="2"/>
  <c r="J110" i="2"/>
  <c r="AE15" i="2"/>
  <c r="BG64" i="2"/>
  <c r="BK137" i="2"/>
  <c r="AO24" i="2"/>
  <c r="BL67" i="2"/>
  <c r="AK120" i="2"/>
  <c r="AT13" i="2"/>
  <c r="S74" i="2"/>
  <c r="BB124" i="2"/>
  <c r="BE15" i="2"/>
  <c r="AP72" i="2"/>
  <c r="Z153" i="2"/>
  <c r="J26" i="2"/>
  <c r="BA101" i="2"/>
  <c r="AT180" i="2"/>
  <c r="AW51" i="2"/>
  <c r="J116" i="2"/>
  <c r="Z25" i="2"/>
  <c r="AU62" i="2"/>
  <c r="AR115" i="2"/>
  <c r="G33" i="2"/>
  <c r="Z68" i="2"/>
  <c r="O109" i="2"/>
  <c r="M28" i="2"/>
  <c r="I66" i="2"/>
  <c r="BI127" i="2"/>
  <c r="AB85" i="2"/>
  <c r="BE47" i="2"/>
  <c r="Y183" i="2"/>
  <c r="BL50" i="2"/>
  <c r="AE85" i="2"/>
  <c r="T124" i="2"/>
  <c r="AJ114" i="2"/>
  <c r="U187" i="2"/>
  <c r="BD153" i="2"/>
  <c r="X131" i="2"/>
  <c r="BG191" i="2"/>
  <c r="H158" i="2"/>
  <c r="BH153" i="2"/>
  <c r="BM133" i="2"/>
  <c r="S181" i="2"/>
  <c r="AI170" i="2"/>
  <c r="AG146" i="2"/>
  <c r="M179" i="2"/>
  <c r="W162" i="2"/>
  <c r="T153" i="2"/>
  <c r="BI144" i="2"/>
  <c r="M185" i="2"/>
  <c r="AV183" i="2"/>
  <c r="BL174" i="2"/>
  <c r="Y166" i="2"/>
  <c r="K157" i="2"/>
  <c r="AD184" i="2"/>
  <c r="F55" i="2"/>
  <c r="F115" i="2"/>
  <c r="AV12" i="2"/>
  <c r="Y112" i="2"/>
  <c r="BM43" i="2"/>
  <c r="BI48" i="2"/>
  <c r="P9" i="2"/>
  <c r="G14" i="2"/>
  <c r="W146" i="2"/>
  <c r="Y156" i="2"/>
  <c r="Y155" i="3"/>
  <c r="Y155" i="2" s="1"/>
  <c r="AK126" i="2"/>
  <c r="BF136" i="2"/>
  <c r="AH15" i="2"/>
  <c r="AN73" i="2"/>
  <c r="AP86" i="2"/>
  <c r="AS35" i="2"/>
  <c r="AV15" i="2"/>
  <c r="AW156" i="2"/>
  <c r="AW155" i="3"/>
  <c r="AW155" i="2" s="1"/>
  <c r="BD158" i="2"/>
  <c r="AY57" i="2"/>
  <c r="BK53" i="2"/>
  <c r="AJ43" i="2"/>
  <c r="V79" i="3"/>
  <c r="V79" i="2" s="1"/>
  <c r="V80" i="2"/>
  <c r="M82" i="2"/>
  <c r="AT31" i="2"/>
  <c r="BL72" i="2"/>
  <c r="X24" i="2"/>
  <c r="M187" i="2"/>
  <c r="AT22" i="2"/>
  <c r="AN115" i="2"/>
  <c r="AT20" i="2"/>
  <c r="AI111" i="2"/>
  <c r="BC14" i="2"/>
  <c r="AK96" i="2"/>
  <c r="AT28" i="2"/>
  <c r="W100" i="2"/>
  <c r="X55" i="2"/>
  <c r="BE168" i="2"/>
  <c r="AX60" i="2"/>
  <c r="BD166" i="2"/>
  <c r="AM105" i="2"/>
  <c r="AO170" i="2"/>
  <c r="AM16" i="2"/>
  <c r="H92" i="2"/>
  <c r="AX6" i="2"/>
  <c r="BL51" i="2"/>
  <c r="AD116" i="2"/>
  <c r="BM16" i="2"/>
  <c r="BB69" i="2"/>
  <c r="I183" i="2"/>
  <c r="AO47" i="2"/>
  <c r="AR109" i="2"/>
  <c r="AX12" i="2"/>
  <c r="O53" i="2"/>
  <c r="AO121" i="2"/>
  <c r="U14" i="2"/>
  <c r="AC56" i="2"/>
  <c r="J107" i="2"/>
  <c r="AZ3" i="3"/>
  <c r="AZ3" i="2" s="1"/>
  <c r="AZ4" i="2"/>
  <c r="H54" i="2"/>
  <c r="Q106" i="2"/>
  <c r="BA3" i="3"/>
  <c r="BA3" i="2" s="1"/>
  <c r="BA4" i="2"/>
  <c r="BF37" i="2"/>
  <c r="S88" i="2"/>
  <c r="AD153" i="2"/>
  <c r="H52" i="2"/>
  <c r="Q90" i="2"/>
  <c r="L138" i="2"/>
  <c r="AW48" i="2"/>
  <c r="BJ89" i="2"/>
  <c r="AV133" i="2"/>
  <c r="AM43" i="2"/>
  <c r="BE83" i="2"/>
  <c r="V127" i="2"/>
  <c r="AG28" i="2"/>
  <c r="AG66" i="2"/>
  <c r="AN109" i="2"/>
  <c r="AY48" i="2"/>
  <c r="AV97" i="2"/>
  <c r="AL140" i="2"/>
  <c r="L60" i="2"/>
  <c r="AR106" i="2"/>
  <c r="Y159" i="2"/>
  <c r="M68" i="2"/>
  <c r="AS102" i="2"/>
  <c r="BJ149" i="2"/>
  <c r="S63" i="2"/>
  <c r="U99" i="2"/>
  <c r="L143" i="2"/>
  <c r="BD128" i="2"/>
  <c r="AW188" i="2"/>
  <c r="S154" i="2"/>
  <c r="AU131" i="2"/>
  <c r="AJ123" i="2"/>
  <c r="X177" i="2"/>
  <c r="O154" i="2"/>
  <c r="T134" i="2"/>
  <c r="BD181" i="2"/>
  <c r="AF171" i="2"/>
  <c r="BE146" i="2"/>
  <c r="BE188" i="2"/>
  <c r="AC145" i="2"/>
  <c r="AN140" i="2"/>
  <c r="AW179" i="2"/>
  <c r="AI171" i="2"/>
  <c r="T172" i="2"/>
  <c r="AW165" i="2"/>
  <c r="J157" i="2"/>
  <c r="AE157" i="2"/>
  <c r="AX184" i="2"/>
  <c r="F100" i="2"/>
  <c r="F114" i="2"/>
  <c r="I25" i="2"/>
  <c r="AV117" i="3"/>
  <c r="AV117" i="2" s="1"/>
  <c r="AV118" i="2"/>
  <c r="AF87" i="2"/>
  <c r="AH63" i="2"/>
  <c r="AR51" i="2"/>
  <c r="R17" i="2"/>
  <c r="AM3" i="3"/>
  <c r="AM3" i="2" s="1"/>
  <c r="AM4" i="2"/>
  <c r="BK168" i="2"/>
  <c r="AV24" i="2"/>
  <c r="BE140" i="2"/>
  <c r="AC16" i="2"/>
  <c r="AV88" i="2"/>
  <c r="BD140" i="2"/>
  <c r="Y64" i="2"/>
  <c r="J17" i="2"/>
  <c r="L102" i="2"/>
  <c r="V4" i="2"/>
  <c r="V3" i="3"/>
  <c r="V3" i="2" s="1"/>
  <c r="BL111" i="2"/>
  <c r="BI24" i="2"/>
  <c r="S34" i="2"/>
  <c r="AU16" i="2"/>
  <c r="AY112" i="2"/>
  <c r="R78" i="2"/>
  <c r="AP108" i="2"/>
  <c r="AY107" i="2"/>
  <c r="K6" i="2"/>
  <c r="X76" i="2"/>
  <c r="AV3" i="3"/>
  <c r="AV3" i="2" s="1"/>
  <c r="AV4" i="2"/>
  <c r="AQ112" i="2"/>
  <c r="BE36" i="2"/>
  <c r="BH47" i="2"/>
  <c r="Q34" i="2"/>
  <c r="AF93" i="2"/>
  <c r="G154" i="2"/>
  <c r="O39" i="2"/>
  <c r="AH78" i="2"/>
  <c r="AG117" i="3"/>
  <c r="AG117" i="2" s="1"/>
  <c r="AG118" i="2"/>
  <c r="U26" i="2"/>
  <c r="J75" i="2"/>
  <c r="AQ116" i="2"/>
  <c r="AP22" i="2"/>
  <c r="BE57" i="2"/>
  <c r="O98" i="2"/>
  <c r="K147" i="2"/>
  <c r="AG40" i="2"/>
  <c r="AZ82" i="2"/>
  <c r="BL128" i="2"/>
  <c r="AO62" i="2"/>
  <c r="W98" i="2"/>
  <c r="AL141" i="2"/>
  <c r="AF60" i="2"/>
  <c r="BL106" i="2"/>
  <c r="BJ160" i="2"/>
  <c r="AG68" i="2"/>
  <c r="BM102" i="2"/>
  <c r="AI150" i="2"/>
  <c r="AM63" i="2"/>
  <c r="AO99" i="2"/>
  <c r="AV143" i="2"/>
  <c r="L129" i="2"/>
  <c r="BC163" i="2"/>
  <c r="P136" i="2"/>
  <c r="I174" i="2"/>
  <c r="AG132" i="2"/>
  <c r="X113" i="2"/>
  <c r="BG138" i="2"/>
  <c r="AK178" i="2"/>
  <c r="BM141" i="2"/>
  <c r="BB174" i="2"/>
  <c r="AN134" i="2"/>
  <c r="V182" i="2"/>
  <c r="AE172" i="2"/>
  <c r="O147" i="2"/>
  <c r="AY171" i="2"/>
  <c r="AR177" i="2"/>
  <c r="BM175" i="2"/>
  <c r="L166" i="2"/>
  <c r="BM157" i="2"/>
  <c r="G143" i="2"/>
  <c r="AF184" i="2"/>
  <c r="AM175" i="2"/>
  <c r="BM166" i="2"/>
  <c r="AY157" i="2"/>
  <c r="AI191" i="2"/>
  <c r="F34" i="2"/>
  <c r="F164" i="2"/>
  <c r="BE52" i="2"/>
  <c r="BG84" i="2"/>
  <c r="H55" i="2"/>
  <c r="BJ57" i="2"/>
  <c r="BM77" i="2"/>
  <c r="AL30" i="2"/>
  <c r="U94" i="2"/>
  <c r="AZ49" i="2"/>
  <c r="BM76" i="2"/>
  <c r="BE172" i="2"/>
  <c r="AK28" i="2"/>
  <c r="BM168" i="2"/>
  <c r="L90" i="2"/>
  <c r="AS60" i="2"/>
  <c r="AE92" i="2"/>
  <c r="O105" i="2"/>
  <c r="AB121" i="2"/>
  <c r="BM4" i="2"/>
  <c r="BM3" i="3"/>
  <c r="BM3" i="2" s="1"/>
  <c r="L114" i="2"/>
  <c r="Z148" i="2"/>
  <c r="M10" i="2"/>
  <c r="BB42" i="2"/>
  <c r="BB41" i="3"/>
  <c r="BB41" i="2" s="1"/>
  <c r="W116" i="2"/>
  <c r="AP141" i="2"/>
  <c r="L21" i="2"/>
  <c r="AX67" i="2"/>
  <c r="AE49" i="2"/>
  <c r="AU51" i="2"/>
  <c r="H27" i="2"/>
  <c r="AD113" i="2"/>
  <c r="BJ15" i="2"/>
  <c r="Q98" i="2"/>
  <c r="BB29" i="2"/>
  <c r="AJ110" i="2"/>
  <c r="K33" i="2"/>
  <c r="H114" i="2"/>
  <c r="BE34" i="2"/>
  <c r="L117" i="3"/>
  <c r="L117" i="2" s="1"/>
  <c r="L118" i="2"/>
  <c r="AV155" i="3"/>
  <c r="AV155" i="2" s="1"/>
  <c r="AV156" i="2"/>
  <c r="AI116" i="2"/>
  <c r="H135" i="2"/>
  <c r="AJ34" i="2"/>
  <c r="H119" i="2"/>
  <c r="M19" i="2"/>
  <c r="AT74" i="2"/>
  <c r="AZ153" i="2"/>
  <c r="AL34" i="2"/>
  <c r="AI94" i="2"/>
  <c r="AJ188" i="2"/>
  <c r="BD48" i="2"/>
  <c r="BI115" i="2"/>
  <c r="AS13" i="2"/>
  <c r="AH54" i="2"/>
  <c r="G102" i="2"/>
  <c r="AY3" i="3"/>
  <c r="AY3" i="2" s="1"/>
  <c r="AY4" i="2"/>
  <c r="AG43" i="2"/>
  <c r="AK108" i="2"/>
  <c r="AZ16" i="2"/>
  <c r="L59" i="2"/>
  <c r="K107" i="2"/>
  <c r="AB5" i="2"/>
  <c r="AL38" i="2"/>
  <c r="R89" i="2"/>
  <c r="I155" i="3"/>
  <c r="I155" i="2" s="1"/>
  <c r="I156" i="2"/>
  <c r="BH52" i="2"/>
  <c r="AA91" i="2"/>
  <c r="Z139" i="2"/>
  <c r="BI38" i="2"/>
  <c r="AH75" i="2"/>
  <c r="AH117" i="3"/>
  <c r="AH117" i="2" s="1"/>
  <c r="AH118" i="2"/>
  <c r="G25" i="2"/>
  <c r="L58" i="2"/>
  <c r="AM98" i="2"/>
  <c r="BC147" i="2"/>
  <c r="BA40" i="2"/>
  <c r="P98" i="2"/>
  <c r="AO158" i="2"/>
  <c r="BD75" i="2"/>
  <c r="AQ110" i="2"/>
  <c r="V170" i="2"/>
  <c r="S83" i="2"/>
  <c r="AD117" i="3"/>
  <c r="AD117" i="2" s="1"/>
  <c r="AD118" i="2"/>
  <c r="AP186" i="2"/>
  <c r="W78" i="2"/>
  <c r="AI112" i="2"/>
  <c r="BB173" i="2"/>
  <c r="I73" i="2"/>
  <c r="AY109" i="2"/>
  <c r="AZ167" i="2"/>
  <c r="T141" i="2"/>
  <c r="AM122" i="2"/>
  <c r="AV174" i="2"/>
  <c r="BB144" i="2"/>
  <c r="W139" i="2"/>
  <c r="S130" i="2"/>
  <c r="P175" i="2"/>
  <c r="AW148" i="2"/>
  <c r="U140" i="2"/>
  <c r="L124" i="2"/>
  <c r="BA165" i="2"/>
  <c r="AF190" i="2"/>
  <c r="M146" i="2"/>
  <c r="O141" i="2"/>
  <c r="AD180" i="2"/>
  <c r="AY186" i="2"/>
  <c r="X173" i="2"/>
  <c r="AR166" i="2"/>
  <c r="AX157" i="2"/>
  <c r="T192" i="2"/>
  <c r="BF191" i="2"/>
  <c r="F180" i="2"/>
  <c r="BK57" i="2"/>
  <c r="AO89" i="2"/>
  <c r="AT144" i="2"/>
  <c r="AX129" i="2"/>
  <c r="AF31" i="2"/>
  <c r="AG15" i="2"/>
  <c r="AK82" i="2"/>
  <c r="BA182" i="2"/>
  <c r="L63" i="2"/>
  <c r="AD95" i="2"/>
  <c r="T64" i="2"/>
  <c r="BK81" i="2"/>
  <c r="Q189" i="2"/>
  <c r="H31" i="2"/>
  <c r="L30" i="2"/>
  <c r="AK12" i="2"/>
  <c r="N85" i="2"/>
  <c r="W12" i="2"/>
  <c r="X4" i="2"/>
  <c r="X3" i="3"/>
  <c r="X3" i="2" s="1"/>
  <c r="AX7" i="2"/>
  <c r="AT52" i="2"/>
  <c r="BD5" i="2"/>
  <c r="AU114" i="2"/>
  <c r="BB38" i="2"/>
  <c r="V13" i="2"/>
  <c r="X111" i="2"/>
  <c r="AT58" i="2"/>
  <c r="BL18" i="2"/>
  <c r="V119" i="2"/>
  <c r="U108" i="2"/>
  <c r="BE101" i="2"/>
  <c r="AE35" i="2"/>
  <c r="AZ119" i="2"/>
  <c r="BG37" i="2"/>
  <c r="BE119" i="2"/>
  <c r="AG35" i="2"/>
  <c r="AB112" i="2"/>
  <c r="K34" i="2"/>
  <c r="AF116" i="2"/>
  <c r="G26" i="2"/>
  <c r="AR88" i="2"/>
  <c r="Z5" i="2"/>
  <c r="BA57" i="2"/>
  <c r="AT128" i="2"/>
  <c r="AS30" i="2"/>
  <c r="Z93" i="2"/>
  <c r="AV5" i="2"/>
  <c r="AI56" i="2"/>
  <c r="AD127" i="2"/>
  <c r="BC39" i="2"/>
  <c r="BA94" i="2"/>
  <c r="BI26" i="2"/>
  <c r="BJ75" i="2"/>
  <c r="AA25" i="2"/>
  <c r="BJ72" i="2"/>
  <c r="BK128" i="2"/>
  <c r="Y41" i="3"/>
  <c r="Y41" i="2" s="1"/>
  <c r="Y42" i="2"/>
  <c r="AN98" i="2"/>
  <c r="AY52" i="2"/>
  <c r="BK98" i="2"/>
  <c r="AU171" i="2"/>
  <c r="X86" i="2"/>
  <c r="S136" i="2"/>
  <c r="H69" i="2"/>
  <c r="AN103" i="2"/>
  <c r="G181" i="2"/>
  <c r="U87" i="2"/>
  <c r="BD144" i="2"/>
  <c r="R145" i="2"/>
  <c r="BL136" i="2"/>
  <c r="N133" i="2"/>
  <c r="M128" i="2"/>
  <c r="H186" i="2"/>
  <c r="AW175" i="2"/>
  <c r="J149" i="2"/>
  <c r="Q158" i="2"/>
  <c r="AW151" i="2"/>
  <c r="AO191" i="2"/>
  <c r="X164" i="2"/>
  <c r="H170" i="2"/>
  <c r="AP172" i="2"/>
  <c r="AU173" i="2"/>
  <c r="BL178" i="2"/>
  <c r="AN179" i="2"/>
  <c r="BI184" i="2"/>
  <c r="F15" i="2"/>
  <c r="F173" i="2"/>
  <c r="G76" i="2"/>
  <c r="AX117" i="3"/>
  <c r="AX117" i="2" s="1"/>
  <c r="AX118" i="2"/>
  <c r="BD16" i="2"/>
  <c r="AJ62" i="2"/>
  <c r="AP37" i="2"/>
  <c r="AS31" i="2"/>
  <c r="AU70" i="2"/>
  <c r="BL33" i="2"/>
  <c r="T16" i="2"/>
  <c r="Y36" i="2"/>
  <c r="AQ51" i="2"/>
  <c r="AH98" i="2"/>
  <c r="AC17" i="2"/>
  <c r="X43" i="2"/>
  <c r="AX86" i="2"/>
  <c r="L108" i="2"/>
  <c r="AY131" i="2"/>
  <c r="Q28" i="2"/>
  <c r="BK31" i="2"/>
  <c r="K70" i="2"/>
  <c r="BH174" i="2"/>
  <c r="P103" i="2"/>
  <c r="N140" i="2"/>
  <c r="H15" i="2"/>
  <c r="AY5" i="2"/>
  <c r="BJ8" i="2"/>
  <c r="AI53" i="2"/>
  <c r="L6" i="2"/>
  <c r="AO115" i="2"/>
  <c r="AE39" i="2"/>
  <c r="BB13" i="2"/>
  <c r="G112" i="2"/>
  <c r="AC59" i="2"/>
  <c r="AA19" i="2"/>
  <c r="L120" i="2"/>
  <c r="AT109" i="2"/>
  <c r="BC107" i="2"/>
  <c r="AH36" i="2"/>
  <c r="P150" i="2"/>
  <c r="BM75" i="2"/>
  <c r="J7" i="2"/>
  <c r="AS72" i="2"/>
  <c r="AB6" i="2"/>
  <c r="N73" i="2"/>
  <c r="Y5" i="2"/>
  <c r="BM55" i="2"/>
  <c r="AP124" i="2"/>
  <c r="T44" i="2"/>
  <c r="AF109" i="2"/>
  <c r="AA17" i="2"/>
  <c r="W75" i="2"/>
  <c r="AG160" i="2"/>
  <c r="AI43" i="2"/>
  <c r="G108" i="2"/>
  <c r="O31" i="2"/>
  <c r="BF79" i="3"/>
  <c r="BF79" i="2" s="1"/>
  <c r="BF80" i="2"/>
  <c r="AF140" i="2"/>
  <c r="O50" i="2"/>
  <c r="J106" i="2"/>
  <c r="AU25" i="2"/>
  <c r="U73" i="2"/>
  <c r="W129" i="2"/>
  <c r="AG32" i="2"/>
  <c r="BJ83" i="2"/>
  <c r="BK161" i="2"/>
  <c r="AV89" i="2"/>
  <c r="I144" i="2"/>
  <c r="AA73" i="2"/>
  <c r="N122" i="2"/>
  <c r="AB57" i="2"/>
  <c r="BH103" i="2"/>
  <c r="BM181" i="2"/>
  <c r="AO87" i="2"/>
  <c r="AE145" i="2"/>
  <c r="AL165" i="2"/>
  <c r="AK158" i="2"/>
  <c r="AM150" i="2"/>
  <c r="J140" i="2"/>
  <c r="S161" i="2"/>
  <c r="AK149" i="2"/>
  <c r="AX158" i="2"/>
  <c r="K152" i="2"/>
  <c r="I192" i="2"/>
  <c r="BA164" i="2"/>
  <c r="AE170" i="2"/>
  <c r="BM172" i="2"/>
  <c r="AC174" i="2"/>
  <c r="S179" i="2"/>
  <c r="BH179" i="2"/>
  <c r="P185" i="2"/>
  <c r="F108" i="2"/>
  <c r="F93" i="2"/>
  <c r="M159" i="2"/>
  <c r="AD174" i="2"/>
  <c r="AC52" i="2"/>
  <c r="BA103" i="2"/>
  <c r="U45" i="2"/>
  <c r="AY37" i="2"/>
  <c r="Z47" i="2"/>
  <c r="BD82" i="2"/>
  <c r="N74" i="2"/>
  <c r="R10" i="2"/>
  <c r="S6" i="2"/>
  <c r="AW44" i="2"/>
  <c r="L109" i="2"/>
  <c r="AA60" i="2"/>
  <c r="H62" i="2"/>
  <c r="AP56" i="2"/>
  <c r="BL15" i="2"/>
  <c r="L100" i="2"/>
  <c r="BH21" i="2"/>
  <c r="O6" i="2"/>
  <c r="BJ9" i="2"/>
  <c r="K54" i="2"/>
  <c r="AU6" i="2"/>
  <c r="BB116" i="2"/>
  <c r="K47" i="2"/>
  <c r="N14" i="2"/>
  <c r="J117" i="3"/>
  <c r="J117" i="2" s="1"/>
  <c r="J118" i="2"/>
  <c r="AW60" i="2"/>
  <c r="BG19" i="2"/>
  <c r="K125" i="2"/>
  <c r="U110" i="2"/>
  <c r="W108" i="2"/>
  <c r="AO53" i="2"/>
  <c r="AB151" i="2"/>
  <c r="N59" i="2"/>
  <c r="BK157" i="2"/>
  <c r="U55" i="2"/>
  <c r="T147" i="2"/>
  <c r="S50" i="2"/>
  <c r="N143" i="2"/>
  <c r="BC26" i="2"/>
  <c r="AQ89" i="2"/>
  <c r="AK159" i="2"/>
  <c r="AR44" i="2"/>
  <c r="BH109" i="2"/>
  <c r="AU17" i="2"/>
  <c r="AY75" i="2"/>
  <c r="R168" i="2"/>
  <c r="BK43" i="2"/>
  <c r="AM108" i="2"/>
  <c r="AI31" i="2"/>
  <c r="Q81" i="2"/>
  <c r="L141" i="2"/>
  <c r="AM50" i="2"/>
  <c r="AH106" i="2"/>
  <c r="V26" i="2"/>
  <c r="AS73" i="2"/>
  <c r="AG130" i="2"/>
  <c r="BM41" i="3"/>
  <c r="BM41" i="2" s="1"/>
  <c r="BM42" i="2"/>
  <c r="AX99" i="2"/>
  <c r="AT53" i="2"/>
  <c r="AL99" i="2"/>
  <c r="AZ173" i="2"/>
  <c r="N96" i="2"/>
  <c r="AI163" i="2"/>
  <c r="BM82" i="2"/>
  <c r="BA130" i="2"/>
  <c r="BB64" i="2"/>
  <c r="BG113" i="2"/>
  <c r="AT116" i="2"/>
  <c r="V113" i="2"/>
  <c r="AG183" i="2"/>
  <c r="L169" i="2"/>
  <c r="X161" i="2"/>
  <c r="AT161" i="2"/>
  <c r="BL149" i="2"/>
  <c r="G159" i="2"/>
  <c r="AR152" i="2"/>
  <c r="BA192" i="2"/>
  <c r="Q165" i="2"/>
  <c r="BB170" i="2"/>
  <c r="W173" i="2"/>
  <c r="AZ174" i="2"/>
  <c r="AM167" i="2"/>
  <c r="BM170" i="2"/>
  <c r="AJ172" i="2"/>
  <c r="AY187" i="2"/>
  <c r="F101" i="2"/>
  <c r="BL101" i="2"/>
  <c r="AH82" i="2"/>
  <c r="BH9" i="2"/>
  <c r="AC19" i="2"/>
  <c r="Q46" i="2"/>
  <c r="BG172" i="2"/>
  <c r="R77" i="2"/>
  <c r="L45" i="2"/>
  <c r="T36" i="2"/>
  <c r="V61" i="2"/>
  <c r="J111" i="2"/>
  <c r="T89" i="2"/>
  <c r="AS117" i="3"/>
  <c r="AS117" i="2" s="1"/>
  <c r="AS118" i="2"/>
  <c r="N110" i="2"/>
  <c r="AW63" i="2"/>
  <c r="AH33" i="2"/>
  <c r="G109" i="2"/>
  <c r="BA6" i="2"/>
  <c r="N17" i="2"/>
  <c r="AA101" i="2"/>
  <c r="BL81" i="2"/>
  <c r="BM96" i="2"/>
  <c r="BM6" i="2"/>
  <c r="BL115" i="2"/>
  <c r="BK8" i="2"/>
  <c r="O91" i="2"/>
  <c r="U7" i="2"/>
  <c r="BG89" i="2"/>
  <c r="AB133" i="2"/>
  <c r="AK74" i="2"/>
  <c r="BM31" i="2"/>
  <c r="T119" i="2"/>
  <c r="BI39" i="2"/>
  <c r="R128" i="2"/>
  <c r="AN41" i="3"/>
  <c r="AN41" i="2" s="1"/>
  <c r="AN42" i="2"/>
  <c r="G126" i="2"/>
  <c r="AT165" i="2"/>
  <c r="AA131" i="2"/>
  <c r="AZ109" i="2"/>
  <c r="L19" i="2"/>
  <c r="BH75" i="2"/>
  <c r="BJ164" i="2"/>
  <c r="M39" i="2"/>
  <c r="AR77" i="2"/>
  <c r="AH122" i="2"/>
  <c r="AR22" i="2"/>
  <c r="AW78" i="2"/>
  <c r="N148" i="2"/>
  <c r="AK36" i="2"/>
  <c r="AJ94" i="2"/>
  <c r="BM5" i="2"/>
  <c r="N27" i="2"/>
  <c r="BH56" i="2"/>
  <c r="AK107" i="2"/>
  <c r="BI18" i="2"/>
  <c r="W63" i="2"/>
  <c r="AB110" i="2"/>
  <c r="G9" i="2"/>
  <c r="BJ43" i="2"/>
  <c r="AV94" i="2"/>
  <c r="Q169" i="2"/>
  <c r="N29" i="2"/>
  <c r="BG57" i="2"/>
  <c r="AH109" i="2"/>
  <c r="BH22" i="2"/>
  <c r="AX54" i="2"/>
  <c r="BK95" i="2"/>
  <c r="AQ124" i="2"/>
  <c r="AT177" i="2"/>
  <c r="AA54" i="2"/>
  <c r="AM92" i="2"/>
  <c r="BG141" i="2"/>
  <c r="AK35" i="2"/>
  <c r="AB74" i="2"/>
  <c r="Q115" i="2"/>
  <c r="AB21" i="2"/>
  <c r="AH57" i="2"/>
  <c r="I100" i="2"/>
  <c r="AA163" i="2"/>
  <c r="Z77" i="2"/>
  <c r="AQ90" i="2"/>
  <c r="AQ127" i="2"/>
  <c r="AZ52" i="2"/>
  <c r="S87" i="2"/>
  <c r="Y123" i="2"/>
  <c r="BA48" i="2"/>
  <c r="T83" i="2"/>
  <c r="G117" i="3"/>
  <c r="G117" i="2" s="1"/>
  <c r="G118" i="2"/>
  <c r="BM153" i="2"/>
  <c r="I65" i="2"/>
  <c r="I77" i="2"/>
  <c r="V114" i="2"/>
  <c r="AL177" i="2"/>
  <c r="AP146" i="2"/>
  <c r="AT126" i="2"/>
  <c r="I184" i="2"/>
  <c r="J120" i="2"/>
  <c r="AU169" i="2"/>
  <c r="O129" i="2"/>
  <c r="H188" i="2"/>
  <c r="J144" i="2"/>
  <c r="Y177" i="2"/>
  <c r="Y150" i="2"/>
  <c r="U191" i="2"/>
  <c r="BB178" i="2"/>
  <c r="AJ153" i="2"/>
  <c r="AC178" i="2"/>
  <c r="T184" i="2"/>
  <c r="L182" i="2"/>
  <c r="K171" i="2"/>
  <c r="BK162" i="2"/>
  <c r="AA147" i="2"/>
  <c r="BA190" i="2"/>
  <c r="BG179" i="2"/>
  <c r="T171" i="2"/>
  <c r="AT162" i="2"/>
  <c r="AC187" i="2"/>
  <c r="F33" i="2"/>
  <c r="F161" i="2"/>
  <c r="X33" i="2"/>
  <c r="AP96" i="2"/>
  <c r="K9" i="2"/>
  <c r="AU15" i="2"/>
  <c r="AW146" i="2"/>
  <c r="X124" i="2"/>
  <c r="AX50" i="2"/>
  <c r="AF5" i="2"/>
  <c r="AT80" i="2"/>
  <c r="AT79" i="3"/>
  <c r="AT79" i="2" s="1"/>
  <c r="T128" i="2"/>
  <c r="N20" i="2"/>
  <c r="AS80" i="2"/>
  <c r="AS79" i="3"/>
  <c r="AS79" i="2" s="1"/>
  <c r="AI63" i="2"/>
  <c r="AX119" i="2"/>
  <c r="BI46" i="2"/>
  <c r="AU91" i="2"/>
  <c r="F119" i="2"/>
  <c r="F78" i="2"/>
  <c r="F67" i="2"/>
  <c r="F187" i="2"/>
  <c r="F153" i="2"/>
  <c r="F24" i="2"/>
  <c r="AX44" i="2"/>
  <c r="AN114" i="2"/>
  <c r="AT35" i="2"/>
  <c r="BA159" i="2"/>
  <c r="AW108" i="2"/>
  <c r="L154" i="2"/>
  <c r="BF21" i="2"/>
  <c r="BE33" i="2"/>
  <c r="AQ20" i="2"/>
  <c r="AA24" i="2"/>
  <c r="AM14" i="2"/>
  <c r="O25" i="2"/>
  <c r="K154" i="2"/>
  <c r="AC100" i="2"/>
  <c r="U81" i="2"/>
  <c r="AN190" i="2"/>
  <c r="AC32" i="2"/>
  <c r="H58" i="2"/>
  <c r="AD99" i="2"/>
  <c r="J135" i="2"/>
  <c r="T19" i="2"/>
  <c r="AS7" i="2"/>
  <c r="L67" i="2"/>
  <c r="AY21" i="2"/>
  <c r="AN85" i="2"/>
  <c r="AO164" i="2"/>
  <c r="AT105" i="2"/>
  <c r="BD42" i="2"/>
  <c r="BD41" i="3"/>
  <c r="BD41" i="2" s="1"/>
  <c r="AP87" i="2"/>
  <c r="AL21" i="2"/>
  <c r="BC24" i="2"/>
  <c r="J67" i="2"/>
  <c r="X52" i="2"/>
  <c r="AA90" i="2"/>
  <c r="AH27" i="2"/>
  <c r="AC90" i="2"/>
  <c r="AM76" i="2"/>
  <c r="Z55" i="2"/>
  <c r="BB136" i="2"/>
  <c r="AM174" i="2"/>
  <c r="J19" i="2"/>
  <c r="Q12" i="2"/>
  <c r="AZ104" i="2"/>
  <c r="AX125" i="2"/>
  <c r="AT12" i="2"/>
  <c r="BF49" i="2"/>
  <c r="V124" i="2"/>
  <c r="W107" i="2"/>
  <c r="S58" i="2"/>
  <c r="X116" i="2"/>
  <c r="Q78" i="2"/>
  <c r="H50" i="2"/>
  <c r="AF158" i="2"/>
  <c r="W105" i="2"/>
  <c r="Z50" i="2"/>
  <c r="AI14" i="2"/>
  <c r="AR36" i="2"/>
  <c r="AK77" i="2"/>
  <c r="AZ122" i="2"/>
  <c r="AE124" i="2"/>
  <c r="BK96" i="2"/>
  <c r="P68" i="2"/>
  <c r="AI12" i="2"/>
  <c r="AL119" i="2"/>
  <c r="AF107" i="2"/>
  <c r="AQ25" i="2"/>
  <c r="AF127" i="2"/>
  <c r="BB22" i="2"/>
  <c r="AC58" i="2"/>
  <c r="AV104" i="2"/>
  <c r="W185" i="2"/>
  <c r="BE159" i="2"/>
  <c r="AX94" i="2"/>
  <c r="AP39" i="2"/>
  <c r="Z27" i="2"/>
  <c r="BG112" i="2"/>
  <c r="AI77" i="2"/>
  <c r="AJ60" i="2"/>
  <c r="AN9" i="2"/>
  <c r="BC42" i="2"/>
  <c r="BC41" i="3"/>
  <c r="BC41" i="2" s="1"/>
  <c r="AY77" i="2"/>
  <c r="BL131" i="2"/>
  <c r="T15" i="2"/>
  <c r="BE89" i="2"/>
  <c r="AC10" i="2"/>
  <c r="M34" i="2"/>
  <c r="BM57" i="2"/>
  <c r="BF94" i="2"/>
  <c r="AF139" i="2"/>
  <c r="BG73" i="2"/>
  <c r="AW13" i="2"/>
  <c r="BM32" i="2"/>
  <c r="J63" i="2"/>
  <c r="X92" i="2"/>
  <c r="AM145" i="2"/>
  <c r="AI26" i="2"/>
  <c r="R3" i="3"/>
  <c r="R3" i="2" s="1"/>
  <c r="R4" i="2"/>
  <c r="AI21" i="2"/>
  <c r="BD52" i="2"/>
  <c r="BH77" i="2"/>
  <c r="AR112" i="2"/>
  <c r="AI167" i="2"/>
  <c r="AL16" i="2"/>
  <c r="AT38" i="2"/>
  <c r="AB59" i="2"/>
  <c r="BB90" i="2"/>
  <c r="N130" i="2"/>
  <c r="AL5" i="2"/>
  <c r="BB19" i="2"/>
  <c r="AM41" i="3"/>
  <c r="AM41" i="2" s="1"/>
  <c r="AM42" i="2"/>
  <c r="AT64" i="2"/>
  <c r="AB94" i="2"/>
  <c r="AW131" i="2"/>
  <c r="BB7" i="2"/>
  <c r="AI22" i="2"/>
  <c r="AD44" i="2"/>
  <c r="AF73" i="2"/>
  <c r="AY96" i="2"/>
  <c r="G144" i="2"/>
  <c r="O93" i="2"/>
  <c r="J127" i="2"/>
  <c r="O171" i="2"/>
  <c r="BL126" i="2"/>
  <c r="AP178" i="2"/>
  <c r="L140" i="2"/>
  <c r="V84" i="2"/>
  <c r="AK112" i="2"/>
  <c r="AR149" i="2"/>
  <c r="AQ8" i="2"/>
  <c r="AJ24" i="2"/>
  <c r="AX38" i="2"/>
  <c r="U60" i="2"/>
  <c r="G78" i="2"/>
  <c r="BH102" i="2"/>
  <c r="AJ124" i="2"/>
  <c r="AG169" i="2"/>
  <c r="AH10" i="2"/>
  <c r="X26" i="2"/>
  <c r="AQ40" i="2"/>
  <c r="Y61" i="2"/>
  <c r="X79" i="3"/>
  <c r="X79" i="2" s="1"/>
  <c r="X80" i="2"/>
  <c r="AA103" i="2"/>
  <c r="AE131" i="2"/>
  <c r="BK164" i="2"/>
  <c r="AC12" i="2"/>
  <c r="AL24" i="2"/>
  <c r="AA43" i="2"/>
  <c r="AK57" i="2"/>
  <c r="H82" i="2"/>
  <c r="AI99" i="2"/>
  <c r="S123" i="2"/>
  <c r="AO151" i="2"/>
  <c r="V8" i="2"/>
  <c r="AQ19" i="2"/>
  <c r="BI37" i="2"/>
  <c r="AL57" i="2"/>
  <c r="AL76" i="2"/>
  <c r="Z101" i="2"/>
  <c r="BJ121" i="2"/>
  <c r="L161" i="2"/>
  <c r="BH6" i="2"/>
  <c r="T18" i="2"/>
  <c r="AW28" i="2"/>
  <c r="S44" i="2"/>
  <c r="O58" i="2"/>
  <c r="AV76" i="2"/>
  <c r="BJ91" i="2"/>
  <c r="AA109" i="2"/>
  <c r="AH133" i="2"/>
  <c r="J163" i="2"/>
  <c r="U10" i="2"/>
  <c r="BD19" i="2"/>
  <c r="AR33" i="2"/>
  <c r="AH46" i="2"/>
  <c r="AX64" i="2"/>
  <c r="BL79" i="3"/>
  <c r="BL79" i="2" s="1"/>
  <c r="BL80" i="2"/>
  <c r="BM97" i="2"/>
  <c r="AU111" i="2"/>
  <c r="J139" i="2"/>
  <c r="Q168" i="2"/>
  <c r="V10" i="2"/>
  <c r="AO21" i="2"/>
  <c r="U33" i="2"/>
  <c r="J48" i="2"/>
  <c r="X63" i="2"/>
  <c r="BA82" i="2"/>
  <c r="H96" i="2"/>
  <c r="BM114" i="2"/>
  <c r="BE137" i="2"/>
  <c r="I172" i="2"/>
  <c r="BF7" i="2"/>
  <c r="R19" i="2"/>
  <c r="R30" i="2"/>
  <c r="BE45" i="2"/>
  <c r="Y63" i="2"/>
  <c r="BC76" i="2"/>
  <c r="I96" i="2"/>
  <c r="Q111" i="2"/>
  <c r="AA138" i="2"/>
  <c r="AB163" i="2"/>
  <c r="BC23" i="2"/>
  <c r="AX32" i="2"/>
  <c r="G45" i="2"/>
  <c r="BI55" i="2"/>
  <c r="N70" i="2"/>
  <c r="AW82" i="2"/>
  <c r="AG97" i="2"/>
  <c r="AY111" i="2"/>
  <c r="L126" i="2"/>
  <c r="AS150" i="2"/>
  <c r="BL183" i="2"/>
  <c r="AJ31" i="2"/>
  <c r="W41" i="3"/>
  <c r="W41" i="2" s="1"/>
  <c r="W42" i="2"/>
  <c r="AH55" i="2"/>
  <c r="BC66" i="2"/>
  <c r="V82" i="2"/>
  <c r="AT93" i="2"/>
  <c r="AA108" i="2"/>
  <c r="L122" i="2"/>
  <c r="AC144" i="2"/>
  <c r="AB178" i="2"/>
  <c r="AK27" i="2"/>
  <c r="BJ38" i="2"/>
  <c r="AK49" i="2"/>
  <c r="BC63" i="2"/>
  <c r="AI75" i="2"/>
  <c r="AU90" i="2"/>
  <c r="AQ101" i="2"/>
  <c r="AR116" i="2"/>
  <c r="AW133" i="2"/>
  <c r="P163" i="2"/>
  <c r="AQ22" i="2"/>
  <c r="W34" i="2"/>
  <c r="BM46" i="2"/>
  <c r="AK58" i="2"/>
  <c r="AX73" i="2"/>
  <c r="AN89" i="2"/>
  <c r="T101" i="2"/>
  <c r="AJ117" i="3"/>
  <c r="AJ117" i="2" s="1"/>
  <c r="AJ118" i="2"/>
  <c r="AW140" i="2"/>
  <c r="AV166" i="2"/>
  <c r="P55" i="2"/>
  <c r="K68" i="2"/>
  <c r="AO78" i="2"/>
  <c r="AL91" i="2"/>
  <c r="AL103" i="2"/>
  <c r="BA112" i="2"/>
  <c r="BD129" i="2"/>
  <c r="AJ152" i="2"/>
  <c r="AI177" i="2"/>
  <c r="AU53" i="2"/>
  <c r="AU65" i="2"/>
  <c r="Q75" i="2"/>
  <c r="N88" i="2"/>
  <c r="N100" i="2"/>
  <c r="AC109" i="2"/>
  <c r="AS124" i="2"/>
  <c r="AB145" i="2"/>
  <c r="BK166" i="2"/>
  <c r="AV49" i="2"/>
  <c r="AV61" i="2"/>
  <c r="R71" i="2"/>
  <c r="O84" i="2"/>
  <c r="O96" i="2"/>
  <c r="AD105" i="2"/>
  <c r="R119" i="2"/>
  <c r="L137" i="2"/>
  <c r="AU157" i="2"/>
  <c r="BI185" i="2"/>
  <c r="BB56" i="2"/>
  <c r="X66" i="2"/>
  <c r="X78" i="2"/>
  <c r="P92" i="2"/>
  <c r="Z102" i="2"/>
  <c r="BE115" i="2"/>
  <c r="AF133" i="2"/>
  <c r="U149" i="2"/>
  <c r="AL180" i="2"/>
  <c r="BK121" i="2"/>
  <c r="AA132" i="2"/>
  <c r="AI149" i="2"/>
  <c r="H174" i="2"/>
  <c r="AK114" i="2"/>
  <c r="H128" i="2"/>
  <c r="AC143" i="2"/>
  <c r="BD161" i="2"/>
  <c r="AU186" i="2"/>
  <c r="BF123" i="2"/>
  <c r="BF135" i="2"/>
  <c r="W153" i="2"/>
  <c r="W177" i="2"/>
  <c r="BB115" i="2"/>
  <c r="R130" i="2"/>
  <c r="AS146" i="2"/>
  <c r="Z163" i="2"/>
  <c r="BL191" i="2"/>
  <c r="N135" i="2"/>
  <c r="T145" i="2"/>
  <c r="BE163" i="2"/>
  <c r="BB182" i="2"/>
  <c r="BC127" i="2"/>
  <c r="BK139" i="2"/>
  <c r="BM155" i="3"/>
  <c r="BM155" i="2" s="1"/>
  <c r="BM156" i="2"/>
  <c r="AD172" i="2"/>
  <c r="AE132" i="2"/>
  <c r="BD146" i="2"/>
  <c r="BG160" i="2"/>
  <c r="S180" i="2"/>
  <c r="G129" i="2"/>
  <c r="AQ138" i="2"/>
  <c r="AY154" i="2"/>
  <c r="BE174" i="2"/>
  <c r="W191" i="2"/>
  <c r="AL179" i="2"/>
  <c r="AK170" i="2"/>
  <c r="P184" i="2"/>
  <c r="AP185" i="2"/>
  <c r="Z152" i="2"/>
  <c r="W167" i="2"/>
  <c r="BE183" i="2"/>
  <c r="J146" i="2"/>
  <c r="T158" i="2"/>
  <c r="R172" i="2"/>
  <c r="Y186" i="2"/>
  <c r="AR148" i="2"/>
  <c r="AA164" i="2"/>
  <c r="BM177" i="2"/>
  <c r="S190" i="2"/>
  <c r="AS148" i="2"/>
  <c r="AY164" i="2"/>
  <c r="M176" i="2"/>
  <c r="O192" i="2"/>
  <c r="AM159" i="2"/>
  <c r="BB168" i="2"/>
  <c r="BB180" i="2"/>
  <c r="AV149" i="2"/>
  <c r="O160" i="2"/>
  <c r="O172" i="2"/>
  <c r="R184" i="2"/>
  <c r="X150" i="2"/>
  <c r="BI163" i="2"/>
  <c r="BD176" i="2"/>
  <c r="BG186" i="2"/>
  <c r="H191" i="2"/>
  <c r="I191" i="2"/>
  <c r="AO189" i="2"/>
  <c r="F37" i="2"/>
  <c r="F19" i="2"/>
  <c r="AW114" i="2"/>
  <c r="H144" i="2"/>
  <c r="W73" i="2"/>
  <c r="BF52" i="2"/>
  <c r="AP15" i="2"/>
  <c r="AR61" i="2"/>
  <c r="AW30" i="2"/>
  <c r="AW84" i="2"/>
  <c r="AH184" i="2"/>
  <c r="BE100" i="2"/>
  <c r="AQ80" i="2"/>
  <c r="AQ79" i="3"/>
  <c r="AQ79" i="2" s="1"/>
  <c r="J41" i="3"/>
  <c r="J41" i="2" s="1"/>
  <c r="J42" i="2"/>
  <c r="BM69" i="2"/>
  <c r="Q36" i="2"/>
  <c r="AX160" i="2"/>
  <c r="BM131" i="2"/>
  <c r="G8" i="2"/>
  <c r="BI64" i="2"/>
  <c r="BG65" i="2"/>
  <c r="N81" i="2"/>
  <c r="BF159" i="2"/>
  <c r="AU141" i="2"/>
  <c r="U185" i="2"/>
  <c r="AX107" i="2"/>
  <c r="BF125" i="2"/>
  <c r="BB6" i="2"/>
  <c r="AA11" i="2"/>
  <c r="BH138" i="2"/>
  <c r="BI16" i="2"/>
  <c r="Q97" i="2"/>
  <c r="V15" i="2"/>
  <c r="AH95" i="2"/>
  <c r="M30" i="2"/>
  <c r="AZ29" i="2"/>
  <c r="AP115" i="2"/>
  <c r="Z40" i="2"/>
  <c r="AY133" i="2"/>
  <c r="AC44" i="2"/>
  <c r="BB151" i="2"/>
  <c r="N47" i="2"/>
  <c r="BC148" i="2"/>
  <c r="BF174" i="2"/>
  <c r="Q143" i="2"/>
  <c r="AA166" i="2"/>
  <c r="N40" i="2"/>
  <c r="AO105" i="2"/>
  <c r="AT14" i="2"/>
  <c r="AP63" i="2"/>
  <c r="AR134" i="2"/>
  <c r="Y26" i="2"/>
  <c r="BB83" i="2"/>
  <c r="AZ168" i="2"/>
  <c r="S39" i="2"/>
  <c r="AK103" i="2"/>
  <c r="BC7" i="2"/>
  <c r="BB45" i="2"/>
  <c r="AF97" i="2"/>
  <c r="M168" i="2"/>
  <c r="K35" i="2"/>
  <c r="BL85" i="2"/>
  <c r="AB141" i="2"/>
  <c r="H23" i="2"/>
  <c r="BC64" i="2"/>
  <c r="V117" i="3"/>
  <c r="V117" i="2" s="1"/>
  <c r="V118" i="2"/>
  <c r="R11" i="2"/>
  <c r="BH46" i="2"/>
  <c r="AE98" i="2"/>
  <c r="U166" i="2"/>
  <c r="J36" i="2"/>
  <c r="AW71" i="2"/>
  <c r="BJ112" i="2"/>
  <c r="BM190" i="2"/>
  <c r="AS56" i="2"/>
  <c r="N98" i="2"/>
  <c r="Z146" i="2"/>
  <c r="AF28" i="2"/>
  <c r="AN50" i="2"/>
  <c r="L92" i="2"/>
  <c r="AV140" i="2"/>
  <c r="R35" i="2"/>
  <c r="L75" i="2"/>
  <c r="AF120" i="2"/>
  <c r="K56" i="2"/>
  <c r="AG92" i="2"/>
  <c r="AC117" i="3"/>
  <c r="AC117" i="2" s="1"/>
  <c r="AC118" i="2"/>
  <c r="T187" i="2"/>
  <c r="BJ54" i="2"/>
  <c r="I89" i="2"/>
  <c r="I113" i="2"/>
  <c r="AJ177" i="2"/>
  <c r="BK62" i="2"/>
  <c r="BK74" i="2"/>
  <c r="J97" i="2"/>
  <c r="BA120" i="2"/>
  <c r="BH164" i="2"/>
  <c r="AW57" i="2"/>
  <c r="P79" i="3"/>
  <c r="P79" i="2" s="1"/>
  <c r="P80" i="2"/>
  <c r="Z106" i="2"/>
  <c r="V135" i="2"/>
  <c r="AE183" i="2"/>
  <c r="BK136" i="2"/>
  <c r="T152" i="2"/>
  <c r="N119" i="2"/>
  <c r="BA144" i="2"/>
  <c r="BJ124" i="2"/>
  <c r="BF154" i="2"/>
  <c r="AE120" i="2"/>
  <c r="AV131" i="2"/>
  <c r="V171" i="2"/>
  <c r="I136" i="2"/>
  <c r="R165" i="2"/>
  <c r="AI131" i="2"/>
  <c r="P158" i="2"/>
  <c r="BG177" i="2"/>
  <c r="BK147" i="2"/>
  <c r="BE181" i="2"/>
  <c r="AG143" i="2"/>
  <c r="AA176" i="2"/>
  <c r="U181" i="2"/>
  <c r="AG190" i="2"/>
  <c r="AP153" i="2"/>
  <c r="U172" i="2"/>
  <c r="Y147" i="2"/>
  <c r="V173" i="2"/>
  <c r="U153" i="2"/>
  <c r="AA179" i="2"/>
  <c r="G150" i="2"/>
  <c r="BF180" i="2"/>
  <c r="AH160" i="2"/>
  <c r="AW181" i="2"/>
  <c r="BH163" i="2"/>
  <c r="O185" i="2"/>
  <c r="BD164" i="2"/>
  <c r="X192" i="2"/>
  <c r="F97" i="2"/>
  <c r="F63" i="2"/>
  <c r="AX83" i="2"/>
  <c r="AU34" i="2"/>
  <c r="BK27" i="2"/>
  <c r="AV20" i="2"/>
  <c r="L99" i="2"/>
  <c r="BC136" i="2"/>
  <c r="W29" i="2"/>
  <c r="AC36" i="2"/>
  <c r="L65" i="2"/>
  <c r="AU86" i="2"/>
  <c r="I108" i="2"/>
  <c r="BI33" i="2"/>
  <c r="L18" i="2"/>
  <c r="AM180" i="2"/>
  <c r="Q74" i="2"/>
  <c r="O68" i="2"/>
  <c r="AC67" i="2"/>
  <c r="N71" i="2"/>
  <c r="X84" i="2"/>
  <c r="H163" i="2"/>
  <c r="U173" i="2"/>
  <c r="X191" i="2"/>
  <c r="AU119" i="2"/>
  <c r="Q37" i="2"/>
  <c r="AF70" i="2"/>
  <c r="N82" i="2"/>
  <c r="AN31" i="2"/>
  <c r="BC36" i="2"/>
  <c r="AM188" i="2"/>
  <c r="AN101" i="2"/>
  <c r="S66" i="2"/>
  <c r="AP52" i="2"/>
  <c r="AL56" i="2"/>
  <c r="O3" i="3"/>
  <c r="O3" i="2" s="1"/>
  <c r="O4" i="2"/>
  <c r="N63" i="2"/>
  <c r="BA7" i="2"/>
  <c r="AE73" i="2"/>
  <c r="AQ9" i="2"/>
  <c r="BJ76" i="2"/>
  <c r="W97" i="2"/>
  <c r="AQ99" i="2"/>
  <c r="AL144" i="2"/>
  <c r="BF167" i="2"/>
  <c r="AP40" i="2"/>
  <c r="M106" i="2"/>
  <c r="AC15" i="2"/>
  <c r="I64" i="2"/>
  <c r="AG135" i="2"/>
  <c r="BA26" i="2"/>
  <c r="AC84" i="2"/>
  <c r="AI169" i="2"/>
  <c r="AY39" i="2"/>
  <c r="AO104" i="2"/>
  <c r="AN10" i="2"/>
  <c r="I46" i="2"/>
  <c r="BL97" i="2"/>
  <c r="G172" i="2"/>
  <c r="P21" i="2"/>
  <c r="AL66" i="2"/>
  <c r="Y119" i="2"/>
  <c r="AF23" i="2"/>
  <c r="P65" i="2"/>
  <c r="BJ117" i="3"/>
  <c r="BJ117" i="2" s="1"/>
  <c r="BJ118" i="2"/>
  <c r="AL11" i="2"/>
  <c r="Y47" i="2"/>
  <c r="BG98" i="2"/>
  <c r="L174" i="2"/>
  <c r="AP46" i="2"/>
  <c r="O87" i="2"/>
  <c r="W128" i="2"/>
  <c r="AY32" i="2"/>
  <c r="AX71" i="2"/>
  <c r="AL98" i="2"/>
  <c r="BB147" i="2"/>
  <c r="L40" i="2"/>
  <c r="BA65" i="2"/>
  <c r="AN92" i="2"/>
  <c r="N141" i="2"/>
  <c r="AL35" i="2"/>
  <c r="AN75" i="2"/>
  <c r="BH120" i="2"/>
  <c r="AE56" i="2"/>
  <c r="BA92" i="2"/>
  <c r="AO131" i="2"/>
  <c r="Q55" i="2"/>
  <c r="AC89" i="2"/>
  <c r="BC126" i="2"/>
  <c r="J178" i="2"/>
  <c r="R75" i="2"/>
  <c r="AD109" i="2"/>
  <c r="AB165" i="2"/>
  <c r="X70" i="2"/>
  <c r="AT106" i="2"/>
  <c r="R160" i="2"/>
  <c r="T137" i="2"/>
  <c r="U177" i="2"/>
  <c r="S145" i="2"/>
  <c r="R125" i="2"/>
  <c r="W180" i="2"/>
  <c r="AL148" i="2"/>
  <c r="AC136" i="2"/>
  <c r="BJ184" i="2"/>
  <c r="AW158" i="2"/>
  <c r="U134" i="2"/>
  <c r="AP130" i="2"/>
  <c r="BK176" i="2"/>
  <c r="M172" i="2"/>
  <c r="AC154" i="2"/>
  <c r="AQ185" i="2"/>
  <c r="AS173" i="2"/>
  <c r="AR153" i="2"/>
  <c r="AP140" i="2"/>
  <c r="N166" i="2"/>
  <c r="P181" i="2"/>
  <c r="BB160" i="2"/>
  <c r="X182" i="2"/>
  <c r="O164" i="2"/>
  <c r="AJ185" i="2"/>
  <c r="K165" i="2"/>
  <c r="AR192" i="2"/>
  <c r="F66" i="2"/>
  <c r="F48" i="2"/>
  <c r="BH183" i="2"/>
  <c r="AQ144" i="2"/>
  <c r="BB139" i="2"/>
  <c r="AP93" i="2"/>
  <c r="BJ77" i="2"/>
  <c r="P85" i="2"/>
  <c r="AE38" i="2"/>
  <c r="AL94" i="2"/>
  <c r="AM94" i="2"/>
  <c r="AD72" i="2"/>
  <c r="S94" i="2"/>
  <c r="W133" i="2"/>
  <c r="U40" i="2"/>
  <c r="AK21" i="2"/>
  <c r="I188" i="2"/>
  <c r="AZ77" i="2"/>
  <c r="BM71" i="2"/>
  <c r="H71" i="2"/>
  <c r="BG124" i="2"/>
  <c r="Y49" i="2"/>
  <c r="K158" i="2"/>
  <c r="AE33" i="2"/>
  <c r="I38" i="2"/>
  <c r="BM65" i="2"/>
  <c r="BA17" i="2"/>
  <c r="BK97" i="2"/>
  <c r="O103" i="2"/>
  <c r="AH47" i="2"/>
  <c r="AZ143" i="2"/>
  <c r="BJ17" i="2"/>
  <c r="BK99" i="2"/>
  <c r="AA16" i="2"/>
  <c r="Y104" i="2"/>
  <c r="AV6" i="2"/>
  <c r="AY90" i="2"/>
  <c r="Y19" i="2"/>
  <c r="BE95" i="2"/>
  <c r="G28" i="2"/>
  <c r="H98" i="2"/>
  <c r="BD29" i="2"/>
  <c r="AA100" i="2"/>
  <c r="AI134" i="2"/>
  <c r="V108" i="2"/>
  <c r="O117" i="3"/>
  <c r="O117" i="2" s="1"/>
  <c r="O118" i="2"/>
  <c r="AY26" i="2"/>
  <c r="AV87" i="2"/>
  <c r="G183" i="2"/>
  <c r="AT48" i="2"/>
  <c r="T88" i="2"/>
  <c r="AB176" i="2"/>
  <c r="AS45" i="2"/>
  <c r="BC106" i="2"/>
  <c r="AJ10" i="2"/>
  <c r="BL60" i="2"/>
  <c r="T132" i="2"/>
  <c r="BC19" i="2"/>
  <c r="AW64" i="2"/>
  <c r="AB98" i="2"/>
  <c r="G177" i="2"/>
  <c r="BK35" i="2"/>
  <c r="BD86" i="2"/>
  <c r="W143" i="2"/>
  <c r="BH23" i="2"/>
  <c r="BE69" i="2"/>
  <c r="Z119" i="2"/>
  <c r="BF11" i="2"/>
  <c r="AZ47" i="2"/>
  <c r="AA99" i="2"/>
  <c r="O175" i="2"/>
  <c r="BJ46" i="2"/>
  <c r="AQ87" i="2"/>
  <c r="BI128" i="2"/>
  <c r="Z33" i="2"/>
  <c r="I72" i="2"/>
  <c r="R110" i="2"/>
  <c r="BG187" i="2"/>
  <c r="AZ54" i="2"/>
  <c r="BL92" i="2"/>
  <c r="BH141" i="2"/>
  <c r="AQ26" i="2"/>
  <c r="BL75" i="2"/>
  <c r="T121" i="2"/>
  <c r="AY56" i="2"/>
  <c r="H93" i="2"/>
  <c r="AJ132" i="2"/>
  <c r="AK55" i="2"/>
  <c r="AW89" i="2"/>
  <c r="P127" i="2"/>
  <c r="AL51" i="2"/>
  <c r="AX85" i="2"/>
  <c r="AG121" i="2"/>
  <c r="BK190" i="2"/>
  <c r="BD79" i="3"/>
  <c r="BD79" i="2" s="1"/>
  <c r="BD80" i="2"/>
  <c r="AF117" i="3"/>
  <c r="AF117" i="2" s="1"/>
  <c r="AF118" i="2"/>
  <c r="R185" i="2"/>
  <c r="R153" i="2"/>
  <c r="BG129" i="2"/>
  <c r="BD191" i="2"/>
  <c r="AL157" i="2"/>
  <c r="BF132" i="2"/>
  <c r="AW124" i="2"/>
  <c r="I166" i="2"/>
  <c r="J132" i="2"/>
  <c r="BA178" i="2"/>
  <c r="I167" i="2"/>
  <c r="M144" i="2"/>
  <c r="BI168" i="2"/>
  <c r="J192" i="2"/>
  <c r="G173" i="2"/>
  <c r="V163" i="2"/>
  <c r="Y154" i="2"/>
  <c r="BJ140" i="2"/>
  <c r="AM181" i="2"/>
  <c r="I173" i="2"/>
  <c r="AI164" i="2"/>
  <c r="AR154" i="2"/>
  <c r="BL192" i="2"/>
  <c r="F61" i="2"/>
  <c r="F142" i="2"/>
  <c r="V159" i="2"/>
  <c r="Y72" i="2"/>
  <c r="H39" i="2"/>
  <c r="AI137" i="2"/>
  <c r="AV132" i="2"/>
  <c r="AK87" i="2"/>
  <c r="AE44" i="2"/>
  <c r="AH101" i="2"/>
  <c r="BM14" i="2"/>
  <c r="P86" i="2"/>
  <c r="AO98" i="2"/>
  <c r="BH168" i="2"/>
  <c r="N46" i="2"/>
  <c r="I58" i="2"/>
  <c r="T85" i="2"/>
  <c r="AU18" i="2"/>
  <c r="AU146" i="2"/>
  <c r="BB167" i="2"/>
  <c r="BB17" i="2"/>
  <c r="AF22" i="2"/>
  <c r="BH131" i="2"/>
  <c r="AA50" i="2"/>
  <c r="BK179" i="2"/>
  <c r="BH11" i="2"/>
  <c r="G34" i="2"/>
  <c r="AN59" i="2"/>
  <c r="BH66" i="2"/>
  <c r="Q20" i="2"/>
  <c r="BA45" i="2"/>
  <c r="BH74" i="2"/>
  <c r="AF101" i="2"/>
  <c r="BH108" i="2"/>
  <c r="O69" i="2"/>
  <c r="AH110" i="2"/>
  <c r="V68" i="2"/>
  <c r="J54" i="2"/>
  <c r="BA58" i="2"/>
  <c r="I5" i="2"/>
  <c r="AR96" i="2"/>
  <c r="AU28" i="2"/>
  <c r="BC98" i="2"/>
  <c r="Y30" i="2"/>
  <c r="S108" i="2"/>
  <c r="AN135" i="2"/>
  <c r="AU109" i="2"/>
  <c r="G119" i="2"/>
  <c r="V27" i="2"/>
  <c r="K88" i="2"/>
  <c r="P16" i="2"/>
  <c r="BI137" i="2"/>
  <c r="M174" i="2"/>
  <c r="Z87" i="2"/>
  <c r="R144" i="2"/>
  <c r="S24" i="2"/>
  <c r="T70" i="2"/>
  <c r="AM120" i="2"/>
  <c r="AG179" i="2"/>
  <c r="BM35" i="2"/>
  <c r="AL85" i="2"/>
  <c r="BH142" i="2"/>
  <c r="Y37" i="2"/>
  <c r="BH72" i="2"/>
  <c r="X114" i="2"/>
  <c r="BD23" i="2"/>
  <c r="K58" i="2"/>
  <c r="X99" i="2"/>
  <c r="M149" i="2"/>
  <c r="AZ40" i="2"/>
  <c r="AQ81" i="2"/>
  <c r="Q107" i="2"/>
  <c r="N169" i="2"/>
  <c r="AL49" i="2"/>
  <c r="Q92" i="2"/>
  <c r="J145" i="2"/>
  <c r="AO70" i="2"/>
  <c r="AB105" i="2"/>
  <c r="M158" i="2"/>
  <c r="BE67" i="2"/>
  <c r="BB92" i="2"/>
  <c r="AK132" i="2"/>
  <c r="AQ54" i="2"/>
  <c r="BC88" i="2"/>
  <c r="AJ125" i="2"/>
  <c r="AC49" i="2"/>
  <c r="P84" i="2"/>
  <c r="AO107" i="2"/>
  <c r="AO161" i="2"/>
  <c r="AC138" i="2"/>
  <c r="I120" i="2"/>
  <c r="P170" i="2"/>
  <c r="Z141" i="2"/>
  <c r="AT121" i="2"/>
  <c r="AP173" i="2"/>
  <c r="AT151" i="2"/>
  <c r="AD132" i="2"/>
  <c r="R179" i="2"/>
  <c r="AR167" i="2"/>
  <c r="AK144" i="2"/>
  <c r="S169" i="2"/>
  <c r="BB192" i="2"/>
  <c r="AJ173" i="2"/>
  <c r="T148" i="2"/>
  <c r="AO177" i="2"/>
  <c r="BA169" i="2"/>
  <c r="Z154" i="2"/>
  <c r="Q151" i="2"/>
  <c r="AI185" i="2"/>
  <c r="BC176" i="2"/>
  <c r="BD168" i="2"/>
  <c r="AD187" i="2"/>
  <c r="F35" i="2"/>
  <c r="F41" i="3"/>
  <c r="F41" i="2" s="1"/>
  <c r="F42" i="2"/>
  <c r="F190" i="2"/>
  <c r="BJ59" i="2"/>
  <c r="BF16" i="2"/>
  <c r="P56" i="2"/>
  <c r="BI53" i="2"/>
  <c r="BL127" i="2"/>
  <c r="AQ92" i="2"/>
  <c r="AH136" i="2"/>
  <c r="AH91" i="2"/>
  <c r="R6" i="2"/>
  <c r="S36" i="2"/>
  <c r="V85" i="2"/>
  <c r="BM39" i="2"/>
  <c r="BK19" i="2"/>
  <c r="K90" i="2"/>
  <c r="G44" i="2"/>
  <c r="U90" i="2"/>
  <c r="AO180" i="2"/>
  <c r="BL104" i="2"/>
  <c r="S10" i="2"/>
  <c r="BD68" i="2"/>
  <c r="AA171" i="2"/>
  <c r="AD167" i="2"/>
  <c r="AI183" i="2"/>
  <c r="F126" i="2"/>
  <c r="F105" i="2"/>
  <c r="G86" i="2"/>
  <c r="AA63" i="2"/>
  <c r="G59" i="2"/>
  <c r="BI19" i="2"/>
  <c r="AR97" i="2"/>
  <c r="J94" i="2"/>
  <c r="W7" i="2"/>
  <c r="V90" i="2"/>
  <c r="AO129" i="2"/>
  <c r="T98" i="2"/>
  <c r="AF53" i="2"/>
  <c r="AZ9" i="2"/>
  <c r="R131" i="2"/>
  <c r="K18" i="2"/>
  <c r="AR99" i="2"/>
  <c r="AP20" i="2"/>
  <c r="U9" i="2"/>
  <c r="AH134" i="2"/>
  <c r="BJ141" i="2"/>
  <c r="H99" i="2"/>
  <c r="AW15" i="2"/>
  <c r="AP25" i="2"/>
  <c r="G62" i="2"/>
  <c r="AK68" i="2"/>
  <c r="BH24" i="2"/>
  <c r="BE65" i="2"/>
  <c r="AJ77" i="2"/>
  <c r="AU103" i="2"/>
  <c r="AV40" i="2"/>
  <c r="AW40" i="2"/>
  <c r="AW14" i="2"/>
  <c r="BJ45" i="2"/>
  <c r="W169" i="2"/>
  <c r="AH8" i="2"/>
  <c r="M93" i="2"/>
  <c r="BD25" i="2"/>
  <c r="G98" i="2"/>
  <c r="BC29" i="2"/>
  <c r="Y100" i="2"/>
  <c r="AS15" i="2"/>
  <c r="X57" i="2"/>
  <c r="AL110" i="2"/>
  <c r="AC137" i="2"/>
  <c r="AS111" i="2"/>
  <c r="AY95" i="2"/>
  <c r="AB15" i="2"/>
  <c r="AS48" i="2"/>
  <c r="X108" i="2"/>
  <c r="AE188" i="2"/>
  <c r="BL30" i="2"/>
  <c r="AM90" i="2"/>
  <c r="AT139" i="2"/>
  <c r="BB15" i="2"/>
  <c r="G47" i="2"/>
  <c r="AD108" i="2"/>
  <c r="AC176" i="2"/>
  <c r="Y27" i="2"/>
  <c r="V88" i="2"/>
  <c r="AC175" i="2"/>
  <c r="J35" i="2"/>
  <c r="BK85" i="2"/>
  <c r="AC140" i="2"/>
  <c r="AZ25" i="2"/>
  <c r="X69" i="2"/>
  <c r="AU101" i="2"/>
  <c r="BD187" i="2"/>
  <c r="X39" i="2"/>
  <c r="BI86" i="2"/>
  <c r="M150" i="2"/>
  <c r="BA12" i="2"/>
  <c r="BC52" i="2"/>
  <c r="AX100" i="2"/>
  <c r="AM178" i="2"/>
  <c r="BM47" i="2"/>
  <c r="M89" i="2"/>
  <c r="BL135" i="2"/>
  <c r="AE24" i="2"/>
  <c r="BG58" i="2"/>
  <c r="G100" i="2"/>
  <c r="AH158" i="2"/>
  <c r="AR41" i="3"/>
  <c r="AR41" i="2" s="1"/>
  <c r="AR42" i="2"/>
  <c r="AY82" i="2"/>
  <c r="Q122" i="2"/>
  <c r="AL27" i="2"/>
  <c r="AD65" i="2"/>
  <c r="BM92" i="2"/>
  <c r="AN146" i="2"/>
  <c r="P71" i="2"/>
  <c r="W106" i="2"/>
  <c r="X159" i="2"/>
  <c r="AF68" i="2"/>
  <c r="BL102" i="2"/>
  <c r="AH150" i="2"/>
  <c r="AG76" i="2"/>
  <c r="BM110" i="2"/>
  <c r="BE169" i="2"/>
  <c r="AM71" i="2"/>
  <c r="P108" i="2"/>
  <c r="AO137" i="2"/>
  <c r="AK124" i="2"/>
  <c r="U180" i="2"/>
  <c r="H147" i="2"/>
  <c r="AB127" i="2"/>
  <c r="AH183" i="2"/>
  <c r="M151" i="2"/>
  <c r="BL137" i="2"/>
  <c r="AT187" i="2"/>
  <c r="AZ160" i="2"/>
  <c r="BM149" i="2"/>
  <c r="BE131" i="2"/>
  <c r="BG178" i="2"/>
  <c r="P174" i="2"/>
  <c r="AA157" i="2"/>
  <c r="AS139" i="2"/>
  <c r="T178" i="2"/>
  <c r="AF170" i="2"/>
  <c r="M155" i="3"/>
  <c r="M155" i="2" s="1"/>
  <c r="M156" i="2"/>
  <c r="AO182" i="2"/>
  <c r="X174" i="2"/>
  <c r="AD165" i="2"/>
  <c r="AJ155" i="3"/>
  <c r="AJ155" i="2" s="1"/>
  <c r="AJ156" i="2"/>
  <c r="AU189" i="2"/>
  <c r="F64" i="2"/>
  <c r="F94" i="2"/>
  <c r="BK12" i="2"/>
  <c r="AK6" i="2"/>
  <c r="AE74" i="2"/>
  <c r="T32" i="2"/>
  <c r="V157" i="2"/>
  <c r="Y10" i="2"/>
  <c r="BF68" i="2"/>
  <c r="G43" i="2"/>
  <c r="AV50" i="2"/>
  <c r="BB58" i="2"/>
  <c r="AE13" i="2"/>
  <c r="AO135" i="2"/>
  <c r="P29" i="2"/>
  <c r="AF125" i="2"/>
  <c r="BE21" i="2"/>
  <c r="AV10" i="2"/>
  <c r="BJ93" i="2"/>
  <c r="BE158" i="2"/>
  <c r="V101" i="2"/>
  <c r="AI16" i="2"/>
  <c r="AR26" i="2"/>
  <c r="AP7" i="2"/>
  <c r="AJ127" i="2"/>
  <c r="AR6" i="2"/>
  <c r="AV19" i="2"/>
  <c r="BC22" i="2"/>
  <c r="G162" i="2"/>
  <c r="AS20" i="2"/>
  <c r="AC113" i="2"/>
  <c r="AR19" i="2"/>
  <c r="AJ109" i="2"/>
  <c r="BM8" i="2"/>
  <c r="BH94" i="2"/>
  <c r="BE6" i="2"/>
  <c r="AN74" i="2"/>
  <c r="AL10" i="2"/>
  <c r="Y77" i="2"/>
  <c r="H16" i="2"/>
  <c r="AJ81" i="2"/>
  <c r="AE107" i="2"/>
  <c r="P142" i="2"/>
  <c r="AC96" i="2"/>
  <c r="AZ15" i="2"/>
  <c r="BI65" i="2"/>
  <c r="Z140" i="2"/>
  <c r="AK34" i="2"/>
  <c r="AP91" i="2"/>
  <c r="AK3" i="3"/>
  <c r="AK3" i="2" s="1"/>
  <c r="AK4" i="2"/>
  <c r="AN47" i="2"/>
  <c r="AQ109" i="2"/>
  <c r="G15" i="2"/>
  <c r="O64" i="2"/>
  <c r="O137" i="2"/>
  <c r="O21" i="2"/>
  <c r="AF67" i="2"/>
  <c r="S100" i="2"/>
  <c r="BJ189" i="2"/>
  <c r="BD37" i="2"/>
  <c r="AS88" i="2"/>
  <c r="BG155" i="3"/>
  <c r="BG155" i="2" s="1"/>
  <c r="BG156" i="2"/>
  <c r="BA25" i="2"/>
  <c r="AQ71" i="2"/>
  <c r="Y122" i="2"/>
  <c r="H13" i="2"/>
  <c r="R53" i="2"/>
  <c r="U101" i="2"/>
  <c r="Z145" i="2"/>
  <c r="Y51" i="2"/>
  <c r="AK89" i="2"/>
  <c r="AI136" i="2"/>
  <c r="BI34" i="2"/>
  <c r="AR73" i="2"/>
  <c r="P115" i="2"/>
  <c r="AA21" i="2"/>
  <c r="V56" i="2"/>
  <c r="AE94" i="2"/>
  <c r="I145" i="2"/>
  <c r="AL39" i="2"/>
  <c r="T81" i="2"/>
  <c r="W127" i="2"/>
  <c r="K48" i="2"/>
  <c r="H85" i="2"/>
  <c r="AU120" i="2"/>
  <c r="AK47" i="2"/>
  <c r="AW81" i="2"/>
  <c r="BC115" i="2"/>
  <c r="AV182" i="2"/>
  <c r="BA64" i="2"/>
  <c r="T99" i="2"/>
  <c r="AR143" i="2"/>
  <c r="BG59" i="2"/>
  <c r="AO95" i="2"/>
  <c r="I138" i="2"/>
  <c r="BH124" i="2"/>
  <c r="BM180" i="2"/>
  <c r="AO147" i="2"/>
  <c r="AY127" i="2"/>
  <c r="BM163" i="2"/>
  <c r="AY137" i="2"/>
  <c r="AW128" i="2"/>
  <c r="Y173" i="2"/>
  <c r="M147" i="2"/>
  <c r="BL138" i="2"/>
  <c r="AS190" i="2"/>
  <c r="BL163" i="2"/>
  <c r="BH187" i="2"/>
  <c r="Y144" i="2"/>
  <c r="BM139" i="2"/>
  <c r="AQ178" i="2"/>
  <c r="BC170" i="2"/>
  <c r="AM155" i="3"/>
  <c r="AM155" i="2" s="1"/>
  <c r="AM156" i="2"/>
  <c r="L152" i="2"/>
  <c r="AI186" i="2"/>
  <c r="AX177" i="2"/>
  <c r="AY169" i="2"/>
  <c r="AB190" i="2"/>
  <c r="F84" i="2"/>
  <c r="F71" i="2"/>
  <c r="BJ110" i="2"/>
  <c r="AM48" i="2"/>
  <c r="AC64" i="2"/>
  <c r="R40" i="2"/>
  <c r="AK105" i="2"/>
  <c r="Q113" i="2"/>
  <c r="AF54" i="2"/>
  <c r="AY99" i="2"/>
  <c r="AO146" i="2"/>
  <c r="R113" i="2"/>
  <c r="K135" i="2"/>
  <c r="AC14" i="2"/>
  <c r="BL69" i="2"/>
  <c r="AK86" i="2"/>
  <c r="AA15" i="2"/>
  <c r="Y88" i="2"/>
  <c r="BB97" i="2"/>
  <c r="AZ94" i="2"/>
  <c r="M183" i="2"/>
  <c r="V109" i="2"/>
  <c r="Q18" i="2"/>
  <c r="BK28" i="2"/>
  <c r="P8" i="2"/>
  <c r="AT130" i="2"/>
  <c r="AC7" i="2"/>
  <c r="K21" i="2"/>
  <c r="AH23" i="2"/>
  <c r="AM164" i="2"/>
  <c r="AD21" i="2"/>
  <c r="AP114" i="2"/>
  <c r="H20" i="2"/>
  <c r="AZ110" i="2"/>
  <c r="M14" i="2"/>
  <c r="AZ95" i="2"/>
  <c r="AM27" i="2"/>
  <c r="AE99" i="2"/>
  <c r="BD30" i="2"/>
  <c r="AK110" i="2"/>
  <c r="L33" i="2"/>
  <c r="U112" i="2"/>
  <c r="AG139" i="2"/>
  <c r="G113" i="2"/>
  <c r="M180" i="2"/>
  <c r="AA66" i="2"/>
  <c r="AF35" i="2"/>
  <c r="AX92" i="2"/>
  <c r="AZ180" i="2"/>
  <c r="H47" i="2"/>
  <c r="AE108" i="2"/>
  <c r="AD12" i="2"/>
  <c r="AV52" i="2"/>
  <c r="AU100" i="2"/>
  <c r="BH190" i="2"/>
  <c r="L38" i="2"/>
  <c r="L89" i="2"/>
  <c r="AN157" i="2"/>
  <c r="I26" i="2"/>
  <c r="BA53" i="2"/>
  <c r="R129" i="2"/>
  <c r="AB13" i="2"/>
  <c r="BB53" i="2"/>
  <c r="BD87" i="2"/>
  <c r="I146" i="2"/>
  <c r="AN38" i="2"/>
  <c r="BC77" i="2"/>
  <c r="R104" i="2"/>
  <c r="AQ162" i="2"/>
  <c r="Y48" i="2"/>
  <c r="AL89" i="2"/>
  <c r="H133" i="2"/>
  <c r="AU21" i="2"/>
  <c r="AT56" i="2"/>
  <c r="AI97" i="2"/>
  <c r="BH145" i="2"/>
  <c r="BF39" i="2"/>
  <c r="AR81" i="2"/>
  <c r="P109" i="2"/>
  <c r="AE48" i="2"/>
  <c r="BI74" i="2"/>
  <c r="AB109" i="2"/>
  <c r="AI139" i="2"/>
  <c r="BE59" i="2"/>
  <c r="X94" i="2"/>
  <c r="N116" i="2"/>
  <c r="BH158" i="2"/>
  <c r="BF67" i="2"/>
  <c r="Y90" i="2"/>
  <c r="AN111" i="2"/>
  <c r="T149" i="2"/>
  <c r="BL62" i="2"/>
  <c r="AT98" i="2"/>
  <c r="AS142" i="2"/>
  <c r="AG128" i="2"/>
  <c r="BE162" i="2"/>
  <c r="AC135" i="2"/>
  <c r="AV116" i="2"/>
  <c r="AF164" i="2"/>
  <c r="H138" i="2"/>
  <c r="X129" i="2"/>
  <c r="BE173" i="2"/>
  <c r="AK147" i="2"/>
  <c r="T139" i="2"/>
  <c r="V191" i="2"/>
  <c r="BG183" i="2"/>
  <c r="T188" i="2"/>
  <c r="AV144" i="2"/>
  <c r="T140" i="2"/>
  <c r="Z179" i="2"/>
  <c r="L171" i="2"/>
  <c r="AF142" i="2"/>
  <c r="BJ171" i="2"/>
  <c r="AC165" i="2"/>
  <c r="BC155" i="3"/>
  <c r="BC155" i="2" s="1"/>
  <c r="BC156" i="2"/>
  <c r="G191" i="2"/>
  <c r="AY190" i="2"/>
  <c r="F60" i="2"/>
  <c r="F127" i="2"/>
  <c r="BM22" i="2"/>
  <c r="BK77" i="2"/>
  <c r="N62" i="2"/>
  <c r="Z126" i="2"/>
  <c r="BB132" i="2"/>
  <c r="AY61" i="2"/>
  <c r="AY78" i="2"/>
  <c r="U12" i="2"/>
  <c r="I39" i="2"/>
  <c r="AW24" i="2"/>
  <c r="AM18" i="2"/>
  <c r="BF53" i="2"/>
  <c r="S31" i="2"/>
  <c r="AU87" i="2"/>
  <c r="AT60" i="2"/>
  <c r="AO73" i="2"/>
  <c r="BI28" i="2"/>
  <c r="Y50" i="2"/>
  <c r="BM28" i="2"/>
  <c r="BE189" i="2"/>
  <c r="BH135" i="2"/>
  <c r="AF173" i="2"/>
  <c r="BG39" i="2"/>
  <c r="M110" i="2"/>
  <c r="AA121" i="2"/>
  <c r="AS16" i="2"/>
  <c r="W53" i="2"/>
  <c r="M45" i="2"/>
  <c r="AF49" i="2"/>
  <c r="AJ33" i="2"/>
  <c r="BL47" i="2"/>
  <c r="S7" i="2"/>
  <c r="N36" i="2"/>
  <c r="AN145" i="2"/>
  <c r="L47" i="2"/>
  <c r="U160" i="2"/>
  <c r="AD31" i="2"/>
  <c r="Y111" i="2"/>
  <c r="BD33" i="2"/>
  <c r="I114" i="2"/>
  <c r="Z151" i="2"/>
  <c r="BJ114" i="2"/>
  <c r="Q133" i="2"/>
  <c r="L50" i="2"/>
  <c r="Y116" i="2"/>
  <c r="AD18" i="2"/>
  <c r="AZ73" i="2"/>
  <c r="R142" i="2"/>
  <c r="BA33" i="2"/>
  <c r="AG93" i="2"/>
  <c r="AH141" i="2"/>
  <c r="AR28" i="2"/>
  <c r="AW90" i="2"/>
  <c r="AM191" i="2"/>
  <c r="U36" i="2"/>
  <c r="N101" i="2"/>
  <c r="K4" i="2"/>
  <c r="K3" i="3"/>
  <c r="K3" i="2" s="1"/>
  <c r="AX41" i="3"/>
  <c r="AX41" i="2" s="1"/>
  <c r="AX42" i="2"/>
  <c r="AR89" i="2"/>
  <c r="BA158" i="2"/>
  <c r="AG26" i="2"/>
  <c r="AK73" i="2"/>
  <c r="AK130" i="2"/>
  <c r="AV13" i="2"/>
  <c r="I54" i="2"/>
  <c r="J102" i="2"/>
  <c r="AS181" i="2"/>
  <c r="BH38" i="2"/>
  <c r="J78" i="2"/>
  <c r="AP116" i="2"/>
  <c r="AT25" i="2"/>
  <c r="AD63" i="2"/>
  <c r="R101" i="2"/>
  <c r="AU162" i="2"/>
  <c r="AA33" i="2"/>
  <c r="AY71" i="2"/>
  <c r="AM109" i="2"/>
  <c r="K180" i="2"/>
  <c r="L55" i="2"/>
  <c r="AJ97" i="2"/>
  <c r="H157" i="2"/>
  <c r="P75" i="2"/>
  <c r="AV109" i="2"/>
  <c r="T168" i="2"/>
  <c r="L72" i="2"/>
  <c r="AR94" i="2"/>
  <c r="BC134" i="2"/>
  <c r="M56" i="2"/>
  <c r="AS90" i="2"/>
  <c r="N128" i="2"/>
  <c r="S51" i="2"/>
  <c r="AY85" i="2"/>
  <c r="AU124" i="2"/>
  <c r="BD114" i="2"/>
  <c r="Q163" i="2"/>
  <c r="BA135" i="2"/>
  <c r="AN173" i="2"/>
  <c r="BJ143" i="2"/>
  <c r="AL192" i="2"/>
  <c r="AM158" i="2"/>
  <c r="AQ141" i="2"/>
  <c r="AX124" i="2"/>
  <c r="J166" i="2"/>
  <c r="AG155" i="3"/>
  <c r="AG155" i="2" s="1"/>
  <c r="AG156" i="2"/>
  <c r="AK135" i="2"/>
  <c r="AA184" i="2"/>
  <c r="AP179" i="2"/>
  <c r="AZ162" i="2"/>
  <c r="AQ153" i="2"/>
  <c r="P145" i="2"/>
  <c r="AN185" i="2"/>
  <c r="T157" i="2"/>
  <c r="AZ152" i="2"/>
  <c r="N187" i="2"/>
  <c r="AS178" i="2"/>
  <c r="AT170" i="2"/>
  <c r="L191" i="2"/>
  <c r="F182" i="2"/>
  <c r="F32" i="2"/>
  <c r="AO178" i="2"/>
  <c r="S72" i="2"/>
  <c r="Y169" i="2"/>
  <c r="BG52" i="2"/>
  <c r="BH67" i="2"/>
  <c r="N22" i="2"/>
  <c r="BC81" i="2"/>
  <c r="AF13" i="2"/>
  <c r="S41" i="3"/>
  <c r="S41" i="2" s="1"/>
  <c r="S42" i="2"/>
  <c r="AU30" i="2"/>
  <c r="AW21" i="2"/>
  <c r="AD57" i="2"/>
  <c r="M37" i="2"/>
  <c r="M90" i="2"/>
  <c r="AM54" i="2"/>
  <c r="AD90" i="2"/>
  <c r="G104" i="2"/>
  <c r="BC165" i="2"/>
  <c r="AB20" i="2"/>
  <c r="AB58" i="2"/>
  <c r="AO56" i="2"/>
  <c r="V49" i="2"/>
  <c r="M81" i="2"/>
  <c r="Z83" i="2"/>
  <c r="AC33" i="2"/>
  <c r="BM128" i="2"/>
  <c r="BE17" i="2"/>
  <c r="BM66" i="2"/>
  <c r="BD47" i="2"/>
  <c r="J50" i="2"/>
  <c r="BB36" i="2"/>
  <c r="BF48" i="2"/>
  <c r="W9" i="2"/>
  <c r="W15" i="2"/>
  <c r="AA97" i="2"/>
  <c r="W8" i="2"/>
  <c r="BH76" i="2"/>
  <c r="AP163" i="2"/>
  <c r="AO32" i="2"/>
  <c r="BE79" i="3"/>
  <c r="BE79" i="2" s="1"/>
  <c r="BE80" i="2"/>
  <c r="AT171" i="2"/>
  <c r="AG61" i="2"/>
  <c r="J115" i="2"/>
  <c r="AM110" i="2"/>
  <c r="AA106" i="2"/>
  <c r="AV115" i="2"/>
  <c r="AS99" i="2"/>
  <c r="L186" i="2"/>
  <c r="BG30" i="2"/>
  <c r="K73" i="2"/>
  <c r="AB117" i="3"/>
  <c r="AB117" i="2" s="1"/>
  <c r="AB118" i="2"/>
  <c r="I7" i="2"/>
  <c r="BK36" i="2"/>
  <c r="J74" i="2"/>
  <c r="K145" i="2"/>
  <c r="Y20" i="2"/>
  <c r="K53" i="2"/>
  <c r="BM93" i="2"/>
  <c r="T142" i="2"/>
  <c r="R16" i="2"/>
  <c r="P48" i="2"/>
  <c r="H91" i="2"/>
  <c r="BA139" i="2"/>
  <c r="Y13" i="2"/>
  <c r="AS36" i="2"/>
  <c r="BH68" i="2"/>
  <c r="AT101" i="2"/>
  <c r="Q144" i="2"/>
  <c r="AY16" i="2"/>
  <c r="I43" i="2"/>
  <c r="V75" i="2"/>
  <c r="AP107" i="2"/>
  <c r="AS159" i="2"/>
  <c r="AF16" i="2"/>
  <c r="BG40" i="2"/>
  <c r="BM73" i="2"/>
  <c r="AW106" i="2"/>
  <c r="AR157" i="2"/>
  <c r="W14" i="2"/>
  <c r="N38" i="2"/>
  <c r="AU88" i="2"/>
  <c r="AE125" i="2"/>
  <c r="T30" i="2"/>
  <c r="P64" i="2"/>
  <c r="Y105" i="2"/>
  <c r="V172" i="2"/>
  <c r="L49" i="2"/>
  <c r="R90" i="2"/>
  <c r="L134" i="2"/>
  <c r="AU33" i="2"/>
  <c r="J72" i="2"/>
  <c r="BK109" i="2"/>
  <c r="L181" i="2"/>
  <c r="BE66" i="2"/>
  <c r="BL109" i="2"/>
  <c r="Z49" i="2"/>
  <c r="W86" i="2"/>
  <c r="BC121" i="2"/>
  <c r="AF48" i="2"/>
  <c r="BL82" i="2"/>
  <c r="BJ116" i="2"/>
  <c r="BH185" i="2"/>
  <c r="AV77" i="2"/>
  <c r="O112" i="2"/>
  <c r="H173" i="2"/>
  <c r="BB72" i="2"/>
  <c r="AE109" i="2"/>
  <c r="K115" i="2"/>
  <c r="AR189" i="2"/>
  <c r="Z144" i="2"/>
  <c r="AP166" i="2"/>
  <c r="AB157" i="2"/>
  <c r="BE135" i="2"/>
  <c r="BM184" i="2"/>
  <c r="AC180" i="2"/>
  <c r="K163" i="2"/>
  <c r="U154" i="2"/>
  <c r="AJ145" i="2"/>
  <c r="Z186" i="2"/>
  <c r="AQ172" i="2"/>
  <c r="X166" i="2"/>
  <c r="AD157" i="2"/>
  <c r="BJ191" i="2"/>
  <c r="S184" i="2"/>
  <c r="Y185" i="2"/>
  <c r="F170" i="2"/>
  <c r="F160" i="2"/>
  <c r="AV35" i="2"/>
  <c r="BH48" i="2"/>
  <c r="AV103" i="2"/>
  <c r="O139" i="2"/>
  <c r="AE126" i="2"/>
  <c r="AE147" i="2"/>
  <c r="O75" i="2"/>
  <c r="AB14" i="2"/>
  <c r="V81" i="2"/>
  <c r="P36" i="2"/>
  <c r="K27" i="2"/>
  <c r="BC60" i="2"/>
  <c r="P46" i="2"/>
  <c r="BG147" i="2"/>
  <c r="AT70" i="2"/>
  <c r="T77" i="2"/>
  <c r="AD33" i="2"/>
  <c r="BC56" i="2"/>
  <c r="AI30" i="2"/>
  <c r="BE54" i="2"/>
  <c r="M27" i="2"/>
  <c r="AA59" i="2"/>
  <c r="L85" i="2"/>
  <c r="AF84" i="2"/>
  <c r="AM36" i="2"/>
  <c r="T79" i="3"/>
  <c r="T79" i="2" s="1"/>
  <c r="T80" i="2"/>
  <c r="AG181" i="2"/>
  <c r="AS108" i="2"/>
  <c r="AT6" i="2"/>
  <c r="H126" i="2"/>
  <c r="U5" i="2"/>
  <c r="AS85" i="2"/>
  <c r="AQ85" i="2"/>
  <c r="BB71" i="2"/>
  <c r="BC8" i="2"/>
  <c r="X77" i="2"/>
  <c r="G16" i="2"/>
  <c r="AI81" i="2"/>
  <c r="AB18" i="2"/>
  <c r="X89" i="2"/>
  <c r="Z111" i="2"/>
  <c r="AJ159" i="2"/>
  <c r="Z100" i="2"/>
  <c r="U17" i="2"/>
  <c r="AY73" i="2"/>
  <c r="R147" i="2"/>
  <c r="W37" i="2"/>
  <c r="BL93" i="2"/>
  <c r="AA6" i="2"/>
  <c r="BC53" i="2"/>
  <c r="BE111" i="2"/>
  <c r="AP16" i="2"/>
  <c r="AG71" i="2"/>
  <c r="AY140" i="2"/>
  <c r="AY25" i="2"/>
  <c r="W69" i="2"/>
  <c r="BC122" i="2"/>
  <c r="Z17" i="2"/>
  <c r="U57" i="2"/>
  <c r="AJ90" i="2"/>
  <c r="AC160" i="2"/>
  <c r="AA41" i="3"/>
  <c r="AA41" i="2" s="1"/>
  <c r="AA42" i="2"/>
  <c r="BG92" i="2"/>
  <c r="BB158" i="2"/>
  <c r="U27" i="2"/>
  <c r="J73" i="2"/>
  <c r="AR126" i="2"/>
  <c r="AN30" i="2"/>
  <c r="AN64" i="2"/>
  <c r="BA105" i="2"/>
  <c r="M173" i="2"/>
  <c r="AJ49" i="2"/>
  <c r="AP90" i="2"/>
  <c r="AZ134" i="2"/>
  <c r="V34" i="2"/>
  <c r="AL72" i="2"/>
  <c r="S110" i="2"/>
  <c r="G192" i="2"/>
  <c r="BL55" i="2"/>
  <c r="J83" i="2"/>
  <c r="Z129" i="2"/>
  <c r="BI62" i="2"/>
  <c r="AQ98" i="2"/>
  <c r="AP142" i="2"/>
  <c r="AZ60" i="2"/>
  <c r="S107" i="2"/>
  <c r="AJ161" i="2"/>
  <c r="BA68" i="2"/>
  <c r="T103" i="2"/>
  <c r="W151" i="2"/>
  <c r="BG63" i="2"/>
  <c r="BI99" i="2"/>
  <c r="P144" i="2"/>
  <c r="AI129" i="2"/>
  <c r="M190" i="2"/>
  <c r="AC155" i="3"/>
  <c r="AC155" i="2" s="1"/>
  <c r="AC156" i="2"/>
  <c r="BE132" i="2"/>
  <c r="AR113" i="2"/>
  <c r="AR159" i="2"/>
  <c r="W142" i="2"/>
  <c r="AS125" i="2"/>
  <c r="H167" i="2"/>
  <c r="BF157" i="2"/>
  <c r="L136" i="2"/>
  <c r="L172" i="2"/>
  <c r="AE178" i="2"/>
  <c r="Z176" i="2"/>
  <c r="AI166" i="2"/>
  <c r="U158" i="2"/>
  <c r="AA143" i="2"/>
  <c r="BD184" i="2"/>
  <c r="BG175" i="2"/>
  <c r="T167" i="2"/>
  <c r="Z158" i="2"/>
  <c r="AS192" i="2"/>
  <c r="F10" i="2"/>
  <c r="AF88" i="2"/>
  <c r="AY129" i="2"/>
  <c r="AO33" i="2"/>
  <c r="AW79" i="3"/>
  <c r="AW79" i="2" s="1"/>
  <c r="AW80" i="2"/>
  <c r="O36" i="2"/>
  <c r="N97" i="2"/>
  <c r="BL180" i="2"/>
  <c r="AF39" i="2"/>
  <c r="Z35" i="2"/>
  <c r="AP164" i="2"/>
  <c r="BA162" i="2"/>
  <c r="K41" i="3"/>
  <c r="K41" i="2" s="1"/>
  <c r="K42" i="2"/>
  <c r="G106" i="2"/>
  <c r="AS57" i="2"/>
  <c r="AK60" i="2"/>
  <c r="AT63" i="2"/>
  <c r="AZ39" i="2"/>
  <c r="AR43" i="2"/>
  <c r="V40" i="2"/>
  <c r="H51" i="2"/>
  <c r="AL68" i="2"/>
  <c r="T7" i="2"/>
  <c r="I127" i="2"/>
  <c r="K50" i="2"/>
  <c r="N87" i="2"/>
  <c r="G99" i="2"/>
  <c r="BM53" i="2"/>
  <c r="AQ16" i="2"/>
  <c r="K117" i="3"/>
  <c r="K117" i="2" s="1"/>
  <c r="K118" i="2"/>
  <c r="T63" i="2"/>
  <c r="BE112" i="2"/>
  <c r="N117" i="3"/>
  <c r="N117" i="2" s="1"/>
  <c r="N118" i="2"/>
  <c r="Y6" i="2"/>
  <c r="I74" i="2"/>
  <c r="BI7" i="2"/>
  <c r="Y75" i="2"/>
  <c r="AY6" i="2"/>
  <c r="AF71" i="2"/>
  <c r="Y189" i="2"/>
  <c r="AT72" i="2"/>
  <c r="AX3" i="3"/>
  <c r="AX3" i="2" s="1"/>
  <c r="AX4" i="2"/>
  <c r="AC55" i="2"/>
  <c r="W123" i="2"/>
  <c r="Z28" i="2"/>
  <c r="AE91" i="2"/>
  <c r="L8" i="2"/>
  <c r="AR59" i="2"/>
  <c r="R132" i="2"/>
  <c r="AS27" i="2"/>
  <c r="AT89" i="2"/>
  <c r="AY184" i="2"/>
  <c r="BL64" i="2"/>
  <c r="AU122" i="2"/>
  <c r="P39" i="2"/>
  <c r="AB91" i="2"/>
  <c r="BI165" i="2"/>
  <c r="BL46" i="2"/>
  <c r="Y99" i="2"/>
  <c r="AG20" i="2"/>
  <c r="AB71" i="2"/>
  <c r="AH130" i="2"/>
  <c r="K76" i="2"/>
  <c r="AA126" i="2"/>
  <c r="G61" i="2"/>
  <c r="AM107" i="2"/>
  <c r="BF47" i="2"/>
  <c r="AN91" i="2"/>
  <c r="BL151" i="2"/>
  <c r="N76" i="2"/>
  <c r="AD126" i="2"/>
  <c r="BF129" i="2"/>
  <c r="AN125" i="2"/>
  <c r="O119" i="2"/>
  <c r="BL113" i="2"/>
  <c r="AM130" i="2"/>
  <c r="BM137" i="2"/>
  <c r="AR140" i="2"/>
  <c r="AF136" i="2"/>
  <c r="AW176" i="2"/>
  <c r="AJ146" i="2"/>
  <c r="K155" i="3"/>
  <c r="K155" i="2" s="1"/>
  <c r="K156" i="2"/>
  <c r="BI161" i="2"/>
  <c r="AV158" i="2"/>
  <c r="BL166" i="2"/>
  <c r="Y170" i="2"/>
  <c r="AE161" i="2"/>
  <c r="BM192" i="2"/>
  <c r="F77" i="2"/>
  <c r="AA124" i="2"/>
  <c r="AQ151" i="2"/>
  <c r="AY44" i="2"/>
  <c r="AD83" i="2"/>
  <c r="R94" i="2"/>
  <c r="BM83" i="2"/>
  <c r="AL62" i="2"/>
  <c r="BL53" i="2"/>
  <c r="Y40" i="2"/>
  <c r="R44" i="2"/>
  <c r="BK44" i="2"/>
  <c r="M61" i="2"/>
  <c r="AQ69" i="2"/>
  <c r="AY7" i="2"/>
  <c r="AB128" i="2"/>
  <c r="X87" i="2"/>
  <c r="AG17" i="2"/>
  <c r="AE152" i="2"/>
  <c r="L80" i="2"/>
  <c r="L79" i="3"/>
  <c r="L79" i="2" s="1"/>
  <c r="P34" i="2"/>
  <c r="K5" i="2"/>
  <c r="W91" i="2"/>
  <c r="AB161" i="2"/>
  <c r="BG181" i="2"/>
  <c r="AW6" i="2"/>
  <c r="AD52" i="2"/>
  <c r="AG120" i="2"/>
  <c r="S38" i="2"/>
  <c r="AH120" i="2"/>
  <c r="AJ36" i="2"/>
  <c r="AU113" i="2"/>
  <c r="AM34" i="2"/>
  <c r="AQ117" i="3"/>
  <c r="AQ117" i="2" s="1"/>
  <c r="AQ118" i="2"/>
  <c r="AE26" i="2"/>
  <c r="G89" i="2"/>
  <c r="AT5" i="2"/>
  <c r="P58" i="2"/>
  <c r="AD162" i="2"/>
  <c r="J43" i="2"/>
  <c r="AL108" i="2"/>
  <c r="AB17" i="2"/>
  <c r="Y74" i="2"/>
  <c r="BC158" i="2"/>
  <c r="AQ53" i="2"/>
  <c r="AG106" i="2"/>
  <c r="P27" i="2"/>
  <c r="U76" i="2"/>
  <c r="AK140" i="2"/>
  <c r="U47" i="2"/>
  <c r="AW99" i="2"/>
  <c r="BA20" i="2"/>
  <c r="AZ71" i="2"/>
  <c r="AM131" i="2"/>
  <c r="AE76" i="2"/>
  <c r="BB126" i="2"/>
  <c r="AA61" i="2"/>
  <c r="BG95" i="2"/>
  <c r="BD162" i="2"/>
  <c r="AS82" i="2"/>
  <c r="Z130" i="2"/>
  <c r="AH64" i="2"/>
  <c r="AI113" i="2"/>
  <c r="Z116" i="2"/>
  <c r="AH192" i="2"/>
  <c r="BG182" i="2"/>
  <c r="AM168" i="2"/>
  <c r="AV160" i="2"/>
  <c r="AD143" i="2"/>
  <c r="T176" i="2"/>
  <c r="H168" i="2"/>
  <c r="BH177" i="2"/>
  <c r="AU166" i="2"/>
  <c r="AV181" i="2"/>
  <c r="X181" i="2"/>
  <c r="N181" i="2"/>
  <c r="AR187" i="2"/>
  <c r="BD189" i="2"/>
  <c r="J189" i="2"/>
  <c r="AH148" i="2"/>
  <c r="BK188" i="2"/>
  <c r="F184" i="2"/>
  <c r="F89" i="2"/>
  <c r="AP88" i="2"/>
  <c r="Z124" i="2"/>
  <c r="AK92" i="2"/>
  <c r="AQ164" i="2"/>
  <c r="AP11" i="2"/>
  <c r="O74" i="2"/>
  <c r="AU40" i="2"/>
  <c r="V35" i="2"/>
  <c r="Q56" i="2"/>
  <c r="AU102" i="2"/>
  <c r="AW86" i="2"/>
  <c r="AU92" i="2"/>
  <c r="AI5" i="2"/>
  <c r="BD6" i="2"/>
  <c r="AO94" i="2"/>
  <c r="BL88" i="2"/>
  <c r="H19" i="2"/>
  <c r="BE125" i="2"/>
  <c r="BF90" i="2"/>
  <c r="AK30" i="2"/>
  <c r="BA61" i="2"/>
  <c r="AG90" i="2"/>
  <c r="AY29" i="2"/>
  <c r="Y16" i="2"/>
  <c r="BJ73" i="2"/>
  <c r="U31" i="2"/>
  <c r="BH172" i="2"/>
  <c r="BC90" i="2"/>
  <c r="H41" i="3"/>
  <c r="H41" i="2" s="1"/>
  <c r="H42" i="2"/>
  <c r="AF90" i="2"/>
  <c r="V166" i="2"/>
  <c r="AG142" i="2"/>
  <c r="BJ36" i="2"/>
  <c r="BG121" i="2"/>
  <c r="AY38" i="2"/>
  <c r="BH121" i="2"/>
  <c r="BL36" i="2"/>
  <c r="AI120" i="2"/>
  <c r="AP35" i="2"/>
  <c r="K119" i="2"/>
  <c r="AW41" i="3"/>
  <c r="AW41" i="2" s="1"/>
  <c r="AW42" i="2"/>
  <c r="I107" i="2"/>
  <c r="AO18" i="2"/>
  <c r="AV58" i="2"/>
  <c r="AR135" i="2"/>
  <c r="AZ31" i="2"/>
  <c r="P94" i="2"/>
  <c r="AQ6" i="2"/>
  <c r="W57" i="2"/>
  <c r="S129" i="2"/>
  <c r="BE43" i="2"/>
  <c r="AI95" i="2"/>
  <c r="AE176" i="2"/>
  <c r="X65" i="2"/>
  <c r="V120" i="2"/>
  <c r="Q35" i="2"/>
  <c r="H100" i="2"/>
  <c r="H21" i="2"/>
  <c r="O72" i="2"/>
  <c r="AQ132" i="2"/>
  <c r="AY76" i="2"/>
  <c r="M127" i="2"/>
  <c r="AU61" i="2"/>
  <c r="N108" i="2"/>
  <c r="AG48" i="2"/>
  <c r="O92" i="2"/>
  <c r="O153" i="2"/>
  <c r="BB76" i="2"/>
  <c r="S127" i="2"/>
  <c r="AL130" i="2"/>
  <c r="W126" i="2"/>
  <c r="BC119" i="2"/>
  <c r="AM114" i="2"/>
  <c r="X187" i="2"/>
  <c r="BE176" i="2"/>
  <c r="AO168" i="2"/>
  <c r="R178" i="2"/>
  <c r="J167" i="2"/>
  <c r="J182" i="2"/>
  <c r="BA181" i="2"/>
  <c r="AK181" i="2"/>
  <c r="AG188" i="2"/>
  <c r="AP154" i="2"/>
  <c r="BM158" i="2"/>
  <c r="Z162" i="2"/>
  <c r="AK185" i="2"/>
  <c r="F112" i="2"/>
  <c r="F134" i="2"/>
  <c r="AF137" i="2"/>
  <c r="L159" i="2"/>
  <c r="J122" i="2"/>
  <c r="K172" i="2"/>
  <c r="R12" i="2"/>
  <c r="AT50" i="2"/>
  <c r="K19" i="2"/>
  <c r="AP85" i="2"/>
  <c r="AY23" i="2"/>
  <c r="AD7" i="2"/>
  <c r="AY46" i="2"/>
  <c r="P157" i="2"/>
  <c r="AO6" i="2"/>
  <c r="BG185" i="2"/>
  <c r="Y14" i="2"/>
  <c r="AV86" i="2"/>
  <c r="F172" i="2"/>
  <c r="F49" i="2"/>
  <c r="F13" i="2"/>
  <c r="F51" i="2"/>
  <c r="F124" i="2"/>
  <c r="F152" i="2"/>
  <c r="BB103" i="2"/>
  <c r="BL20" i="2"/>
  <c r="BI44" i="2"/>
  <c r="BJ5" i="2"/>
  <c r="AX114" i="2"/>
  <c r="I9" i="2"/>
  <c r="Y24" i="2"/>
  <c r="P42" i="2"/>
  <c r="P41" i="3"/>
  <c r="P41" i="2" s="1"/>
  <c r="S25" i="2"/>
  <c r="O26" i="2"/>
  <c r="BF33" i="2"/>
  <c r="Z63" i="2"/>
  <c r="BA11" i="2"/>
  <c r="AB154" i="2"/>
  <c r="BL83" i="2"/>
  <c r="G7" i="2"/>
  <c r="AA38" i="2"/>
  <c r="AS61" i="2"/>
  <c r="BE109" i="2"/>
  <c r="BE136" i="2"/>
  <c r="AR21" i="2"/>
  <c r="V16" i="2"/>
  <c r="BL68" i="2"/>
  <c r="I33" i="2"/>
  <c r="W88" i="2"/>
  <c r="AO169" i="2"/>
  <c r="AZ107" i="2"/>
  <c r="AW50" i="2"/>
  <c r="L94" i="2"/>
  <c r="AT23" i="2"/>
  <c r="V29" i="2"/>
  <c r="AJ70" i="2"/>
  <c r="L57" i="2"/>
  <c r="AK93" i="2"/>
  <c r="AM28" i="2"/>
  <c r="AD92" i="2"/>
  <c r="Q10" i="2"/>
  <c r="BM59" i="2"/>
  <c r="H162" i="2"/>
  <c r="X5" i="2"/>
  <c r="BB24" i="2"/>
  <c r="Y15" i="2"/>
  <c r="AW125" i="2"/>
  <c r="V133" i="2"/>
  <c r="AH13" i="2"/>
  <c r="AF51" i="2"/>
  <c r="AM127" i="2"/>
  <c r="K108" i="2"/>
  <c r="T60" i="2"/>
  <c r="AC171" i="2"/>
  <c r="BK88" i="2"/>
  <c r="AX56" i="2"/>
  <c r="AX189" i="2"/>
  <c r="AO108" i="2"/>
  <c r="AA58" i="2"/>
  <c r="N15" i="2"/>
  <c r="AJ37" i="2"/>
  <c r="AC78" i="2"/>
  <c r="BI123" i="2"/>
  <c r="S131" i="2"/>
  <c r="L103" i="2"/>
  <c r="G71" i="2"/>
  <c r="H24" i="2"/>
  <c r="AO120" i="2"/>
  <c r="AF110" i="2"/>
  <c r="BL28" i="2"/>
  <c r="R133" i="2"/>
  <c r="AC23" i="2"/>
  <c r="AX59" i="2"/>
  <c r="AH105" i="2"/>
  <c r="I187" i="2"/>
  <c r="G163" i="2"/>
  <c r="S120" i="2"/>
  <c r="AO41" i="3"/>
  <c r="AO41" i="2" s="1"/>
  <c r="AO42" i="2"/>
  <c r="BJ28" i="2"/>
  <c r="AB181" i="2"/>
  <c r="U79" i="3"/>
  <c r="U79" i="2" s="1"/>
  <c r="U80" i="2"/>
  <c r="BJ63" i="2"/>
  <c r="P10" i="2"/>
  <c r="AS43" i="2"/>
  <c r="AM78" i="2"/>
  <c r="U133" i="2"/>
  <c r="BH16" i="2"/>
  <c r="AF95" i="2"/>
  <c r="AM11" i="2"/>
  <c r="BG34" i="2"/>
  <c r="AF58" i="2"/>
  <c r="AG95" i="2"/>
  <c r="AY172" i="2"/>
  <c r="U86" i="2"/>
  <c r="L14" i="2"/>
  <c r="AL33" i="2"/>
  <c r="BM63" i="2"/>
  <c r="L93" i="2"/>
  <c r="BK148" i="2"/>
  <c r="AW27" i="2"/>
  <c r="AW3" i="3"/>
  <c r="AW3" i="2" s="1"/>
  <c r="AW4" i="2"/>
  <c r="AZ22" i="2"/>
  <c r="AK53" i="2"/>
  <c r="AB78" i="2"/>
  <c r="AE113" i="2"/>
  <c r="V186" i="2"/>
  <c r="AI17" i="2"/>
  <c r="T39" i="2"/>
  <c r="AV60" i="2"/>
  <c r="Q91" i="2"/>
  <c r="AC131" i="2"/>
  <c r="AD6" i="2"/>
  <c r="S20" i="2"/>
  <c r="N43" i="2"/>
  <c r="AI65" i="2"/>
  <c r="P95" i="2"/>
  <c r="AS132" i="2"/>
  <c r="Y8" i="2"/>
  <c r="AO27" i="2"/>
  <c r="AK45" i="2"/>
  <c r="BF74" i="2"/>
  <c r="Z97" i="2"/>
  <c r="BJ145" i="2"/>
  <c r="AN94" i="2"/>
  <c r="Q128" i="2"/>
  <c r="AX172" i="2"/>
  <c r="AP127" i="2"/>
  <c r="BB181" i="2"/>
  <c r="J141" i="2"/>
  <c r="BJ84" i="2"/>
  <c r="P113" i="2"/>
  <c r="AQ160" i="2"/>
  <c r="AC9" i="2"/>
  <c r="BL24" i="2"/>
  <c r="L39" i="2"/>
  <c r="BI60" i="2"/>
  <c r="AU78" i="2"/>
  <c r="Z103" i="2"/>
  <c r="AL125" i="2"/>
  <c r="AQ170" i="2"/>
  <c r="BF10" i="2"/>
  <c r="AZ26" i="2"/>
  <c r="AE41" i="3"/>
  <c r="AE41" i="2" s="1"/>
  <c r="AE42" i="2"/>
  <c r="BI61" i="2"/>
  <c r="X85" i="2"/>
  <c r="AM104" i="2"/>
  <c r="N132" i="2"/>
  <c r="AY168" i="2"/>
  <c r="BE12" i="2"/>
  <c r="AG25" i="2"/>
  <c r="BC43" i="2"/>
  <c r="AN58" i="2"/>
  <c r="AN82" i="2"/>
  <c r="J100" i="2"/>
  <c r="BE124" i="2"/>
  <c r="BG152" i="2"/>
  <c r="AT8" i="2"/>
  <c r="AR23" i="2"/>
  <c r="Y38" i="2"/>
  <c r="AS58" i="2"/>
  <c r="AX77" i="2"/>
  <c r="BJ101" i="2"/>
  <c r="AJ122" i="2"/>
  <c r="AX162" i="2"/>
  <c r="O7" i="2"/>
  <c r="AN18" i="2"/>
  <c r="K29" i="2"/>
  <c r="AQ44" i="2"/>
  <c r="AU58" i="2"/>
  <c r="L77" i="2"/>
  <c r="AR95" i="2"/>
  <c r="BG109" i="2"/>
  <c r="J134" i="2"/>
  <c r="R164" i="2"/>
  <c r="AO10" i="2"/>
  <c r="K20" i="2"/>
  <c r="AB34" i="2"/>
  <c r="BF46" i="2"/>
  <c r="O65" i="2"/>
  <c r="AA81" i="2"/>
  <c r="AC98" i="2"/>
  <c r="R112" i="2"/>
  <c r="BF139" i="2"/>
  <c r="AR180" i="2"/>
  <c r="AP10" i="2"/>
  <c r="Y22" i="2"/>
  <c r="AW33" i="2"/>
  <c r="AP48" i="2"/>
  <c r="AZ63" i="2"/>
  <c r="O83" i="2"/>
  <c r="AN96" i="2"/>
  <c r="AJ115" i="2"/>
  <c r="Z138" i="2"/>
  <c r="Q173" i="2"/>
  <c r="M8" i="2"/>
  <c r="AL19" i="2"/>
  <c r="AX33" i="2"/>
  <c r="L46" i="2"/>
  <c r="BI63" i="2"/>
  <c r="O77" i="2"/>
  <c r="AO96" i="2"/>
  <c r="AW111" i="2"/>
  <c r="L139" i="2"/>
  <c r="AK164" i="2"/>
  <c r="J24" i="2"/>
  <c r="Y33" i="2"/>
  <c r="AA45" i="2"/>
  <c r="T56" i="2"/>
  <c r="AL70" i="2"/>
  <c r="I86" i="2"/>
  <c r="BE97" i="2"/>
  <c r="J112" i="2"/>
  <c r="AX126" i="2"/>
  <c r="AD151" i="2"/>
  <c r="BD186" i="2"/>
  <c r="BD31" i="2"/>
  <c r="AQ41" i="3"/>
  <c r="AQ41" i="2" s="1"/>
  <c r="AQ42" i="2"/>
  <c r="BJ55" i="2"/>
  <c r="N67" i="2"/>
  <c r="AX82" i="2"/>
  <c r="AD94" i="2"/>
  <c r="AY108" i="2"/>
  <c r="AY126" i="2"/>
  <c r="H145" i="2"/>
  <c r="X179" i="2"/>
  <c r="BE27" i="2"/>
  <c r="Q39" i="2"/>
  <c r="BI49" i="2"/>
  <c r="R64" i="2"/>
  <c r="BK75" i="2"/>
  <c r="AC91" i="2"/>
  <c r="AA102" i="2"/>
  <c r="AI118" i="2"/>
  <c r="AI117" i="3"/>
  <c r="AI117" i="2" s="1"/>
  <c r="M134" i="2"/>
  <c r="L164" i="2"/>
  <c r="H25" i="2"/>
  <c r="AQ34" i="2"/>
  <c r="V47" i="2"/>
  <c r="BM58" i="2"/>
  <c r="AC74" i="2"/>
  <c r="BL89" i="2"/>
  <c r="AR101" i="2"/>
  <c r="AE119" i="2"/>
  <c r="P141" i="2"/>
  <c r="AH167" i="2"/>
  <c r="AJ55" i="2"/>
  <c r="AE68" i="2"/>
  <c r="BI78" i="2"/>
  <c r="BF91" i="2"/>
  <c r="BF103" i="2"/>
  <c r="H113" i="2"/>
  <c r="X130" i="2"/>
  <c r="M153" i="2"/>
  <c r="I178" i="2"/>
  <c r="V54" i="2"/>
  <c r="V66" i="2"/>
  <c r="AK75" i="2"/>
  <c r="AH88" i="2"/>
  <c r="AH100" i="2"/>
  <c r="AW109" i="2"/>
  <c r="H125" i="2"/>
  <c r="BL145" i="2"/>
  <c r="AX167" i="2"/>
  <c r="W50" i="2"/>
  <c r="W62" i="2"/>
  <c r="AL71" i="2"/>
  <c r="AI84" i="2"/>
  <c r="AI96" i="2"/>
  <c r="AX105" i="2"/>
  <c r="AP119" i="2"/>
  <c r="AN137" i="2"/>
  <c r="W158" i="2"/>
  <c r="AQ186" i="2"/>
  <c r="I57" i="2"/>
  <c r="AR66" i="2"/>
  <c r="AR78" i="2"/>
  <c r="AJ92" i="2"/>
  <c r="AT102" i="2"/>
  <c r="P116" i="2"/>
  <c r="AC134" i="2"/>
  <c r="AJ150" i="2"/>
  <c r="H181" i="2"/>
  <c r="R122" i="2"/>
  <c r="BC132" i="2"/>
  <c r="AK150" i="2"/>
  <c r="AQ174" i="2"/>
  <c r="BE114" i="2"/>
  <c r="AH128" i="2"/>
  <c r="BI143" i="2"/>
  <c r="AA162" i="2"/>
  <c r="V187" i="2"/>
  <c r="P124" i="2"/>
  <c r="Q136" i="2"/>
  <c r="BE153" i="2"/>
  <c r="AJ178" i="2"/>
  <c r="I116" i="2"/>
  <c r="AR130" i="2"/>
  <c r="J147" i="2"/>
  <c r="AG164" i="2"/>
  <c r="BE192" i="2"/>
  <c r="AH135" i="2"/>
  <c r="AR145" i="2"/>
  <c r="S164" i="2"/>
  <c r="N183" i="2"/>
  <c r="J128" i="2"/>
  <c r="S140" i="2"/>
  <c r="Z157" i="2"/>
  <c r="BJ172" i="2"/>
  <c r="AY132" i="2"/>
  <c r="N147" i="2"/>
  <c r="U161" i="2"/>
  <c r="AW180" i="2"/>
  <c r="AA129" i="2"/>
  <c r="BM138" i="2"/>
  <c r="G155" i="3"/>
  <c r="G155" i="2" s="1"/>
  <c r="G156" i="2"/>
  <c r="V175" i="2"/>
  <c r="AZ192" i="2"/>
  <c r="AB180" i="2"/>
  <c r="BK170" i="2"/>
  <c r="AT184" i="2"/>
  <c r="AF186" i="2"/>
  <c r="BC152" i="2"/>
  <c r="AW167" i="2"/>
  <c r="U184" i="2"/>
  <c r="AD146" i="2"/>
  <c r="AQ158" i="2"/>
  <c r="AO172" i="2"/>
  <c r="AX186" i="2"/>
  <c r="Y149" i="2"/>
  <c r="AX164" i="2"/>
  <c r="U178" i="2"/>
  <c r="AZ190" i="2"/>
  <c r="Z149" i="2"/>
  <c r="L165" i="2"/>
  <c r="AM176" i="2"/>
  <c r="AY192" i="2"/>
  <c r="BG159" i="2"/>
  <c r="I169" i="2"/>
  <c r="I181" i="2"/>
  <c r="W150" i="2"/>
  <c r="AI160" i="2"/>
  <c r="AI172" i="2"/>
  <c r="AM184" i="2"/>
  <c r="AR150" i="2"/>
  <c r="P164" i="2"/>
  <c r="K177" i="2"/>
  <c r="R187" i="2"/>
  <c r="AH191" i="2"/>
  <c r="AC191" i="2"/>
  <c r="BI189" i="2"/>
  <c r="AR67" i="2"/>
  <c r="AB102" i="2"/>
  <c r="BD147" i="2"/>
  <c r="AE64" i="2"/>
  <c r="AB93" i="2"/>
  <c r="AF113" i="2"/>
  <c r="AH161" i="2"/>
  <c r="AP62" i="2"/>
  <c r="X90" i="2"/>
  <c r="BB117" i="3"/>
  <c r="BB117" i="2" s="1"/>
  <c r="BB118" i="2"/>
  <c r="U168" i="2"/>
  <c r="H65" i="2"/>
  <c r="Y86" i="2"/>
  <c r="BE121" i="2"/>
  <c r="BI158" i="2"/>
  <c r="N60" i="2"/>
  <c r="AJ88" i="2"/>
  <c r="BD117" i="3"/>
  <c r="BD117" i="2" s="1"/>
  <c r="BD118" i="2"/>
  <c r="AL117" i="3"/>
  <c r="AL117" i="2" s="1"/>
  <c r="AL118" i="2"/>
  <c r="BG122" i="2"/>
  <c r="AD120" i="2"/>
  <c r="AO136" i="2"/>
  <c r="Q170" i="2"/>
  <c r="AN124" i="2"/>
  <c r="AR165" i="2"/>
  <c r="BB131" i="2"/>
  <c r="BL155" i="3"/>
  <c r="BL155" i="2" s="1"/>
  <c r="BL156" i="2"/>
  <c r="AY188" i="2"/>
  <c r="X142" i="2"/>
  <c r="Z173" i="2"/>
  <c r="AV142" i="2"/>
  <c r="AA173" i="2"/>
  <c r="AF132" i="2"/>
  <c r="AY158" i="2"/>
  <c r="AH163" i="2"/>
  <c r="AC166" i="2"/>
  <c r="BE178" i="2"/>
  <c r="N158" i="2"/>
  <c r="AF187" i="2"/>
  <c r="Z159" i="2"/>
  <c r="P182" i="2"/>
  <c r="AU158" i="2"/>
  <c r="BI181" i="2"/>
  <c r="K151" i="2"/>
  <c r="BJ176" i="2"/>
  <c r="N155" i="3"/>
  <c r="N155" i="2" s="1"/>
  <c r="N156" i="2"/>
  <c r="N176" i="2"/>
  <c r="H153" i="2"/>
  <c r="Y174" i="2"/>
  <c r="BL150" i="2"/>
  <c r="K173" i="2"/>
  <c r="BM185" i="2"/>
  <c r="BM188" i="2"/>
  <c r="F107" i="2"/>
  <c r="F123" i="2"/>
  <c r="F12" i="2"/>
  <c r="AF169" i="2"/>
  <c r="W159" i="2"/>
  <c r="AD76" i="2"/>
  <c r="J9" i="2"/>
  <c r="AO88" i="2"/>
  <c r="AY117" i="3"/>
  <c r="AY117" i="2" s="1"/>
  <c r="AY118" i="2"/>
  <c r="BG16" i="2"/>
  <c r="Y95" i="2"/>
  <c r="AK174" i="2"/>
  <c r="AE182" i="2"/>
  <c r="T12" i="2"/>
  <c r="AO97" i="2"/>
  <c r="AV130" i="2"/>
  <c r="BC71" i="2"/>
  <c r="K67" i="2"/>
  <c r="AA64" i="2"/>
  <c r="AB95" i="2"/>
  <c r="BA47" i="2"/>
  <c r="AS91" i="2"/>
  <c r="AN180" i="2"/>
  <c r="AQ97" i="2"/>
  <c r="AT75" i="2"/>
  <c r="BE13" i="2"/>
  <c r="AE70" i="2"/>
  <c r="BA22" i="2"/>
  <c r="AG127" i="2"/>
  <c r="AU31" i="2"/>
  <c r="I8" i="2"/>
  <c r="BA39" i="2"/>
  <c r="AG47" i="2"/>
  <c r="J68" i="2"/>
  <c r="AZ45" i="2"/>
  <c r="AW31" i="2"/>
  <c r="AK14" i="2"/>
  <c r="AR117" i="3"/>
  <c r="AR117" i="2" s="1"/>
  <c r="AR118" i="2"/>
  <c r="BK63" i="2"/>
  <c r="AI42" i="2"/>
  <c r="AI41" i="3"/>
  <c r="AI41" i="2" s="1"/>
  <c r="AJ142" i="2"/>
  <c r="AY22" i="2"/>
  <c r="R97" i="2"/>
  <c r="H32" i="2"/>
  <c r="BC40" i="2"/>
  <c r="R126" i="2"/>
  <c r="AP33" i="2"/>
  <c r="BA102" i="2"/>
  <c r="AH22" i="2"/>
  <c r="AP83" i="2"/>
  <c r="Z12" i="2"/>
  <c r="AU68" i="2"/>
  <c r="BF168" i="2"/>
  <c r="AD179" i="2"/>
  <c r="AI121" i="2"/>
  <c r="AJ121" i="2"/>
  <c r="W20" i="2"/>
  <c r="AO68" i="2"/>
  <c r="AK128" i="2"/>
  <c r="X20" i="2"/>
  <c r="AB66" i="2"/>
  <c r="AO124" i="2"/>
  <c r="W17" i="2"/>
  <c r="W60" i="2"/>
  <c r="AH114" i="2"/>
  <c r="AU11" i="2"/>
  <c r="L53" i="2"/>
  <c r="K110" i="2"/>
  <c r="BH14" i="2"/>
  <c r="H48" i="2"/>
  <c r="Y92" i="2"/>
  <c r="L145" i="2"/>
  <c r="AN21" i="2"/>
  <c r="I48" i="2"/>
  <c r="Z92" i="2"/>
  <c r="G146" i="2"/>
  <c r="Q19" i="2"/>
  <c r="AS44" i="2"/>
  <c r="R88" i="2"/>
  <c r="BG139" i="2"/>
  <c r="R15" i="2"/>
  <c r="AQ48" i="2"/>
  <c r="AB92" i="2"/>
  <c r="BM146" i="2"/>
  <c r="BM33" i="2"/>
  <c r="AR56" i="2"/>
  <c r="AY91" i="2"/>
  <c r="AX108" i="2"/>
  <c r="AN143" i="2"/>
  <c r="AJ35" i="2"/>
  <c r="Y68" i="2"/>
  <c r="BB94" i="2"/>
  <c r="Y135" i="2"/>
  <c r="BJ22" i="2"/>
  <c r="BG43" i="2"/>
  <c r="AD60" i="2"/>
  <c r="BC94" i="2"/>
  <c r="BA134" i="2"/>
  <c r="AB29" i="2"/>
  <c r="AV59" i="2"/>
  <c r="H94" i="2"/>
  <c r="N134" i="2"/>
  <c r="AT57" i="2"/>
  <c r="AV93" i="2"/>
  <c r="BM122" i="2"/>
  <c r="AI179" i="2"/>
  <c r="AA69" i="2"/>
  <c r="I97" i="2"/>
  <c r="AN128" i="2"/>
  <c r="O188" i="2"/>
  <c r="M72" i="2"/>
  <c r="BH99" i="2"/>
  <c r="AL132" i="2"/>
  <c r="BI192" i="2"/>
  <c r="AW73" i="2"/>
  <c r="AO103" i="2"/>
  <c r="H139" i="2"/>
  <c r="AR186" i="2"/>
  <c r="H142" i="2"/>
  <c r="AF115" i="2"/>
  <c r="AN149" i="2"/>
  <c r="W113" i="2"/>
  <c r="BA145" i="2"/>
  <c r="AW116" i="2"/>
  <c r="BF152" i="2"/>
  <c r="I132" i="2"/>
  <c r="G167" i="2"/>
  <c r="AI135" i="2"/>
  <c r="J162" i="2"/>
  <c r="H143" i="2"/>
  <c r="BF183" i="2"/>
  <c r="X148" i="2"/>
  <c r="BK163" i="2"/>
  <c r="BK175" i="2"/>
  <c r="R148" i="2"/>
  <c r="BM187" i="2"/>
  <c r="O167" i="2"/>
  <c r="AC150" i="2"/>
  <c r="Q182" i="2"/>
  <c r="BF160" i="2"/>
  <c r="AH155" i="3"/>
  <c r="AH155" i="2" s="1"/>
  <c r="AH156" i="2"/>
  <c r="S183" i="2"/>
  <c r="BH167" i="2"/>
  <c r="S151" i="2"/>
  <c r="BD180" i="2"/>
  <c r="AJ190" i="2"/>
  <c r="F23" i="2"/>
  <c r="F176" i="2"/>
  <c r="T40" i="2"/>
  <c r="BL12" i="2"/>
  <c r="AO15" i="2"/>
  <c r="BL5" i="2"/>
  <c r="I134" i="2"/>
  <c r="AZ129" i="2"/>
  <c r="AO190" i="2"/>
  <c r="AB3" i="3"/>
  <c r="AB3" i="2" s="1"/>
  <c r="AB4" i="2"/>
  <c r="W16" i="2"/>
  <c r="AX98" i="2"/>
  <c r="AR136" i="2"/>
  <c r="AT78" i="2"/>
  <c r="BG68" i="2"/>
  <c r="BB30" i="2"/>
  <c r="AI126" i="2"/>
  <c r="BF32" i="2"/>
  <c r="U46" i="2"/>
  <c r="M26" i="2"/>
  <c r="AA122" i="2"/>
  <c r="P37" i="2"/>
  <c r="H10" i="2"/>
  <c r="BI8" i="2"/>
  <c r="Q103" i="2"/>
  <c r="V115" i="2"/>
  <c r="AV63" i="2"/>
  <c r="AP43" i="2"/>
  <c r="AB48" i="2"/>
  <c r="BL71" i="2"/>
  <c r="AB47" i="2"/>
  <c r="AF33" i="2"/>
  <c r="X15" i="2"/>
  <c r="AV119" i="2"/>
  <c r="AI142" i="2"/>
  <c r="Q60" i="2"/>
  <c r="AR48" i="2"/>
  <c r="T37" i="2"/>
  <c r="K127" i="2"/>
  <c r="AE10" i="2"/>
  <c r="BA81" i="2"/>
  <c r="AO9" i="2"/>
  <c r="AZ66" i="2"/>
  <c r="AF182" i="2"/>
  <c r="BL49" i="2"/>
  <c r="BM134" i="2"/>
  <c r="BI35" i="2"/>
  <c r="BD102" i="2"/>
  <c r="AU117" i="3"/>
  <c r="AU117" i="2" s="1"/>
  <c r="AU118" i="2"/>
  <c r="AG144" i="2"/>
  <c r="H86" i="2"/>
  <c r="Z190" i="2"/>
  <c r="Y43" i="2"/>
  <c r="S97" i="2"/>
  <c r="AA191" i="2"/>
  <c r="Z43" i="2"/>
  <c r="AV95" i="2"/>
  <c r="AY180" i="2"/>
  <c r="X38" i="2"/>
  <c r="BI88" i="2"/>
  <c r="BB154" i="2"/>
  <c r="Y31" i="2"/>
  <c r="AO82" i="2"/>
  <c r="U147" i="2"/>
  <c r="O15" i="2"/>
  <c r="AN48" i="2"/>
  <c r="AU82" i="2"/>
  <c r="L113" i="2"/>
  <c r="AE179" i="2"/>
  <c r="P30" i="2"/>
  <c r="AQ59" i="2"/>
  <c r="BF92" i="2"/>
  <c r="AJ130" i="2"/>
  <c r="V6" i="2"/>
  <c r="AR27" i="2"/>
  <c r="AT88" i="2"/>
  <c r="AC31" i="2"/>
  <c r="AX20" i="2"/>
  <c r="AV48" i="2"/>
  <c r="AE83" i="2"/>
  <c r="AB119" i="2"/>
  <c r="Z21" i="2"/>
  <c r="AX51" i="2"/>
  <c r="AH86" i="2"/>
  <c r="H123" i="2"/>
  <c r="Q23" i="2"/>
  <c r="J52" i="2"/>
  <c r="BG86" i="2"/>
  <c r="I123" i="2"/>
  <c r="R23" i="2"/>
  <c r="O52" i="2"/>
  <c r="L86" i="2"/>
  <c r="AX122" i="2"/>
  <c r="BI50" i="2"/>
  <c r="BA80" i="2"/>
  <c r="BA79" i="3"/>
  <c r="BA79" i="2" s="1"/>
  <c r="AL107" i="2"/>
  <c r="AR147" i="2"/>
  <c r="AF56" i="2"/>
  <c r="AF76" i="2"/>
  <c r="AC97" i="2"/>
  <c r="G189" i="2"/>
  <c r="BB60" i="2"/>
  <c r="L147" i="2"/>
  <c r="AZ178" i="2"/>
  <c r="BC135" i="2"/>
  <c r="AK162" i="2"/>
  <c r="AJ135" i="2"/>
  <c r="AL162" i="2"/>
  <c r="AP126" i="2"/>
  <c r="AY148" i="2"/>
  <c r="AX180" i="2"/>
  <c r="Z183" i="2"/>
  <c r="AE186" i="2"/>
  <c r="AK190" i="2"/>
  <c r="BL168" i="2"/>
  <c r="AS143" i="2"/>
  <c r="AL167" i="2"/>
  <c r="K192" i="2"/>
  <c r="P167" i="2"/>
  <c r="AN182" i="2"/>
  <c r="AP144" i="2"/>
  <c r="BB169" i="2"/>
  <c r="G149" i="2"/>
  <c r="X170" i="2"/>
  <c r="AJ191" i="2"/>
  <c r="AD161" i="2"/>
  <c r="AD181" i="2"/>
  <c r="AO159" i="2"/>
  <c r="K181" i="2"/>
  <c r="AO186" i="2"/>
  <c r="F53" i="2"/>
  <c r="F69" i="2"/>
  <c r="F149" i="2"/>
  <c r="O47" i="2"/>
  <c r="BF14" i="2"/>
  <c r="AP17" i="2"/>
  <c r="AC43" i="2"/>
  <c r="AB96" i="2"/>
  <c r="BC3" i="3"/>
  <c r="BC3" i="2" s="1"/>
  <c r="BC4" i="2"/>
  <c r="N5" i="2"/>
  <c r="U28" i="2"/>
  <c r="AJ28" i="2"/>
  <c r="BD54" i="2"/>
  <c r="I18" i="2"/>
  <c r="BI130" i="2"/>
  <c r="BI170" i="2"/>
  <c r="M33" i="2"/>
  <c r="BA132" i="2"/>
  <c r="AM62" i="2"/>
  <c r="BE50" i="2"/>
  <c r="AV188" i="2"/>
  <c r="AO57" i="2"/>
  <c r="BH128" i="2"/>
  <c r="U106" i="2"/>
  <c r="W84" i="2"/>
  <c r="AV67" i="2"/>
  <c r="P18" i="2"/>
  <c r="L17" i="2"/>
  <c r="P191" i="2"/>
  <c r="BA29" i="2"/>
  <c r="Q164" i="2"/>
  <c r="BB165" i="2"/>
  <c r="J130" i="2"/>
  <c r="AI37" i="2"/>
  <c r="AD58" i="2"/>
  <c r="AK22" i="2"/>
  <c r="G27" i="2"/>
  <c r="X104" i="2"/>
  <c r="BL9" i="2"/>
  <c r="BG77" i="2"/>
  <c r="AC35" i="2"/>
  <c r="V43" i="2"/>
  <c r="AY128" i="2"/>
  <c r="BC34" i="2"/>
  <c r="I104" i="2"/>
  <c r="S187" i="2"/>
  <c r="AA36" i="2"/>
  <c r="J104" i="2"/>
  <c r="V24" i="2"/>
  <c r="AZ85" i="2"/>
  <c r="BM99" i="2"/>
  <c r="BI114" i="2"/>
  <c r="N157" i="2"/>
  <c r="G3" i="3"/>
  <c r="G3" i="2" s="1"/>
  <c r="G4" i="2"/>
  <c r="BA43" i="2"/>
  <c r="BC97" i="2"/>
  <c r="H3" i="3"/>
  <c r="H3" i="2" s="1"/>
  <c r="H4" i="2"/>
  <c r="BB43" i="2"/>
  <c r="R96" i="2"/>
  <c r="H183" i="2"/>
  <c r="AZ38" i="2"/>
  <c r="AU74" i="2"/>
  <c r="AW134" i="2"/>
  <c r="W21" i="2"/>
  <c r="H68" i="2"/>
  <c r="AR128" i="2"/>
  <c r="AI15" i="2"/>
  <c r="AM49" i="2"/>
  <c r="T93" i="2"/>
  <c r="BB129" i="2"/>
  <c r="BD7" i="2"/>
  <c r="W39" i="2"/>
  <c r="Y93" i="2"/>
  <c r="AG147" i="2"/>
  <c r="BE19" i="2"/>
  <c r="AD56" i="2"/>
  <c r="Q89" i="2"/>
  <c r="AC141" i="2"/>
  <c r="BF15" i="2"/>
  <c r="AP49" i="2"/>
  <c r="AA93" i="2"/>
  <c r="AO148" i="2"/>
  <c r="BC27" i="2"/>
  <c r="BC57" i="2"/>
  <c r="AL92" i="2"/>
  <c r="AE130" i="2"/>
  <c r="AT21" i="2"/>
  <c r="I52" i="2"/>
  <c r="BF86" i="2"/>
  <c r="AN123" i="2"/>
  <c r="AK23" i="2"/>
  <c r="AL52" i="2"/>
  <c r="Q87" i="2"/>
  <c r="AN112" i="2"/>
  <c r="X172" i="2"/>
  <c r="AI44" i="2"/>
  <c r="N69" i="2"/>
  <c r="AH103" i="2"/>
  <c r="AW150" i="2"/>
  <c r="AT65" i="2"/>
  <c r="AQ94" i="2"/>
  <c r="AQ114" i="2"/>
  <c r="AG163" i="2"/>
  <c r="AK63" i="2"/>
  <c r="S91" i="2"/>
  <c r="BM119" i="2"/>
  <c r="AV171" i="2"/>
  <c r="BA72" i="2"/>
  <c r="AX93" i="2"/>
  <c r="BF113" i="2"/>
  <c r="BK160" i="2"/>
  <c r="I61" i="2"/>
  <c r="AE89" i="2"/>
  <c r="AO111" i="2"/>
  <c r="AJ154" i="2"/>
  <c r="U126" i="2"/>
  <c r="AQ169" i="2"/>
  <c r="W131" i="2"/>
  <c r="BK177" i="2"/>
  <c r="AX137" i="2"/>
  <c r="AV186" i="2"/>
  <c r="AI143" i="2"/>
  <c r="S126" i="2"/>
  <c r="O158" i="2"/>
  <c r="AS129" i="2"/>
  <c r="AD163" i="2"/>
  <c r="BD143" i="2"/>
  <c r="BL184" i="2"/>
  <c r="L149" i="2"/>
  <c r="AU164" i="2"/>
  <c r="AU167" i="2"/>
  <c r="AG180" i="2"/>
  <c r="V169" i="2"/>
  <c r="AF151" i="2"/>
  <c r="V183" i="2"/>
  <c r="AP167" i="2"/>
  <c r="BJ144" i="2"/>
  <c r="V178" i="2"/>
  <c r="BG163" i="2"/>
  <c r="BI191" i="2"/>
  <c r="T175" i="2"/>
  <c r="BI159" i="2"/>
  <c r="AE181" i="2"/>
  <c r="BI186" i="2"/>
  <c r="F22" i="2"/>
  <c r="F165" i="2"/>
  <c r="F17" i="2"/>
  <c r="F30" i="2"/>
  <c r="AS149" i="2"/>
  <c r="BL122" i="2"/>
  <c r="O42" i="2"/>
  <c r="O41" i="3"/>
  <c r="O41" i="2" s="1"/>
  <c r="H134" i="2"/>
  <c r="AY18" i="2"/>
  <c r="U25" i="2"/>
  <c r="AU43" i="2"/>
  <c r="Z32" i="2"/>
  <c r="J56" i="2"/>
  <c r="AZ151" i="2"/>
  <c r="Q26" i="2"/>
  <c r="H122" i="2"/>
  <c r="AB63" i="2"/>
  <c r="AY13" i="2"/>
  <c r="O142" i="2"/>
  <c r="AO127" i="2"/>
  <c r="BK101" i="2"/>
  <c r="O66" i="2"/>
  <c r="AI51" i="2"/>
  <c r="AS69" i="2"/>
  <c r="BI9" i="2"/>
  <c r="AB192" i="2"/>
  <c r="M31" i="2"/>
  <c r="Z38" i="2"/>
  <c r="J11" i="2"/>
  <c r="M182" i="2"/>
  <c r="BJ107" i="2"/>
  <c r="AX61" i="2"/>
  <c r="U29" i="2"/>
  <c r="AD11" i="2"/>
  <c r="AC170" i="2"/>
  <c r="AL54" i="2"/>
  <c r="AG38" i="2"/>
  <c r="AB22" i="2"/>
  <c r="BA5" i="2"/>
  <c r="AG27" i="2"/>
  <c r="Y57" i="2"/>
  <c r="BG104" i="2"/>
  <c r="M86" i="2"/>
  <c r="J65" i="2"/>
  <c r="H22" i="2"/>
  <c r="L7" i="2"/>
  <c r="W5" i="2"/>
  <c r="AE123" i="2"/>
  <c r="AY162" i="2"/>
  <c r="BF109" i="2"/>
  <c r="AZ61" i="2"/>
  <c r="O20" i="2"/>
  <c r="AV185" i="2"/>
  <c r="AR80" i="2"/>
  <c r="AR79" i="3"/>
  <c r="AR79" i="2" s="1"/>
  <c r="Y52" i="2"/>
  <c r="BF9" i="2"/>
  <c r="AH34" i="2"/>
  <c r="P73" i="2"/>
  <c r="W112" i="2"/>
  <c r="N107" i="2"/>
  <c r="AQ136" i="2"/>
  <c r="AJ126" i="2"/>
  <c r="BE107" i="2"/>
  <c r="AM68" i="2"/>
  <c r="BD40" i="2"/>
  <c r="AD182" i="2"/>
  <c r="AP99" i="2"/>
  <c r="AG54" i="2"/>
  <c r="K57" i="2"/>
  <c r="X29" i="2"/>
  <c r="AT7" i="2"/>
  <c r="AP3" i="3"/>
  <c r="AP3" i="2" s="1"/>
  <c r="AP4" i="2"/>
  <c r="AN28" i="2"/>
  <c r="M63" i="2"/>
  <c r="BI106" i="2"/>
  <c r="H59" i="2"/>
  <c r="V128" i="2"/>
  <c r="O37" i="2"/>
  <c r="K80" i="2"/>
  <c r="K79" i="3"/>
  <c r="K79" i="2" s="1"/>
  <c r="BD139" i="2"/>
  <c r="G50" i="2"/>
  <c r="W115" i="2"/>
  <c r="AO25" i="2"/>
  <c r="P110" i="2"/>
  <c r="L13" i="2"/>
  <c r="S78" i="2"/>
  <c r="AK9" i="2"/>
  <c r="BD91" i="2"/>
  <c r="N10" i="2"/>
  <c r="AR25" i="2"/>
  <c r="Q44" i="2"/>
  <c r="AJ68" i="2"/>
  <c r="AG105" i="2"/>
  <c r="S133" i="2"/>
  <c r="AW88" i="2"/>
  <c r="AG19" i="2"/>
  <c r="AG124" i="2"/>
  <c r="W40" i="2"/>
  <c r="P105" i="2"/>
  <c r="AU19" i="2"/>
  <c r="Z70" i="2"/>
  <c r="I15" i="2"/>
  <c r="AM69" i="2"/>
  <c r="U3" i="3"/>
  <c r="U3" i="2" s="1"/>
  <c r="U4" i="2"/>
  <c r="AW46" i="2"/>
  <c r="AL115" i="2"/>
  <c r="AQ12" i="2"/>
  <c r="AJ30" i="2"/>
  <c r="AB50" i="2"/>
  <c r="AL77" i="2"/>
  <c r="BM111" i="2"/>
  <c r="L168" i="2"/>
  <c r="BG85" i="2"/>
  <c r="AM6" i="2"/>
  <c r="J61" i="2"/>
  <c r="BH169" i="2"/>
  <c r="Z59" i="2"/>
  <c r="AS161" i="2"/>
  <c r="BC55" i="2"/>
  <c r="AJ134" i="2"/>
  <c r="AU41" i="3"/>
  <c r="AU41" i="2" s="1"/>
  <c r="AU42" i="2"/>
  <c r="AC121" i="2"/>
  <c r="AK40" i="2"/>
  <c r="L130" i="2"/>
  <c r="Q17" i="2"/>
  <c r="BF36" i="2"/>
  <c r="AY59" i="2"/>
  <c r="J88" i="2"/>
  <c r="AN121" i="2"/>
  <c r="AL175" i="2"/>
  <c r="T23" i="2"/>
  <c r="AH74" i="2"/>
  <c r="Y165" i="2"/>
  <c r="BA14" i="2"/>
  <c r="BB27" i="2"/>
  <c r="N45" i="2"/>
  <c r="P62" i="2"/>
  <c r="K83" i="2"/>
  <c r="BI108" i="2"/>
  <c r="BJ148" i="2"/>
  <c r="AA56" i="2"/>
  <c r="H127" i="2"/>
  <c r="AD10" i="2"/>
  <c r="AS24" i="2"/>
  <c r="AD39" i="2"/>
  <c r="AZ58" i="2"/>
  <c r="AA78" i="2"/>
  <c r="BL100" i="2"/>
  <c r="Y132" i="2"/>
  <c r="AP188" i="2"/>
  <c r="R37" i="2"/>
  <c r="AG111" i="2"/>
  <c r="G12" i="2"/>
  <c r="AL26" i="2"/>
  <c r="AU44" i="2"/>
  <c r="BH64" i="2"/>
  <c r="Y83" i="2"/>
  <c r="AS103" i="2"/>
  <c r="J131" i="2"/>
  <c r="AK175" i="2"/>
  <c r="AF11" i="2"/>
  <c r="AG22" i="2"/>
  <c r="W35" i="2"/>
  <c r="AH50" i="2"/>
  <c r="AS68" i="2"/>
  <c r="AT85" i="2"/>
  <c r="BH105" i="2"/>
  <c r="O140" i="2"/>
  <c r="N189" i="2"/>
  <c r="W13" i="2"/>
  <c r="BE24" i="2"/>
  <c r="AM37" i="2"/>
  <c r="J51" i="2"/>
  <c r="AG69" i="2"/>
  <c r="S86" i="2"/>
  <c r="BI105" i="2"/>
  <c r="P140" i="2"/>
  <c r="O189" i="2"/>
  <c r="BD13" i="2"/>
  <c r="BF24" i="2"/>
  <c r="AN37" i="2"/>
  <c r="AS52" i="2"/>
  <c r="BE70" i="2"/>
  <c r="T86" i="2"/>
  <c r="K104" i="2"/>
  <c r="AX131" i="2"/>
  <c r="BE179" i="2"/>
  <c r="AP100" i="2"/>
  <c r="P120" i="2"/>
  <c r="BF143" i="2"/>
  <c r="AD188" i="2"/>
  <c r="AU115" i="2"/>
  <c r="BH146" i="2"/>
  <c r="AG102" i="2"/>
  <c r="BM126" i="2"/>
  <c r="AC158" i="2"/>
  <c r="AH87" i="2"/>
  <c r="W104" i="2"/>
  <c r="K124" i="2"/>
  <c r="Q155" i="3"/>
  <c r="Q155" i="2" s="1"/>
  <c r="Q156" i="2"/>
  <c r="AI3" i="3"/>
  <c r="AI3" i="2" s="1"/>
  <c r="AI4" i="2"/>
  <c r="M13" i="2"/>
  <c r="AZ21" i="2"/>
  <c r="AW32" i="2"/>
  <c r="X44" i="2"/>
  <c r="BG56" i="2"/>
  <c r="AA70" i="2"/>
  <c r="BK84" i="2"/>
  <c r="U98" i="2"/>
  <c r="Z112" i="2"/>
  <c r="AD131" i="2"/>
  <c r="AZ155" i="3"/>
  <c r="AZ155" i="2" s="1"/>
  <c r="AZ156" i="2"/>
  <c r="AJ3" i="3"/>
  <c r="AJ3" i="2" s="1"/>
  <c r="AJ4" i="2"/>
  <c r="N13" i="2"/>
  <c r="BA21" i="2"/>
  <c r="BB32" i="2"/>
  <c r="Y44" i="2"/>
  <c r="AZ55" i="2"/>
  <c r="Q69" i="2"/>
  <c r="Q83" i="2"/>
  <c r="BF96" i="2"/>
  <c r="AW110" i="2"/>
  <c r="BD127" i="2"/>
  <c r="P149" i="2"/>
  <c r="AJ184" i="2"/>
  <c r="K10" i="2"/>
  <c r="AE18" i="2"/>
  <c r="AQ28" i="2"/>
  <c r="N39" i="2"/>
  <c r="R50" i="2"/>
  <c r="AG62" i="2"/>
  <c r="Z75" i="2"/>
  <c r="AN90" i="2"/>
  <c r="BJ102" i="2"/>
  <c r="AE116" i="2"/>
  <c r="AL135" i="2"/>
  <c r="H161" i="2"/>
  <c r="AL4" i="2"/>
  <c r="AL3" i="3"/>
  <c r="AL3" i="2" s="1"/>
  <c r="P13" i="2"/>
  <c r="BC21" i="2"/>
  <c r="X32" i="2"/>
  <c r="BL43" i="2"/>
  <c r="BC54" i="2"/>
  <c r="AR68" i="2"/>
  <c r="BK83" i="2"/>
  <c r="BJ97" i="2"/>
  <c r="BJ111" i="2"/>
  <c r="AH129" i="2"/>
  <c r="AF149" i="2"/>
  <c r="G187" i="2"/>
  <c r="Y9" i="2"/>
  <c r="BC15" i="2"/>
  <c r="AU22" i="2"/>
  <c r="Z31" i="2"/>
  <c r="AT39" i="2"/>
  <c r="AD50" i="2"/>
  <c r="AH61" i="2"/>
  <c r="AO71" i="2"/>
  <c r="AS83" i="2"/>
  <c r="BD93" i="2"/>
  <c r="AB104" i="2"/>
  <c r="W114" i="2"/>
  <c r="AI130" i="2"/>
  <c r="AA148" i="2"/>
  <c r="AI181" i="2"/>
  <c r="K8" i="2"/>
  <c r="AJ15" i="2"/>
  <c r="AV22" i="2"/>
  <c r="AA31" i="2"/>
  <c r="AU39" i="2"/>
  <c r="AE50" i="2"/>
  <c r="AN60" i="2"/>
  <c r="AP71" i="2"/>
  <c r="AT83" i="2"/>
  <c r="BE93" i="2"/>
  <c r="AC104" i="2"/>
  <c r="AB114" i="2"/>
  <c r="BA131" i="2"/>
  <c r="AM148" i="2"/>
  <c r="G176" i="2"/>
  <c r="BJ6" i="2"/>
  <c r="AA13" i="2"/>
  <c r="L20" i="2"/>
  <c r="BC28" i="2"/>
  <c r="I37" i="2"/>
  <c r="K46" i="2"/>
  <c r="BJ56" i="2"/>
  <c r="AH67" i="2"/>
  <c r="AG78" i="2"/>
  <c r="AS89" i="2"/>
  <c r="U100" i="2"/>
  <c r="P111" i="2"/>
  <c r="AD125" i="2"/>
  <c r="BG142" i="2"/>
  <c r="AC164" i="2"/>
  <c r="BA185" i="2"/>
  <c r="AB9" i="2"/>
  <c r="M16" i="2"/>
  <c r="AG23" i="2"/>
  <c r="P32" i="2"/>
  <c r="AJ40" i="2"/>
  <c r="AG50" i="2"/>
  <c r="AP60" i="2"/>
  <c r="L71" i="2"/>
  <c r="P83" i="2"/>
  <c r="BG93" i="2"/>
  <c r="BK104" i="2"/>
  <c r="AZ116" i="2"/>
  <c r="BK132" i="2"/>
  <c r="AE149" i="2"/>
  <c r="N170" i="2"/>
  <c r="AS21" i="2"/>
  <c r="J28" i="2"/>
  <c r="BH34" i="2"/>
  <c r="AP41" i="3"/>
  <c r="AP41" i="2" s="1"/>
  <c r="AP42" i="2"/>
  <c r="AI49" i="2"/>
  <c r="J58" i="2"/>
  <c r="BB66" i="2"/>
  <c r="I75" i="2"/>
  <c r="R84" i="2"/>
  <c r="BJ92" i="2"/>
  <c r="AO101" i="2"/>
  <c r="BI109" i="2"/>
  <c r="U120" i="2"/>
  <c r="AG131" i="2"/>
  <c r="BF145" i="2"/>
  <c r="S168" i="2"/>
  <c r="U22" i="2"/>
  <c r="Z29" i="2"/>
  <c r="AE36" i="2"/>
  <c r="AG44" i="2"/>
  <c r="AK52" i="2"/>
  <c r="P61" i="2"/>
  <c r="AJ69" i="2"/>
  <c r="K78" i="2"/>
  <c r="P87" i="2"/>
  <c r="BL95" i="2"/>
  <c r="S104" i="2"/>
  <c r="BK112" i="2"/>
  <c r="AV124" i="2"/>
  <c r="H137" i="2"/>
  <c r="Y152" i="2"/>
  <c r="BJ174" i="2"/>
  <c r="BE23" i="2"/>
  <c r="AP30" i="2"/>
  <c r="G37" i="2"/>
  <c r="BB44" i="2"/>
  <c r="BJ52" i="2"/>
  <c r="AO61" i="2"/>
  <c r="BI69" i="2"/>
  <c r="AJ78" i="2"/>
  <c r="AS87" i="2"/>
  <c r="BM95" i="2"/>
  <c r="T104" i="2"/>
  <c r="BL112" i="2"/>
  <c r="G124" i="2"/>
  <c r="I137" i="2"/>
  <c r="AA152" i="2"/>
  <c r="O173" i="2"/>
  <c r="BF23" i="2"/>
  <c r="AQ30" i="2"/>
  <c r="H37" i="2"/>
  <c r="BC44" i="2"/>
  <c r="BK52" i="2"/>
  <c r="BG60" i="2"/>
  <c r="AL69" i="2"/>
  <c r="BF77" i="2"/>
  <c r="BH86" i="2"/>
  <c r="N95" i="2"/>
  <c r="BJ103" i="2"/>
  <c r="AO112" i="2"/>
  <c r="AP123" i="2"/>
  <c r="AL136" i="2"/>
  <c r="AN151" i="2"/>
  <c r="AN172" i="2"/>
  <c r="AJ51" i="2"/>
  <c r="BI58" i="2"/>
  <c r="U66" i="2"/>
  <c r="Z73" i="2"/>
  <c r="AB81" i="2"/>
  <c r="M88" i="2"/>
  <c r="BK94" i="2"/>
  <c r="AB101" i="2"/>
  <c r="M108" i="2"/>
  <c r="Z115" i="2"/>
  <c r="M124" i="2"/>
  <c r="BB134" i="2"/>
  <c r="BD148" i="2"/>
  <c r="G164" i="2"/>
  <c r="AU182" i="2"/>
  <c r="AP50" i="2"/>
  <c r="G57" i="2"/>
  <c r="BE63" i="2"/>
  <c r="AP70" i="2"/>
  <c r="G77" i="2"/>
  <c r="BB84" i="2"/>
  <c r="AM91" i="2"/>
  <c r="X98" i="2"/>
  <c r="BB104" i="2"/>
  <c r="AM111" i="2"/>
  <c r="X120" i="2"/>
  <c r="Y130" i="2"/>
  <c r="AM141" i="2"/>
  <c r="AH154" i="2"/>
  <c r="AK172" i="2"/>
  <c r="AS191" i="2"/>
  <c r="H53" i="2"/>
  <c r="BF59" i="2"/>
  <c r="AQ66" i="2"/>
  <c r="H73" i="2"/>
  <c r="BC79" i="3"/>
  <c r="BC79" i="2" s="1"/>
  <c r="BC80" i="2"/>
  <c r="AN87" i="2"/>
  <c r="Y94" i="2"/>
  <c r="BC100" i="2"/>
  <c r="AN107" i="2"/>
  <c r="U114" i="2"/>
  <c r="AX123" i="2"/>
  <c r="AB134" i="2"/>
  <c r="AK146" i="2"/>
  <c r="AN161" i="2"/>
  <c r="K178" i="2"/>
  <c r="N48" i="2"/>
  <c r="BL54" i="2"/>
  <c r="AC61" i="2"/>
  <c r="N68" i="2"/>
  <c r="BL74" i="2"/>
  <c r="AT82" i="2"/>
  <c r="AY89" i="2"/>
  <c r="K97" i="2"/>
  <c r="AJ104" i="2"/>
  <c r="BI111" i="2"/>
  <c r="BB120" i="2"/>
  <c r="AA130" i="2"/>
  <c r="AU140" i="2"/>
  <c r="AR155" i="3"/>
  <c r="AR155" i="2" s="1"/>
  <c r="AR156" i="2"/>
  <c r="AX171" i="2"/>
  <c r="I189" i="2"/>
  <c r="BA119" i="2"/>
  <c r="AS126" i="2"/>
  <c r="AS134" i="2"/>
  <c r="AB143" i="2"/>
  <c r="AJ157" i="2"/>
  <c r="O170" i="2"/>
  <c r="H184" i="2"/>
  <c r="AA116" i="2"/>
  <c r="O124" i="2"/>
  <c r="AT131" i="2"/>
  <c r="AH140" i="2"/>
  <c r="AS151" i="2"/>
  <c r="AM165" i="2"/>
  <c r="AI178" i="2"/>
  <c r="R114" i="2"/>
  <c r="BM121" i="2"/>
  <c r="AK129" i="2"/>
  <c r="G138" i="2"/>
  <c r="I147" i="2"/>
  <c r="L160" i="2"/>
  <c r="AB172" i="2"/>
  <c r="W187" i="2"/>
  <c r="BI118" i="2"/>
  <c r="BI117" i="3"/>
  <c r="BI117" i="2" s="1"/>
  <c r="Y126" i="2"/>
  <c r="AV134" i="2"/>
  <c r="BK143" i="2"/>
  <c r="AA154" i="2"/>
  <c r="AR168" i="2"/>
  <c r="AJ183" i="2"/>
  <c r="AM126" i="2"/>
  <c r="X133" i="2"/>
  <c r="BJ139" i="2"/>
  <c r="BH147" i="2"/>
  <c r="AP158" i="2"/>
  <c r="AJ169" i="2"/>
  <c r="BA179" i="2"/>
  <c r="BM191" i="2"/>
  <c r="BM129" i="2"/>
  <c r="AD136" i="2"/>
  <c r="K144" i="2"/>
  <c r="AP152" i="2"/>
  <c r="BF163" i="2"/>
  <c r="Q175" i="2"/>
  <c r="AC185" i="2"/>
  <c r="K136" i="2"/>
  <c r="L144" i="2"/>
  <c r="AQ152" i="2"/>
  <c r="BJ163" i="2"/>
  <c r="R175" i="2"/>
  <c r="AD185" i="2"/>
  <c r="Q127" i="2"/>
  <c r="AU133" i="2"/>
  <c r="X141" i="2"/>
  <c r="AM149" i="2"/>
  <c r="AA160" i="2"/>
  <c r="AL170" i="2"/>
  <c r="BF181" i="2"/>
  <c r="N165" i="2"/>
  <c r="AO174" i="2"/>
  <c r="O184" i="2"/>
  <c r="G168" i="2"/>
  <c r="N177" i="2"/>
  <c r="AA187" i="2"/>
  <c r="BJ180" i="2"/>
  <c r="P192" i="2"/>
  <c r="BH149" i="2"/>
  <c r="S160" i="2"/>
  <c r="AV169" i="2"/>
  <c r="BF178" i="2"/>
  <c r="AL190" i="2"/>
  <c r="T144" i="2"/>
  <c r="BC151" i="2"/>
  <c r="BA160" i="2"/>
  <c r="V168" i="2"/>
  <c r="K176" i="2"/>
  <c r="AT183" i="2"/>
  <c r="Z143" i="2"/>
  <c r="AG151" i="2"/>
  <c r="AE160" i="2"/>
  <c r="BM167" i="2"/>
  <c r="BB175" i="2"/>
  <c r="W183" i="2"/>
  <c r="AF138" i="2"/>
  <c r="Q145" i="2"/>
  <c r="AO152" i="2"/>
  <c r="BJ161" i="2"/>
  <c r="AG170" i="2"/>
  <c r="AV178" i="2"/>
  <c r="L187" i="2"/>
  <c r="AU149" i="2"/>
  <c r="AC157" i="2"/>
  <c r="N164" i="2"/>
  <c r="BL170" i="2"/>
  <c r="AC177" i="2"/>
  <c r="Q184" i="2"/>
  <c r="S192" i="2"/>
  <c r="AQ154" i="2"/>
  <c r="Y162" i="2"/>
  <c r="BC168" i="2"/>
  <c r="AN175" i="2"/>
  <c r="Y182" i="2"/>
  <c r="AJ189" i="2"/>
  <c r="N152" i="2"/>
  <c r="P160" i="2"/>
  <c r="AO167" i="2"/>
  <c r="AT174" i="2"/>
  <c r="AY181" i="2"/>
  <c r="AK189" i="2"/>
  <c r="O187" i="2"/>
  <c r="P187" i="2"/>
  <c r="S189" i="2"/>
  <c r="O190" i="2"/>
  <c r="AE191" i="2"/>
  <c r="H29" i="2"/>
  <c r="X59" i="2"/>
  <c r="AZ93" i="2"/>
  <c r="AX133" i="2"/>
  <c r="U50" i="2"/>
  <c r="M80" i="2"/>
  <c r="M79" i="3"/>
  <c r="M79" i="2" s="1"/>
  <c r="BK106" i="2"/>
  <c r="BK145" i="2"/>
  <c r="BE55" i="2"/>
  <c r="AM83" i="2"/>
  <c r="X110" i="2"/>
  <c r="BK151" i="2"/>
  <c r="AQ58" i="2"/>
  <c r="AQ78" i="2"/>
  <c r="BC112" i="2"/>
  <c r="O144" i="2"/>
  <c r="AC53" i="2"/>
  <c r="AC73" i="2"/>
  <c r="BI95" i="2"/>
  <c r="Z110" i="2"/>
  <c r="AL138" i="2"/>
  <c r="BJ185" i="2"/>
  <c r="L133" i="2"/>
  <c r="Z167" i="2"/>
  <c r="L115" i="2"/>
  <c r="BE138" i="2"/>
  <c r="BF162" i="2"/>
  <c r="AI192" i="2"/>
  <c r="X145" i="2"/>
  <c r="BE184" i="2"/>
  <c r="O133" i="2"/>
  <c r="AZ179" i="2"/>
  <c r="AN138" i="2"/>
  <c r="AO166" i="2"/>
  <c r="AD128" i="2"/>
  <c r="BC150" i="2"/>
  <c r="O183" i="2"/>
  <c r="BD150" i="2"/>
  <c r="P183" i="2"/>
  <c r="U139" i="2"/>
  <c r="K168" i="2"/>
  <c r="AR172" i="2"/>
  <c r="AH175" i="2"/>
  <c r="BG188" i="2"/>
  <c r="I168" i="2"/>
  <c r="AX142" i="2"/>
  <c r="BF166" i="2"/>
  <c r="Q191" i="2"/>
  <c r="AJ166" i="2"/>
  <c r="R191" i="2"/>
  <c r="AF160" i="2"/>
  <c r="Q185" i="2"/>
  <c r="BL162" i="2"/>
  <c r="BL182" i="2"/>
  <c r="BC160" i="2"/>
  <c r="BC180" i="2"/>
  <c r="AT158" i="2"/>
  <c r="AJ180" i="2"/>
  <c r="AW187" i="2"/>
  <c r="F148" i="2"/>
  <c r="F87" i="2"/>
  <c r="F85" i="2"/>
  <c r="BE28" i="2"/>
  <c r="AL101" i="2"/>
  <c r="BL120" i="2"/>
  <c r="H136" i="2"/>
  <c r="BM27" i="2"/>
  <c r="AY83" i="2"/>
  <c r="BB11" i="2"/>
  <c r="H11" i="2"/>
  <c r="BC82" i="2"/>
  <c r="AL123" i="2"/>
  <c r="J129" i="2"/>
  <c r="V71" i="2"/>
  <c r="AZ147" i="2"/>
  <c r="AR7" i="2"/>
  <c r="BF5" i="2"/>
  <c r="AQ88" i="2"/>
  <c r="Q29" i="2"/>
  <c r="AM39" i="2"/>
  <c r="BF22" i="2"/>
  <c r="W111" i="2"/>
  <c r="AY35" i="2"/>
  <c r="AJ9" i="2"/>
  <c r="O8" i="2"/>
  <c r="O102" i="2"/>
  <c r="X107" i="2"/>
  <c r="Z60" i="2"/>
  <c r="U109" i="2"/>
  <c r="T71" i="2"/>
  <c r="Z46" i="2"/>
  <c r="AC47" i="2"/>
  <c r="G35" i="2"/>
  <c r="R54" i="2"/>
  <c r="AH19" i="2"/>
  <c r="AX25" i="2"/>
  <c r="AN102" i="2"/>
  <c r="BL8" i="2"/>
  <c r="AD75" i="2"/>
  <c r="P97" i="2"/>
  <c r="J80" i="2"/>
  <c r="J79" i="3"/>
  <c r="J79" i="2" s="1"/>
  <c r="M9" i="2"/>
  <c r="AH65" i="2"/>
  <c r="AH177" i="2"/>
  <c r="P49" i="2"/>
  <c r="AZ133" i="2"/>
  <c r="Y35" i="2"/>
  <c r="G101" i="2"/>
  <c r="BH116" i="2"/>
  <c r="P143" i="2"/>
  <c r="AO85" i="2"/>
  <c r="M189" i="2"/>
  <c r="V31" i="2"/>
  <c r="L83" i="2"/>
  <c r="AW152" i="2"/>
  <c r="W31" i="2"/>
  <c r="AL81" i="2"/>
  <c r="T146" i="2"/>
  <c r="X27" i="2"/>
  <c r="BA73" i="2"/>
  <c r="AF131" i="2"/>
  <c r="Z20" i="2"/>
  <c r="AH66" i="2"/>
  <c r="Q126" i="2"/>
  <c r="J8" i="2"/>
  <c r="AI38" i="2"/>
  <c r="O82" i="2"/>
  <c r="AS128" i="2"/>
  <c r="AO14" i="2"/>
  <c r="K59" i="2"/>
  <c r="H102" i="2"/>
  <c r="P169" i="2"/>
  <c r="T27" i="2"/>
  <c r="AR65" i="2"/>
  <c r="BF98" i="2"/>
  <c r="Z161" i="2"/>
  <c r="Z22" i="2"/>
  <c r="M59" i="2"/>
  <c r="AY113" i="2"/>
  <c r="W192" i="2"/>
  <c r="X48" i="2"/>
  <c r="G83" i="2"/>
  <c r="BM117" i="3"/>
  <c r="BM117" i="2" s="1"/>
  <c r="BM118" i="2"/>
  <c r="AY20" i="2"/>
  <c r="Z51" i="2"/>
  <c r="AS76" i="2"/>
  <c r="H103" i="2"/>
  <c r="BF149" i="2"/>
  <c r="AA29" i="2"/>
  <c r="AY51" i="2"/>
  <c r="AI86" i="2"/>
  <c r="AW122" i="2"/>
  <c r="BF170" i="2"/>
  <c r="BH43" i="2"/>
  <c r="AU76" i="2"/>
  <c r="AD111" i="2"/>
  <c r="O169" i="2"/>
  <c r="K72" i="2"/>
  <c r="AG100" i="2"/>
  <c r="AC133" i="2"/>
  <c r="L56" i="2"/>
  <c r="BG83" i="2"/>
  <c r="AR110" i="2"/>
  <c r="AK152" i="2"/>
  <c r="BK58" i="2"/>
  <c r="AS86" i="2"/>
  <c r="J113" i="2"/>
  <c r="AD159" i="2"/>
  <c r="AH60" i="2"/>
  <c r="BD88" i="2"/>
  <c r="S119" i="2"/>
  <c r="BF169" i="2"/>
  <c r="AJ133" i="2"/>
  <c r="N182" i="2"/>
  <c r="Q139" i="2"/>
  <c r="AX120" i="2"/>
  <c r="AL158" i="2"/>
  <c r="BK124" i="2"/>
  <c r="Q166" i="2"/>
  <c r="BJ138" i="2"/>
  <c r="P178" i="2"/>
  <c r="AU142" i="2"/>
  <c r="AZ183" i="2"/>
  <c r="K162" i="2"/>
  <c r="AZ132" i="2"/>
  <c r="AQ168" i="2"/>
  <c r="BI182" i="2"/>
  <c r="N179" i="2"/>
  <c r="P177" i="2"/>
  <c r="AW159" i="2"/>
  <c r="AT191" i="2"/>
  <c r="AY174" i="2"/>
  <c r="AH151" i="2"/>
  <c r="AO185" i="2"/>
  <c r="AW169" i="2"/>
  <c r="AB153" i="2"/>
  <c r="J181" i="2"/>
  <c r="U159" i="2"/>
  <c r="AC188" i="2"/>
  <c r="U186" i="2"/>
  <c r="F116" i="2"/>
  <c r="F91" i="2"/>
  <c r="F132" i="2"/>
  <c r="BI110" i="2"/>
  <c r="AR144" i="2"/>
  <c r="AM101" i="2"/>
  <c r="AW83" i="2"/>
  <c r="BL27" i="2"/>
  <c r="I30" i="2"/>
  <c r="AY50" i="2"/>
  <c r="AJ44" i="2"/>
  <c r="BJ23" i="2"/>
  <c r="AU50" i="2"/>
  <c r="S113" i="2"/>
  <c r="AF10" i="2"/>
  <c r="AI6" i="2"/>
  <c r="AZ96" i="2"/>
  <c r="AB55" i="2"/>
  <c r="W45" i="2"/>
  <c r="X146" i="2"/>
  <c r="AX183" i="2"/>
  <c r="AR123" i="2"/>
  <c r="R105" i="2"/>
  <c r="T78" i="2"/>
  <c r="BG66" i="2"/>
  <c r="AD14" i="2"/>
  <c r="AJ16" i="2"/>
  <c r="AY189" i="2"/>
  <c r="S28" i="2"/>
  <c r="AL160" i="2"/>
  <c r="L158" i="2"/>
  <c r="BH125" i="2"/>
  <c r="Y117" i="3"/>
  <c r="Y117" i="2" s="1"/>
  <c r="Y118" i="2"/>
  <c r="AK84" i="2"/>
  <c r="AK65" i="2"/>
  <c r="P43" i="2"/>
  <c r="BL143" i="2"/>
  <c r="V23" i="2"/>
  <c r="L98" i="2"/>
  <c r="BJ99" i="2"/>
  <c r="Z62" i="2"/>
  <c r="BA172" i="2"/>
  <c r="O49" i="2"/>
  <c r="BI136" i="2"/>
  <c r="BH35" i="2"/>
  <c r="AQ103" i="2"/>
  <c r="AW23" i="2"/>
  <c r="G85" i="2"/>
  <c r="M99" i="2"/>
  <c r="AE112" i="2"/>
  <c r="J156" i="2"/>
  <c r="J155" i="3"/>
  <c r="J155" i="2" s="1"/>
  <c r="AC152" i="2"/>
  <c r="BB31" i="2"/>
  <c r="AZ83" i="2"/>
  <c r="AY153" i="2"/>
  <c r="BG31" i="2"/>
  <c r="G82" i="2"/>
  <c r="S147" i="2"/>
  <c r="AZ27" i="2"/>
  <c r="K74" i="2"/>
  <c r="O132" i="2"/>
  <c r="BI20" i="2"/>
  <c r="AU67" i="2"/>
  <c r="BK127" i="2"/>
  <c r="AD8" i="2"/>
  <c r="BG38" i="2"/>
  <c r="AX70" i="2"/>
  <c r="AC103" i="2"/>
  <c r="BJ146" i="2"/>
  <c r="BL21" i="2"/>
  <c r="AO48" i="2"/>
  <c r="AV82" i="2"/>
  <c r="M113" i="2"/>
  <c r="H171" i="2"/>
  <c r="AK19" i="2"/>
  <c r="AF45" i="2"/>
  <c r="K66" i="2"/>
  <c r="AC110" i="2"/>
  <c r="AE162" i="2"/>
  <c r="AL15" i="2"/>
  <c r="J49" i="2"/>
  <c r="R82" i="2"/>
  <c r="AD114" i="2"/>
  <c r="AD168" i="2"/>
  <c r="AX40" i="2"/>
  <c r="Z74" i="2"/>
  <c r="M109" i="2"/>
  <c r="AL166" i="2"/>
  <c r="BF43" i="2"/>
  <c r="AF77" i="2"/>
  <c r="K112" i="2"/>
  <c r="W172" i="2"/>
  <c r="N44" i="2"/>
  <c r="BE77" i="2"/>
  <c r="L112" i="2"/>
  <c r="AP171" i="2"/>
  <c r="O44" i="2"/>
  <c r="J77" i="2"/>
  <c r="BB111" i="2"/>
  <c r="BG170" i="2"/>
  <c r="AE72" i="2"/>
  <c r="BA100" i="2"/>
  <c r="BE133" i="2"/>
  <c r="AU49" i="2"/>
  <c r="AU69" i="2"/>
  <c r="BL90" i="2"/>
  <c r="BL110" i="2"/>
  <c r="AM140" i="2"/>
  <c r="W170" i="2"/>
  <c r="R59" i="2"/>
  <c r="AG72" i="2"/>
  <c r="BM86" i="2"/>
  <c r="O100" i="2"/>
  <c r="AH113" i="2"/>
  <c r="AE133" i="2"/>
  <c r="Q160" i="2"/>
  <c r="AM47" i="2"/>
  <c r="X74" i="2"/>
  <c r="AL139" i="2"/>
  <c r="AQ113" i="2"/>
  <c r="BF128" i="2"/>
  <c r="P146" i="2"/>
  <c r="R171" i="2"/>
  <c r="U117" i="3"/>
  <c r="U117" i="2" s="1"/>
  <c r="U118" i="2"/>
  <c r="BK133" i="2"/>
  <c r="X153" i="2"/>
  <c r="AQ181" i="2"/>
  <c r="R139" i="2"/>
  <c r="AJ167" i="2"/>
  <c r="Y129" i="2"/>
  <c r="AU151" i="2"/>
  <c r="Y184" i="2"/>
  <c r="AV151" i="2"/>
  <c r="Z184" i="2"/>
  <c r="W140" i="2"/>
  <c r="G169" i="2"/>
  <c r="BG173" i="2"/>
  <c r="X176" i="2"/>
  <c r="AU148" i="2"/>
  <c r="AS177" i="2"/>
  <c r="I151" i="2"/>
  <c r="AD175" i="2"/>
  <c r="AZ150" i="2"/>
  <c r="H175" i="2"/>
  <c r="BH151" i="2"/>
  <c r="AA186" i="2"/>
  <c r="AM163" i="2"/>
  <c r="AN183" i="2"/>
  <c r="BM174" i="2"/>
  <c r="AM151" i="2"/>
  <c r="AY173" i="2"/>
  <c r="AN186" i="2"/>
  <c r="AN189" i="2"/>
  <c r="F27" i="2"/>
  <c r="F14" i="2"/>
  <c r="S40" i="2"/>
  <c r="AR34" i="2"/>
  <c r="N171" i="2"/>
  <c r="AG136" i="2"/>
  <c r="BJ48" i="2"/>
  <c r="AI25" i="2"/>
  <c r="AI91" i="2"/>
  <c r="J158" i="2"/>
  <c r="AN3" i="3"/>
  <c r="AN3" i="2" s="1"/>
  <c r="AN4" i="2"/>
  <c r="AI82" i="2"/>
  <c r="AL174" i="2"/>
  <c r="AG53" i="2"/>
  <c r="AH45" i="2"/>
  <c r="G110" i="2"/>
  <c r="AZ100" i="2"/>
  <c r="AJ98" i="2"/>
  <c r="AG6" i="2"/>
  <c r="BH60" i="2"/>
  <c r="AX35" i="2"/>
  <c r="AK111" i="2"/>
  <c r="AN7" i="2"/>
  <c r="AQ43" i="2"/>
  <c r="BI82" i="2"/>
  <c r="BI92" i="2"/>
  <c r="BF13" i="2"/>
  <c r="BK111" i="2"/>
  <c r="BK76" i="2"/>
  <c r="AG5" i="2"/>
  <c r="AE158" i="2"/>
  <c r="AP120" i="2"/>
  <c r="AV16" i="2"/>
  <c r="BI120" i="2"/>
  <c r="BF158" i="2"/>
  <c r="BB61" i="2"/>
  <c r="AT51" i="2"/>
  <c r="AW38" i="2"/>
  <c r="AE128" i="2"/>
  <c r="AO11" i="2"/>
  <c r="AF82" i="2"/>
  <c r="AE21" i="2"/>
  <c r="Y84" i="2"/>
  <c r="U24" i="2"/>
  <c r="AU85" i="2"/>
  <c r="X13" i="2"/>
  <c r="I70" i="2"/>
  <c r="BB177" i="2"/>
  <c r="Z185" i="2"/>
  <c r="U123" i="2"/>
  <c r="V123" i="2"/>
  <c r="BC12" i="2"/>
  <c r="S56" i="2"/>
  <c r="BC111" i="2"/>
  <c r="BD12" i="2"/>
  <c r="T55" i="2"/>
  <c r="I110" i="2"/>
  <c r="G18" i="2"/>
  <c r="AD61" i="2"/>
  <c r="BH115" i="2"/>
  <c r="BF12" i="2"/>
  <c r="AB43" i="2"/>
  <c r="V97" i="2"/>
  <c r="AO184" i="2"/>
  <c r="AM30" i="2"/>
  <c r="I71" i="2"/>
  <c r="AV113" i="2"/>
  <c r="P15" i="2"/>
  <c r="H60" i="2"/>
  <c r="AD103" i="2"/>
  <c r="H172" i="2"/>
  <c r="AA28" i="2"/>
  <c r="AM66" i="2"/>
  <c r="BE110" i="2"/>
  <c r="AW184" i="2"/>
  <c r="BA31" i="2"/>
  <c r="BB82" i="2"/>
  <c r="S132" i="2"/>
  <c r="AN34" i="2"/>
  <c r="AD66" i="2"/>
  <c r="Q101" i="2"/>
  <c r="G145" i="2"/>
  <c r="K36" i="2"/>
  <c r="L69" i="2"/>
  <c r="BD103" i="2"/>
  <c r="N173" i="2"/>
  <c r="AH44" i="2"/>
  <c r="L78" i="2"/>
  <c r="AO123" i="2"/>
  <c r="AL23" i="2"/>
  <c r="AM52" i="2"/>
  <c r="AJ86" i="2"/>
  <c r="Q112" i="2"/>
  <c r="AQ171" i="2"/>
  <c r="AY72" i="2"/>
  <c r="H101" i="2"/>
  <c r="Z134" i="2"/>
  <c r="V50" i="2"/>
  <c r="AZ76" i="2"/>
  <c r="S111" i="2"/>
  <c r="BL153" i="2"/>
  <c r="AL59" i="2"/>
  <c r="AI100" i="2"/>
  <c r="BG133" i="2"/>
  <c r="BG47" i="2"/>
  <c r="AR74" i="2"/>
  <c r="K140" i="2"/>
  <c r="AG119" i="2"/>
  <c r="BM142" i="2"/>
  <c r="G116" i="2"/>
  <c r="H151" i="2"/>
  <c r="AS121" i="2"/>
  <c r="AQ159" i="2"/>
  <c r="AP125" i="2"/>
  <c r="AC167" i="2"/>
  <c r="AN139" i="2"/>
  <c r="Q179" i="2"/>
  <c r="BC143" i="2"/>
  <c r="BK184" i="2"/>
  <c r="AE163" i="2"/>
  <c r="AA133" i="2"/>
  <c r="AM169" i="2"/>
  <c r="BA183" i="2"/>
  <c r="AQ191" i="2"/>
  <c r="AF178" i="2"/>
  <c r="AD160" i="2"/>
  <c r="AP192" i="2"/>
  <c r="AE175" i="2"/>
  <c r="R152" i="2"/>
  <c r="AZ186" i="2"/>
  <c r="AR170" i="2"/>
  <c r="W154" i="2"/>
  <c r="AX181" i="2"/>
  <c r="U167" i="2"/>
  <c r="BH186" i="2"/>
  <c r="BL188" i="2"/>
  <c r="F73" i="2"/>
  <c r="F39" i="2"/>
  <c r="F36" i="2"/>
  <c r="F178" i="2"/>
  <c r="F65" i="2"/>
  <c r="F122" i="2"/>
  <c r="F81" i="2"/>
  <c r="F90" i="2"/>
  <c r="F104" i="2"/>
  <c r="F188" i="2"/>
  <c r="F38" i="2"/>
  <c r="BB12" i="2"/>
  <c r="W186" i="2"/>
  <c r="R73" i="2"/>
  <c r="AT149" i="2"/>
  <c r="N25" i="2"/>
  <c r="AV27" i="2"/>
  <c r="AH51" i="2"/>
  <c r="AZ43" i="2"/>
  <c r="AX69" i="2"/>
  <c r="L9" i="2"/>
  <c r="AJ83" i="2"/>
  <c r="AE137" i="2"/>
  <c r="G56" i="2"/>
  <c r="AD19" i="2"/>
  <c r="AG161" i="2"/>
  <c r="AY178" i="2"/>
  <c r="V116" i="2"/>
  <c r="AJ137" i="2"/>
  <c r="Z66" i="2"/>
  <c r="AR92" i="2"/>
  <c r="BH19" i="2"/>
  <c r="BL48" i="2"/>
  <c r="K37" i="2"/>
  <c r="T41" i="3"/>
  <c r="T41" i="2" s="1"/>
  <c r="T42" i="2"/>
  <c r="I12" i="2"/>
  <c r="Y3" i="3"/>
  <c r="Y3" i="2" s="1"/>
  <c r="Y4" i="2"/>
  <c r="AW119" i="2"/>
  <c r="R65" i="2"/>
  <c r="AQ37" i="2"/>
  <c r="I14" i="2"/>
  <c r="AA185" i="2"/>
  <c r="BD58" i="2"/>
  <c r="Y45" i="2"/>
  <c r="BA23" i="2"/>
  <c r="AH6" i="2"/>
  <c r="AL28" i="2"/>
  <c r="AU60" i="2"/>
  <c r="AM106" i="2"/>
  <c r="AG87" i="2"/>
  <c r="AS66" i="2"/>
  <c r="BM26" i="2"/>
  <c r="X21" i="2"/>
  <c r="AK8" i="2"/>
  <c r="BA167" i="2"/>
  <c r="AV172" i="2"/>
  <c r="AL113" i="2"/>
  <c r="BH71" i="2"/>
  <c r="AI28" i="2"/>
  <c r="AH4" i="2"/>
  <c r="AH3" i="3"/>
  <c r="AH3" i="2" s="1"/>
  <c r="AV84" i="2"/>
  <c r="AU54" i="2"/>
  <c r="AU10" i="2"/>
  <c r="AB35" i="2"/>
  <c r="P74" i="2"/>
  <c r="R116" i="2"/>
  <c r="BB142" i="2"/>
  <c r="BC149" i="2"/>
  <c r="Y140" i="2"/>
  <c r="I111" i="2"/>
  <c r="AS71" i="2"/>
  <c r="BB47" i="2"/>
  <c r="AC5" i="2"/>
  <c r="AX104" i="2"/>
  <c r="AQ55" i="2"/>
  <c r="G64" i="2"/>
  <c r="AX37" i="2"/>
  <c r="AU8" i="2"/>
  <c r="BG5" i="2"/>
  <c r="BK29" i="2"/>
  <c r="AB64" i="2"/>
  <c r="AV108" i="2"/>
  <c r="O60" i="2"/>
  <c r="AF134" i="2"/>
  <c r="AO39" i="2"/>
  <c r="BE87" i="2"/>
  <c r="BE144" i="2"/>
  <c r="BG54" i="2"/>
  <c r="BD116" i="2"/>
  <c r="AB30" i="2"/>
  <c r="AP111" i="2"/>
  <c r="AG14" i="2"/>
  <c r="L81" i="2"/>
  <c r="BK11" i="2"/>
  <c r="M101" i="2"/>
  <c r="BA10" i="2"/>
  <c r="AT26" i="2"/>
  <c r="BL45" i="2"/>
  <c r="AO69" i="2"/>
  <c r="AE106" i="2"/>
  <c r="BK134" i="2"/>
  <c r="BA89" i="2"/>
  <c r="AC22" i="2"/>
  <c r="BH136" i="2"/>
  <c r="I44" i="2"/>
  <c r="Q109" i="2"/>
  <c r="V20" i="2"/>
  <c r="BD73" i="2"/>
  <c r="AK16" i="2"/>
  <c r="M71" i="2"/>
  <c r="BL4" i="2"/>
  <c r="BL3" i="3"/>
  <c r="BL3" i="2" s="1"/>
  <c r="L51" i="2"/>
  <c r="BG116" i="2"/>
  <c r="S13" i="2"/>
  <c r="I31" i="2"/>
  <c r="N51" i="2"/>
  <c r="AD78" i="2"/>
  <c r="M114" i="2"/>
  <c r="S170" i="2"/>
  <c r="AZ87" i="2"/>
  <c r="AW8" i="2"/>
  <c r="AU66" i="2"/>
  <c r="S173" i="2"/>
  <c r="AU63" i="2"/>
  <c r="N191" i="2"/>
  <c r="AR57" i="2"/>
  <c r="AB138" i="2"/>
  <c r="K44" i="2"/>
  <c r="AH138" i="2"/>
  <c r="AE47" i="2"/>
  <c r="BK141" i="2"/>
  <c r="BH17" i="2"/>
  <c r="AO37" i="2"/>
  <c r="AQ60" i="2"/>
  <c r="N93" i="2"/>
  <c r="BK122" i="2"/>
  <c r="BM179" i="2"/>
  <c r="BK23" i="2"/>
  <c r="O76" i="2"/>
  <c r="AW172" i="2"/>
  <c r="U15" i="2"/>
  <c r="X28" i="2"/>
  <c r="BI45" i="2"/>
  <c r="I63" i="2"/>
  <c r="AR85" i="2"/>
  <c r="AI109" i="2"/>
  <c r="J150" i="2"/>
  <c r="M57" i="2"/>
  <c r="AA128" i="2"/>
  <c r="AN11" i="2"/>
  <c r="L25" i="2"/>
  <c r="BB40" i="2"/>
  <c r="AH59" i="2"/>
  <c r="AZ81" i="2"/>
  <c r="BB101" i="2"/>
  <c r="BB133" i="2"/>
  <c r="I190" i="2"/>
  <c r="AB39" i="2"/>
  <c r="AD112" i="2"/>
  <c r="AP12" i="2"/>
  <c r="I27" i="2"/>
  <c r="T45" i="2"/>
  <c r="AN65" i="2"/>
  <c r="L84" i="2"/>
  <c r="Z104" i="2"/>
  <c r="Z132" i="2"/>
  <c r="AG177" i="2"/>
  <c r="BL11" i="2"/>
  <c r="AU23" i="2"/>
  <c r="BG35" i="2"/>
  <c r="I51" i="2"/>
  <c r="AF69" i="2"/>
  <c r="R86" i="2"/>
  <c r="AN106" i="2"/>
  <c r="AV141" i="2"/>
  <c r="BG190" i="2"/>
  <c r="BC13" i="2"/>
  <c r="Q25" i="2"/>
  <c r="G38" i="2"/>
  <c r="BJ51" i="2"/>
  <c r="H70" i="2"/>
  <c r="BK87" i="2"/>
  <c r="AP106" i="2"/>
  <c r="AW141" i="2"/>
  <c r="AD192" i="2"/>
  <c r="P14" i="2"/>
  <c r="R25" i="2"/>
  <c r="H38" i="2"/>
  <c r="AE53" i="2"/>
  <c r="AI71" i="2"/>
  <c r="G87" i="2"/>
  <c r="BJ105" i="2"/>
  <c r="AT132" i="2"/>
  <c r="Q181" i="2"/>
  <c r="AG101" i="2"/>
  <c r="BB122" i="2"/>
  <c r="R146" i="2"/>
  <c r="BA189" i="2"/>
  <c r="AH116" i="2"/>
  <c r="AG149" i="2"/>
  <c r="AX103" i="2"/>
  <c r="AU127" i="2"/>
  <c r="AV159" i="2"/>
  <c r="I88" i="2"/>
  <c r="AS105" i="2"/>
  <c r="AV127" i="2"/>
  <c r="O157" i="2"/>
  <c r="BG4" i="2"/>
  <c r="BG3" i="3"/>
  <c r="BG3" i="2" s="1"/>
  <c r="AK13" i="2"/>
  <c r="J22" i="2"/>
  <c r="O33" i="2"/>
  <c r="BD44" i="2"/>
  <c r="AI57" i="2"/>
  <c r="BG70" i="2"/>
  <c r="W85" i="2"/>
  <c r="AG99" i="2"/>
  <c r="AS113" i="2"/>
  <c r="M132" i="2"/>
  <c r="BJ157" i="2"/>
  <c r="BH4" i="2"/>
  <c r="BH3" i="3"/>
  <c r="BH3" i="2" s="1"/>
  <c r="AL13" i="2"/>
  <c r="K22" i="2"/>
  <c r="P33" i="2"/>
  <c r="BE44" i="2"/>
  <c r="X56" i="2"/>
  <c r="BA69" i="2"/>
  <c r="BA83" i="2"/>
  <c r="T97" i="2"/>
  <c r="L111" i="2"/>
  <c r="AL128" i="2"/>
  <c r="R150" i="2"/>
  <c r="BC185" i="2"/>
  <c r="AI10" i="2"/>
  <c r="BC18" i="2"/>
  <c r="I29" i="2"/>
  <c r="AX39" i="2"/>
  <c r="BB50" i="2"/>
  <c r="AQ63" i="2"/>
  <c r="AK76" i="2"/>
  <c r="G91" i="2"/>
  <c r="AB103" i="2"/>
  <c r="AP118" i="2"/>
  <c r="AP117" i="3"/>
  <c r="AP117" i="2" s="1"/>
  <c r="W136" i="2"/>
  <c r="AI162" i="2"/>
  <c r="BJ4" i="2"/>
  <c r="BJ3" i="3"/>
  <c r="BJ3" i="2" s="1"/>
  <c r="AN13" i="2"/>
  <c r="M22" i="2"/>
  <c r="BD32" i="2"/>
  <c r="AA44" i="2"/>
  <c r="V55" i="2"/>
  <c r="S69" i="2"/>
  <c r="AD84" i="2"/>
  <c r="AF98" i="2"/>
  <c r="AC112" i="2"/>
  <c r="H130" i="2"/>
  <c r="T150" i="2"/>
  <c r="AK188" i="2"/>
  <c r="AS9" i="2"/>
  <c r="J16" i="2"/>
  <c r="AD23" i="2"/>
  <c r="AX31" i="2"/>
  <c r="AC40" i="2"/>
  <c r="BF50" i="2"/>
  <c r="BJ61" i="2"/>
  <c r="AN72" i="2"/>
  <c r="H84" i="2"/>
  <c r="N94" i="2"/>
  <c r="BH104" i="2"/>
  <c r="BK114" i="2"/>
  <c r="AZ131" i="2"/>
  <c r="V149" i="2"/>
  <c r="AH182" i="2"/>
  <c r="AE8" i="2"/>
  <c r="BD15" i="2"/>
  <c r="G23" i="2"/>
  <c r="AY31" i="2"/>
  <c r="AH40" i="2"/>
  <c r="BG50" i="2"/>
  <c r="AI61" i="2"/>
  <c r="AO72" i="2"/>
  <c r="I84" i="2"/>
  <c r="O94" i="2"/>
  <c r="BI104" i="2"/>
  <c r="BL114" i="2"/>
  <c r="Q132" i="2"/>
  <c r="W149" i="2"/>
  <c r="H177" i="2"/>
  <c r="Q7" i="2"/>
  <c r="AU13" i="2"/>
  <c r="AI20" i="2"/>
  <c r="M29" i="2"/>
  <c r="AG37" i="2"/>
  <c r="AI46" i="2"/>
  <c r="V57" i="2"/>
  <c r="AD68" i="2"/>
  <c r="AC80" i="2"/>
  <c r="AC79" i="3"/>
  <c r="AC79" i="2" s="1"/>
  <c r="I90" i="2"/>
  <c r="AW100" i="2"/>
  <c r="AV111" i="2"/>
  <c r="AQ126" i="2"/>
  <c r="X143" i="2"/>
  <c r="O165" i="2"/>
  <c r="BA186" i="2"/>
  <c r="AV9" i="2"/>
  <c r="AG16" i="2"/>
  <c r="BI23" i="2"/>
  <c r="AN32" i="2"/>
  <c r="BH40" i="2"/>
  <c r="BM50" i="2"/>
  <c r="AK61" i="2"/>
  <c r="AR71" i="2"/>
  <c r="AV83" i="2"/>
  <c r="Q94" i="2"/>
  <c r="V105" i="2"/>
  <c r="W117" i="3"/>
  <c r="W117" i="2" s="1"/>
  <c r="W118" i="2"/>
  <c r="AO133" i="2"/>
  <c r="N150" i="2"/>
  <c r="J171" i="2"/>
  <c r="BM21" i="2"/>
  <c r="AD28" i="2"/>
  <c r="O35" i="2"/>
  <c r="BJ42" i="2"/>
  <c r="BJ41" i="3"/>
  <c r="BJ41" i="2" s="1"/>
  <c r="BG49" i="2"/>
  <c r="AH58" i="2"/>
  <c r="M67" i="2"/>
  <c r="AG75" i="2"/>
  <c r="AP84" i="2"/>
  <c r="U93" i="2"/>
  <c r="BM101" i="2"/>
  <c r="Q110" i="2"/>
  <c r="BE120" i="2"/>
  <c r="AN132" i="2"/>
  <c r="Y146" i="2"/>
  <c r="BJ169" i="2"/>
  <c r="AO22" i="2"/>
  <c r="AT29" i="2"/>
  <c r="AY36" i="2"/>
  <c r="BA44" i="2"/>
  <c r="BI52" i="2"/>
  <c r="AN61" i="2"/>
  <c r="BH69" i="2"/>
  <c r="AI78" i="2"/>
  <c r="AR87" i="2"/>
  <c r="W96" i="2"/>
  <c r="AQ104" i="2"/>
  <c r="Z113" i="2"/>
  <c r="O125" i="2"/>
  <c r="AZ137" i="2"/>
  <c r="J153" i="2"/>
  <c r="BD175" i="2"/>
  <c r="L24" i="2"/>
  <c r="BJ30" i="2"/>
  <c r="AA37" i="2"/>
  <c r="I45" i="2"/>
  <c r="U53" i="2"/>
  <c r="BM61" i="2"/>
  <c r="P70" i="2"/>
  <c r="BH78" i="2"/>
  <c r="AB88" i="2"/>
  <c r="X96" i="2"/>
  <c r="AR104" i="2"/>
  <c r="AA113" i="2"/>
  <c r="AY124" i="2"/>
  <c r="BA137" i="2"/>
  <c r="K153" i="2"/>
  <c r="BK174" i="2"/>
  <c r="M24" i="2"/>
  <c r="BK30" i="2"/>
  <c r="AB37" i="2"/>
  <c r="J45" i="2"/>
  <c r="V53" i="2"/>
  <c r="R61" i="2"/>
  <c r="BJ69" i="2"/>
  <c r="M78" i="2"/>
  <c r="V87" i="2"/>
  <c r="AP95" i="2"/>
  <c r="U104" i="2"/>
  <c r="BM112" i="2"/>
  <c r="H124" i="2"/>
  <c r="N137" i="2"/>
  <c r="AB152" i="2"/>
  <c r="P173" i="2"/>
  <c r="BD51" i="2"/>
  <c r="P59" i="2"/>
  <c r="AO66" i="2"/>
  <c r="AT73" i="2"/>
  <c r="AV81" i="2"/>
  <c r="AG88" i="2"/>
  <c r="R95" i="2"/>
  <c r="AV101" i="2"/>
  <c r="AG108" i="2"/>
  <c r="AX115" i="2"/>
  <c r="AR124" i="2"/>
  <c r="S135" i="2"/>
  <c r="R149" i="2"/>
  <c r="AT164" i="2"/>
  <c r="R183" i="2"/>
  <c r="BJ50" i="2"/>
  <c r="AA57" i="2"/>
  <c r="L64" i="2"/>
  <c r="BJ70" i="2"/>
  <c r="AA77" i="2"/>
  <c r="I85" i="2"/>
  <c r="BG91" i="2"/>
  <c r="AR98" i="2"/>
  <c r="I105" i="2"/>
  <c r="BG111" i="2"/>
  <c r="AZ120" i="2"/>
  <c r="AZ130" i="2"/>
  <c r="AQ142" i="2"/>
  <c r="AA155" i="3"/>
  <c r="AA155" i="2" s="1"/>
  <c r="AA156" i="2"/>
  <c r="BA173" i="2"/>
  <c r="BF192" i="2"/>
  <c r="AB53" i="2"/>
  <c r="M60" i="2"/>
  <c r="BK66" i="2"/>
  <c r="AB73" i="2"/>
  <c r="J81" i="2"/>
  <c r="BH87" i="2"/>
  <c r="AS94" i="2"/>
  <c r="J101" i="2"/>
  <c r="BH107" i="2"/>
  <c r="AS114" i="2"/>
  <c r="S124" i="2"/>
  <c r="BD134" i="2"/>
  <c r="AW147" i="2"/>
  <c r="O162" i="2"/>
  <c r="BK178" i="2"/>
  <c r="AH48" i="2"/>
  <c r="S55" i="2"/>
  <c r="AW61" i="2"/>
  <c r="AH68" i="2"/>
  <c r="S75" i="2"/>
  <c r="U83" i="2"/>
  <c r="Z90" i="2"/>
  <c r="AE97" i="2"/>
  <c r="BD104" i="2"/>
  <c r="P112" i="2"/>
  <c r="J121" i="2"/>
  <c r="BB130" i="2"/>
  <c r="I141" i="2"/>
  <c r="G157" i="2"/>
  <c r="AM172" i="2"/>
  <c r="BL190" i="2"/>
  <c r="H120" i="2"/>
  <c r="Z127" i="2"/>
  <c r="AB135" i="2"/>
  <c r="BH143" i="2"/>
  <c r="AJ158" i="2"/>
  <c r="AY170" i="2"/>
  <c r="AZ184" i="2"/>
  <c r="AU116" i="2"/>
  <c r="AL124" i="2"/>
  <c r="AB132" i="2"/>
  <c r="BI140" i="2"/>
  <c r="U152" i="2"/>
  <c r="H166" i="2"/>
  <c r="AU179" i="2"/>
  <c r="AL114" i="2"/>
  <c r="T122" i="2"/>
  <c r="BH129" i="2"/>
  <c r="AE138" i="2"/>
  <c r="AP147" i="2"/>
  <c r="AU160" i="2"/>
  <c r="AO173" i="2"/>
  <c r="G188" i="2"/>
  <c r="P119" i="2"/>
  <c r="AV126" i="2"/>
  <c r="G135" i="2"/>
  <c r="AA144" i="2"/>
  <c r="BG154" i="2"/>
  <c r="M169" i="2"/>
  <c r="L184" i="2"/>
  <c r="BG126" i="2"/>
  <c r="AR133" i="2"/>
  <c r="R140" i="2"/>
  <c r="Q148" i="2"/>
  <c r="AF159" i="2"/>
  <c r="BM169" i="2"/>
  <c r="Q180" i="2"/>
  <c r="AM192" i="2"/>
  <c r="T130" i="2"/>
  <c r="AX136" i="2"/>
  <c r="AI144" i="2"/>
  <c r="AH153" i="2"/>
  <c r="T164" i="2"/>
  <c r="AX175" i="2"/>
  <c r="AC186" i="2"/>
  <c r="AE136" i="2"/>
  <c r="AJ144" i="2"/>
  <c r="AI153" i="2"/>
  <c r="V164" i="2"/>
  <c r="AY175" i="2"/>
  <c r="AH186" i="2"/>
  <c r="AK127" i="2"/>
  <c r="V134" i="2"/>
  <c r="AT141" i="2"/>
  <c r="AA150" i="2"/>
  <c r="BH160" i="2"/>
  <c r="AG171" i="2"/>
  <c r="AA182" i="2"/>
  <c r="AN165" i="2"/>
  <c r="AG175" i="2"/>
  <c r="AS184" i="2"/>
  <c r="AG168" i="2"/>
  <c r="AN177" i="2"/>
  <c r="BK187" i="2"/>
  <c r="W181" i="2"/>
  <c r="BC192" i="2"/>
  <c r="Q150" i="2"/>
  <c r="AS160" i="2"/>
  <c r="M170" i="2"/>
  <c r="O179" i="2"/>
  <c r="AR191" i="2"/>
  <c r="AN144" i="2"/>
  <c r="P152" i="2"/>
  <c r="N161" i="2"/>
  <c r="AS168" i="2"/>
  <c r="AK176" i="2"/>
  <c r="AC184" i="2"/>
  <c r="AT143" i="2"/>
  <c r="BD151" i="2"/>
  <c r="BE160" i="2"/>
  <c r="W168" i="2"/>
  <c r="L176" i="2"/>
  <c r="AU183" i="2"/>
  <c r="AZ138" i="2"/>
  <c r="AK145" i="2"/>
  <c r="BL152" i="2"/>
  <c r="R162" i="2"/>
  <c r="BD170" i="2"/>
  <c r="AB179" i="2"/>
  <c r="AS187" i="2"/>
  <c r="V150" i="2"/>
  <c r="AW157" i="2"/>
  <c r="AH164" i="2"/>
  <c r="S171" i="2"/>
  <c r="AW177" i="2"/>
  <c r="AL184" i="2"/>
  <c r="AU192" i="2"/>
  <c r="BK154" i="2"/>
  <c r="AS162" i="2"/>
  <c r="J169" i="2"/>
  <c r="BH175" i="2"/>
  <c r="AS182" i="2"/>
  <c r="BL189" i="2"/>
  <c r="AH152" i="2"/>
  <c r="AJ160" i="2"/>
  <c r="BI167" i="2"/>
  <c r="U175" i="2"/>
  <c r="Z182" i="2"/>
  <c r="BM189" i="2"/>
  <c r="AL187" i="2"/>
  <c r="AM187" i="2"/>
  <c r="AM189" i="2"/>
  <c r="AI190" i="2"/>
  <c r="AY191" i="2"/>
  <c r="AB51" i="2"/>
  <c r="AF85" i="2"/>
  <c r="AZ121" i="2"/>
  <c r="Z57" i="2"/>
  <c r="BK86" i="2"/>
  <c r="AK122" i="2"/>
  <c r="BI178" i="2"/>
  <c r="G69" i="2"/>
  <c r="BB96" i="2"/>
  <c r="AR127" i="2"/>
  <c r="BF51" i="2"/>
  <c r="AN99" i="2"/>
  <c r="AH174" i="2"/>
  <c r="X151" i="2"/>
  <c r="BA141" i="2"/>
  <c r="AT185" i="2"/>
  <c r="AJ25" i="2"/>
  <c r="R46" i="2"/>
  <c r="BK40" i="2"/>
  <c r="BD22" i="2"/>
  <c r="BM48" i="2"/>
  <c r="AK113" i="2"/>
  <c r="BA143" i="2"/>
  <c r="BF29" i="2"/>
  <c r="N99" i="2"/>
  <c r="P121" i="2"/>
  <c r="P20" i="2"/>
  <c r="BG53" i="2"/>
  <c r="AE29" i="2"/>
  <c r="H106" i="2"/>
  <c r="T185" i="2"/>
  <c r="AL40" i="2"/>
  <c r="AF74" i="2"/>
  <c r="BA86" i="2"/>
  <c r="BM62" i="2"/>
  <c r="O10" i="2"/>
  <c r="X147" i="2"/>
  <c r="AU155" i="3"/>
  <c r="AU155" i="2" s="1"/>
  <c r="AU156" i="2"/>
  <c r="AS122" i="2"/>
  <c r="BI112" i="2"/>
  <c r="AA83" i="2"/>
  <c r="K138" i="2"/>
  <c r="AG59" i="2"/>
  <c r="AA46" i="2"/>
  <c r="BD36" i="2"/>
  <c r="I126" i="2"/>
  <c r="AH9" i="2"/>
  <c r="BD61" i="2"/>
  <c r="X169" i="2"/>
  <c r="AI48" i="2"/>
  <c r="BK135" i="2"/>
  <c r="X35" i="2"/>
  <c r="BC102" i="2"/>
  <c r="M23" i="2"/>
  <c r="AE84" i="2"/>
  <c r="AW98" i="2"/>
  <c r="AR111" i="2"/>
  <c r="AO153" i="2"/>
  <c r="BH150" i="2"/>
  <c r="BF41" i="3"/>
  <c r="BF41" i="2" s="1"/>
  <c r="BF42" i="2"/>
  <c r="AN110" i="2"/>
  <c r="AS11" i="2"/>
  <c r="M54" i="2"/>
  <c r="Y108" i="2"/>
  <c r="AS8" i="2"/>
  <c r="AU48" i="2"/>
  <c r="Y101" i="2"/>
  <c r="AE190" i="2"/>
  <c r="AG41" i="3"/>
  <c r="AG41" i="2" s="1"/>
  <c r="AG42" i="2"/>
  <c r="T96" i="2"/>
  <c r="BG180" i="2"/>
  <c r="BG29" i="2"/>
  <c r="R70" i="2"/>
  <c r="AS112" i="2"/>
  <c r="P7" i="2"/>
  <c r="AJ38" i="2"/>
  <c r="P82" i="2"/>
  <c r="Q129" i="2"/>
  <c r="AF12" i="2"/>
  <c r="AJ54" i="2"/>
  <c r="BM109" i="2"/>
  <c r="AQ182" i="2"/>
  <c r="AT30" i="2"/>
  <c r="BI81" i="2"/>
  <c r="I131" i="2"/>
  <c r="O27" i="2"/>
  <c r="AQ73" i="2"/>
  <c r="BH165" i="2"/>
  <c r="AZ111" i="2"/>
  <c r="AG77" i="2"/>
  <c r="BA111" i="2"/>
  <c r="BK22" i="2"/>
  <c r="AZ51" i="2"/>
  <c r="BD85" i="2"/>
  <c r="V122" i="2"/>
  <c r="AO50" i="2"/>
  <c r="AG79" i="3"/>
  <c r="AG79" i="2" s="1"/>
  <c r="AG80" i="2"/>
  <c r="R107" i="2"/>
  <c r="AH146" i="2"/>
  <c r="AA49" i="2"/>
  <c r="L76" i="2"/>
  <c r="BG103" i="2"/>
  <c r="AJ139" i="2"/>
  <c r="M52" i="2"/>
  <c r="BK78" i="2"/>
  <c r="AS106" i="2"/>
  <c r="AY144" i="2"/>
  <c r="AW53" i="2"/>
  <c r="AE81" i="2"/>
  <c r="AT110" i="2"/>
  <c r="AT152" i="2"/>
  <c r="AM125" i="2"/>
  <c r="BJ167" i="2"/>
  <c r="AO130" i="2"/>
  <c r="AQ176" i="2"/>
  <c r="BM136" i="2"/>
  <c r="AR185" i="2"/>
  <c r="M142" i="2"/>
  <c r="AR125" i="2"/>
  <c r="Y157" i="2"/>
  <c r="AX128" i="2"/>
  <c r="BF173" i="2"/>
  <c r="U151" i="2"/>
  <c r="V126" i="2"/>
  <c r="H159" i="2"/>
  <c r="AG173" i="2"/>
  <c r="AL185" i="2"/>
  <c r="AN158" i="2"/>
  <c r="Y143" i="2"/>
  <c r="G175" i="2"/>
  <c r="BG166" i="2"/>
  <c r="V144" i="2"/>
  <c r="T177" i="2"/>
  <c r="S163" i="2"/>
  <c r="AT190" i="2"/>
  <c r="AS174" i="2"/>
  <c r="Z166" i="2"/>
  <c r="T186" i="2"/>
  <c r="X188" i="2"/>
  <c r="F181" i="2"/>
  <c r="F145" i="2"/>
  <c r="AQ96" i="2"/>
  <c r="BI166" i="2"/>
  <c r="AW112" i="2"/>
  <c r="AV34" i="2"/>
  <c r="BM18" i="2"/>
  <c r="AP161" i="2"/>
  <c r="AW130" i="2"/>
  <c r="P22" i="2"/>
  <c r="U19" i="2"/>
  <c r="BE53" i="2"/>
  <c r="Q9" i="2"/>
  <c r="W125" i="2"/>
  <c r="AM153" i="2"/>
  <c r="V67" i="2"/>
  <c r="BG105" i="2"/>
  <c r="BD136" i="2"/>
  <c r="AA22" i="2"/>
  <c r="AM57" i="2"/>
  <c r="AH32" i="2"/>
  <c r="O110" i="2"/>
  <c r="BG74" i="2"/>
  <c r="AB23" i="2"/>
  <c r="M130" i="2"/>
  <c r="AN36" i="2"/>
  <c r="AJ12" i="2"/>
  <c r="AG110" i="2"/>
  <c r="Q72" i="2"/>
  <c r="BC186" i="2"/>
  <c r="BM152" i="2"/>
  <c r="X117" i="3"/>
  <c r="X117" i="2" s="1"/>
  <c r="X118" i="2"/>
  <c r="AE34" i="2"/>
  <c r="T170" i="2"/>
  <c r="AR13" i="2"/>
  <c r="AU81" i="2"/>
  <c r="AM115" i="2"/>
  <c r="AK56" i="2"/>
  <c r="Z181" i="2"/>
  <c r="M25" i="2"/>
  <c r="BF101" i="2"/>
  <c r="AW20" i="2"/>
  <c r="AK83" i="2"/>
  <c r="Y12" i="2"/>
  <c r="Z67" i="2"/>
  <c r="AB184" i="2"/>
  <c r="AJ50" i="2"/>
  <c r="AN129" i="2"/>
  <c r="BD141" i="2"/>
  <c r="K190" i="2"/>
  <c r="K103" i="2"/>
  <c r="AA12" i="2"/>
  <c r="AY55" i="2"/>
  <c r="K111" i="2"/>
  <c r="AB12" i="2"/>
  <c r="AW54" i="2"/>
  <c r="AP109" i="2"/>
  <c r="AE9" i="2"/>
  <c r="S49" i="2"/>
  <c r="BI101" i="2"/>
  <c r="AF191" i="2"/>
  <c r="BI42" i="2"/>
  <c r="BI41" i="3"/>
  <c r="BI41" i="2" s="1"/>
  <c r="BH96" i="2"/>
  <c r="BK21" i="2"/>
  <c r="AJ7" i="2"/>
  <c r="N77" i="2"/>
  <c r="AC123" i="2"/>
  <c r="AR183" i="2"/>
  <c r="AX22" i="2"/>
  <c r="AW59" i="2"/>
  <c r="BH92" i="2"/>
  <c r="BF131" i="2"/>
  <c r="AI27" i="2"/>
  <c r="AE57" i="2"/>
  <c r="J92" i="2"/>
  <c r="BC129" i="2"/>
  <c r="AE28" i="2"/>
  <c r="AC60" i="2"/>
  <c r="L95" i="2"/>
  <c r="BM135" i="2"/>
  <c r="AU29" i="2"/>
  <c r="BF60" i="2"/>
  <c r="M95" i="2"/>
  <c r="Z135" i="2"/>
  <c r="AV29" i="2"/>
  <c r="G60" i="2"/>
  <c r="AF94" i="2"/>
  <c r="BF134" i="2"/>
  <c r="U58" i="2"/>
  <c r="AL87" i="2"/>
  <c r="O114" i="2"/>
  <c r="Y180" i="2"/>
  <c r="AO119" i="2"/>
  <c r="U111" i="2"/>
  <c r="AR188" i="2"/>
  <c r="F168" i="2"/>
  <c r="F43" i="2"/>
  <c r="T116" i="2"/>
  <c r="AJ13" i="2"/>
  <c r="U116" i="2"/>
  <c r="AO93" i="2"/>
  <c r="AO51" i="2"/>
  <c r="BJ33" i="2"/>
  <c r="AE54" i="2"/>
  <c r="X45" i="2"/>
  <c r="K26" i="2"/>
  <c r="N55" i="2"/>
  <c r="O121" i="2"/>
  <c r="U16" i="2"/>
  <c r="AV7" i="2"/>
  <c r="AN100" i="2"/>
  <c r="AC38" i="2"/>
  <c r="S52" i="2"/>
  <c r="AT27" i="2"/>
  <c r="AQ123" i="2"/>
  <c r="AE43" i="2"/>
  <c r="S11" i="2"/>
  <c r="AL9" i="2"/>
  <c r="AT104" i="2"/>
  <c r="BE38" i="2"/>
  <c r="R68" i="2"/>
  <c r="Z11" i="2"/>
  <c r="BG110" i="2"/>
  <c r="Y59" i="2"/>
  <c r="BH54" i="2"/>
  <c r="AK121" i="2"/>
  <c r="O85" i="2"/>
  <c r="AZ67" i="2"/>
  <c r="AO44" i="2"/>
  <c r="AL145" i="2"/>
  <c r="BM23" i="2"/>
  <c r="BL99" i="2"/>
  <c r="L104" i="2"/>
  <c r="K63" i="2"/>
  <c r="BM173" i="2"/>
  <c r="Y67" i="2"/>
  <c r="BI12" i="2"/>
  <c r="AT68" i="2"/>
  <c r="AI187" i="2"/>
  <c r="K51" i="2"/>
  <c r="W130" i="2"/>
  <c r="BD142" i="2"/>
  <c r="BD101" i="2"/>
  <c r="AY103" i="2"/>
  <c r="T21" i="2"/>
  <c r="AZ69" i="2"/>
  <c r="BC130" i="2"/>
  <c r="U21" i="2"/>
  <c r="AM82" i="2"/>
  <c r="I148" i="2"/>
  <c r="O28" i="2"/>
  <c r="AF89" i="2"/>
  <c r="N4" i="2"/>
  <c r="N3" i="3"/>
  <c r="N3" i="2" s="1"/>
  <c r="O54" i="2"/>
  <c r="V111" i="2"/>
  <c r="AX8" i="2"/>
  <c r="V39" i="2"/>
  <c r="M83" i="2"/>
  <c r="AF147" i="2"/>
  <c r="AR30" i="2"/>
  <c r="J71" i="2"/>
  <c r="AW113" i="2"/>
  <c r="AP6" i="2"/>
  <c r="BD45" i="2"/>
  <c r="BB99" i="2"/>
  <c r="M163" i="2"/>
  <c r="I23" i="2"/>
  <c r="J60" i="2"/>
  <c r="AK115" i="2"/>
  <c r="Y21" i="2"/>
  <c r="K49" i="2"/>
  <c r="BC83" i="2"/>
  <c r="BH119" i="2"/>
  <c r="AY28" i="2"/>
  <c r="BE60" i="2"/>
  <c r="AJ95" i="2"/>
  <c r="AJ136" i="2"/>
  <c r="AZ36" i="2"/>
  <c r="AK69" i="2"/>
  <c r="BE103" i="2"/>
  <c r="AI151" i="2"/>
  <c r="BA36" i="2"/>
  <c r="AH77" i="2"/>
  <c r="J123" i="2"/>
  <c r="P51" i="2"/>
  <c r="H81" i="2"/>
  <c r="BF107" i="2"/>
  <c r="J148" i="2"/>
  <c r="AZ56" i="2"/>
  <c r="AH84" i="2"/>
  <c r="AH104" i="2"/>
  <c r="G141" i="2"/>
  <c r="BA52" i="2"/>
  <c r="T87" i="2"/>
  <c r="Z123" i="2"/>
  <c r="AK177" i="2"/>
  <c r="BG67" i="2"/>
  <c r="BD96" i="2"/>
  <c r="P104" i="2"/>
  <c r="BK129" i="2"/>
  <c r="S188" i="2"/>
  <c r="AB155" i="3"/>
  <c r="AB155" i="2" s="1"/>
  <c r="AB156" i="2"/>
  <c r="BD123" i="2"/>
  <c r="AE164" i="2"/>
  <c r="N129" i="2"/>
  <c r="BK171" i="2"/>
  <c r="X134" i="2"/>
  <c r="T182" i="2"/>
  <c r="AJ147" i="2"/>
  <c r="T191" i="2"/>
  <c r="I152" i="2"/>
  <c r="BD135" i="2"/>
  <c r="BD174" i="2"/>
  <c r="AS140" i="2"/>
  <c r="Y181" i="2"/>
  <c r="AX176" i="2"/>
  <c r="AH149" i="2"/>
  <c r="AF189" i="2"/>
  <c r="BL167" i="2"/>
  <c r="J151" i="2"/>
  <c r="BK182" i="2"/>
  <c r="AM161" i="2"/>
  <c r="AA149" i="2"/>
  <c r="I177" i="2"/>
  <c r="AX161" i="2"/>
  <c r="K189" i="2"/>
  <c r="Z174" i="2"/>
  <c r="K191" i="2"/>
  <c r="F141" i="2"/>
  <c r="F131" i="2"/>
  <c r="F106" i="2"/>
  <c r="F189" i="2"/>
  <c r="F95" i="2"/>
  <c r="F76" i="2"/>
  <c r="F183" i="2"/>
  <c r="BG22" i="2"/>
  <c r="BK5" i="2"/>
  <c r="AR83" i="2"/>
  <c r="BL22" i="2"/>
  <c r="AW35" i="2"/>
  <c r="BL29" i="2"/>
  <c r="BF84" i="2"/>
  <c r="AN51" i="2"/>
  <c r="Z72" i="2"/>
  <c r="AT15" i="2"/>
  <c r="AD88" i="2"/>
  <c r="BC16" i="2"/>
  <c r="AD74" i="2"/>
  <c r="AW34" i="2"/>
  <c r="W171" i="2"/>
  <c r="BG26" i="2"/>
  <c r="AV146" i="2"/>
  <c r="Q157" i="2"/>
  <c r="AG82" i="2"/>
  <c r="AB100" i="2"/>
  <c r="AB24" i="2"/>
  <c r="M55" i="2"/>
  <c r="Q38" i="2"/>
  <c r="AS51" i="2"/>
  <c r="I22" i="2"/>
  <c r="M7" i="2"/>
  <c r="V125" i="2"/>
  <c r="AN68" i="2"/>
  <c r="V45" i="2"/>
  <c r="N18" i="2"/>
  <c r="AC3" i="3"/>
  <c r="AC3" i="2" s="1"/>
  <c r="AC4" i="2"/>
  <c r="BE61" i="2"/>
  <c r="AM53" i="2"/>
  <c r="AF27" i="2"/>
  <c r="AU7" i="2"/>
  <c r="AD29" i="2"/>
  <c r="Z64" i="2"/>
  <c r="J108" i="2"/>
  <c r="AL105" i="2"/>
  <c r="W71" i="2"/>
  <c r="N31" i="2"/>
  <c r="BK33" i="2"/>
  <c r="AJ21" i="2"/>
  <c r="AB182" i="2"/>
  <c r="AC11" i="2"/>
  <c r="AY119" i="2"/>
  <c r="AP80" i="2"/>
  <c r="AP79" i="3"/>
  <c r="AP79" i="2" s="1"/>
  <c r="AX30" i="2"/>
  <c r="AP8" i="2"/>
  <c r="AJ93" i="2"/>
  <c r="BG61" i="2"/>
  <c r="AX11" i="2"/>
  <c r="AL36" i="2"/>
  <c r="S77" i="2"/>
  <c r="N120" i="2"/>
  <c r="BB149" i="2"/>
  <c r="AI152" i="2"/>
  <c r="AJ8" i="2"/>
  <c r="U128" i="2"/>
  <c r="AN78" i="2"/>
  <c r="X53" i="2"/>
  <c r="AR9" i="2"/>
  <c r="BA121" i="2"/>
  <c r="BC58" i="2"/>
  <c r="K77" i="2"/>
  <c r="AN39" i="2"/>
  <c r="AV11" i="2"/>
  <c r="AJ6" i="2"/>
  <c r="BF30" i="2"/>
  <c r="AY67" i="2"/>
  <c r="L110" i="2"/>
  <c r="BA62" i="2"/>
  <c r="BC139" i="2"/>
  <c r="AC41" i="3"/>
  <c r="AC41" i="2" s="1"/>
  <c r="AC42" i="2"/>
  <c r="BF88" i="2"/>
  <c r="AO150" i="2"/>
  <c r="AQ57" i="2"/>
  <c r="AF122" i="2"/>
  <c r="AT41" i="3"/>
  <c r="AT41" i="2" s="1"/>
  <c r="AT42" i="2"/>
  <c r="X115" i="2"/>
  <c r="M17" i="2"/>
  <c r="Q84" i="2"/>
  <c r="J15" i="2"/>
  <c r="K114" i="2"/>
  <c r="Y11" i="2"/>
  <c r="AC27" i="2"/>
  <c r="AX46" i="2"/>
  <c r="AG70" i="2"/>
  <c r="AW107" i="2"/>
  <c r="AR138" i="2"/>
  <c r="AZ90" i="2"/>
  <c r="R26" i="2"/>
  <c r="AE141" i="2"/>
  <c r="AE46" i="2"/>
  <c r="BF112" i="2"/>
  <c r="J21" i="2"/>
  <c r="AM74" i="2"/>
  <c r="S18" i="2"/>
  <c r="BE73" i="2"/>
  <c r="BC6" i="2"/>
  <c r="BD56" i="2"/>
  <c r="AS119" i="2"/>
  <c r="AJ14" i="2"/>
  <c r="BL31" i="2"/>
  <c r="Q52" i="2"/>
  <c r="AN79" i="3"/>
  <c r="AN79" i="2" s="1"/>
  <c r="AN80" i="2"/>
  <c r="BK115" i="2"/>
  <c r="AL173" i="2"/>
  <c r="AT91" i="2"/>
  <c r="L11" i="2"/>
  <c r="L70" i="2"/>
  <c r="BE3" i="3"/>
  <c r="BE3" i="2" s="1"/>
  <c r="BE4" i="2"/>
  <c r="BD65" i="2"/>
  <c r="H8" i="2"/>
  <c r="Y58" i="2"/>
  <c r="AX156" i="2"/>
  <c r="AX155" i="3"/>
  <c r="AX155" i="2" s="1"/>
  <c r="BF45" i="2"/>
  <c r="AN5" i="2"/>
  <c r="V48" i="2"/>
  <c r="AI173" i="2"/>
  <c r="AL18" i="2"/>
  <c r="P38" i="2"/>
  <c r="U61" i="2"/>
  <c r="R98" i="2"/>
  <c r="BK123" i="2"/>
  <c r="AW183" i="2"/>
  <c r="AW25" i="2"/>
  <c r="BA77" i="2"/>
  <c r="AL188" i="2"/>
  <c r="BH15" i="2"/>
  <c r="AX29" i="2"/>
  <c r="AB46" i="2"/>
  <c r="BL63" i="2"/>
  <c r="V86" i="2"/>
  <c r="AI110" i="2"/>
  <c r="BK158" i="2"/>
  <c r="AF59" i="2"/>
  <c r="AE139" i="2"/>
  <c r="AO12" i="2"/>
  <c r="BC25" i="2"/>
  <c r="AJ42" i="2"/>
  <c r="AJ41" i="3"/>
  <c r="AJ41" i="2" s="1"/>
  <c r="R60" i="2"/>
  <c r="AE82" i="2"/>
  <c r="AO102" i="2"/>
  <c r="Q137" i="2"/>
  <c r="AT3" i="3"/>
  <c r="AT3" i="2" s="1"/>
  <c r="AT4" i="2"/>
  <c r="BH45" i="2"/>
  <c r="AG116" i="2"/>
  <c r="K13" i="2"/>
  <c r="BH27" i="2"/>
  <c r="BK45" i="2"/>
  <c r="T66" i="2"/>
  <c r="BE85" i="2"/>
  <c r="N105" i="2"/>
  <c r="G136" i="2"/>
  <c r="BF179" i="2"/>
  <c r="X12" i="2"/>
  <c r="P24" i="2"/>
  <c r="Z36" i="2"/>
  <c r="BI51" i="2"/>
  <c r="G70" i="2"/>
  <c r="BJ87" i="2"/>
  <c r="AH107" i="2"/>
  <c r="BJ142" i="2"/>
  <c r="AC192" i="2"/>
  <c r="O14" i="2"/>
  <c r="BE25" i="2"/>
  <c r="AU38" i="2"/>
  <c r="AR52" i="2"/>
  <c r="BD70" i="2"/>
  <c r="AM88" i="2"/>
  <c r="AI107" i="2"/>
  <c r="BL142" i="2"/>
  <c r="Q3" i="3"/>
  <c r="Q3" i="2" s="1"/>
  <c r="Q4" i="2"/>
  <c r="AZ14" i="2"/>
  <c r="BF25" i="2"/>
  <c r="AV38" i="2"/>
  <c r="AT54" i="2"/>
  <c r="P72" i="2"/>
  <c r="BL87" i="2"/>
  <c r="AY106" i="2"/>
  <c r="BA133" i="2"/>
  <c r="AZ182" i="2"/>
  <c r="BB102" i="2"/>
  <c r="AT123" i="2"/>
  <c r="AB147" i="2"/>
  <c r="AF192" i="2"/>
  <c r="M117" i="3"/>
  <c r="M117" i="2" s="1"/>
  <c r="M118" i="2"/>
  <c r="BF150" i="2"/>
  <c r="V104" i="2"/>
  <c r="BB128" i="2"/>
  <c r="AP160" i="2"/>
  <c r="BM88" i="2"/>
  <c r="AC106" i="2"/>
  <c r="BC128" i="2"/>
  <c r="AD158" i="2"/>
  <c r="Q5" i="2"/>
  <c r="BI13" i="2"/>
  <c r="AL22" i="2"/>
  <c r="AY33" i="2"/>
  <c r="O45" i="2"/>
  <c r="AL58" i="2"/>
  <c r="AD71" i="2"/>
  <c r="AL86" i="2"/>
  <c r="AR100" i="2"/>
  <c r="AF114" i="2"/>
  <c r="BC133" i="2"/>
  <c r="AG162" i="2"/>
  <c r="R5" i="2"/>
  <c r="BJ13" i="2"/>
  <c r="AM22" i="2"/>
  <c r="AZ33" i="2"/>
  <c r="P45" i="2"/>
  <c r="BL56" i="2"/>
  <c r="AB70" i="2"/>
  <c r="AB84" i="2"/>
  <c r="BD97" i="2"/>
  <c r="BD111" i="2"/>
  <c r="AB129" i="2"/>
  <c r="AC151" i="2"/>
  <c r="AI188" i="2"/>
  <c r="BG10" i="2"/>
  <c r="N19" i="2"/>
  <c r="AO29" i="2"/>
  <c r="P40" i="2"/>
  <c r="AC51" i="2"/>
  <c r="J64" i="2"/>
  <c r="AS77" i="2"/>
  <c r="AQ91" i="2"/>
  <c r="AN104" i="2"/>
  <c r="J119" i="2"/>
  <c r="BJ137" i="2"/>
  <c r="AY163" i="2"/>
  <c r="T5" i="2"/>
  <c r="BL13" i="2"/>
  <c r="AS22" i="2"/>
  <c r="R33" i="2"/>
  <c r="BG44" i="2"/>
  <c r="BB55" i="2"/>
  <c r="BK69" i="2"/>
  <c r="AH85" i="2"/>
  <c r="AJ99" i="2"/>
  <c r="AZ113" i="2"/>
  <c r="BF130" i="2"/>
  <c r="AP151" i="2"/>
  <c r="AQ189" i="2"/>
  <c r="BM9" i="2"/>
  <c r="AD16" i="2"/>
  <c r="BB23" i="2"/>
  <c r="I32" i="2"/>
  <c r="BE40" i="2"/>
  <c r="U51" i="2"/>
  <c r="AB62" i="2"/>
  <c r="AI73" i="2"/>
  <c r="AN84" i="2"/>
  <c r="AP94" i="2"/>
  <c r="S105" i="2"/>
  <c r="AD115" i="2"/>
  <c r="P132" i="2"/>
  <c r="K150" i="2"/>
  <c r="AM183" i="2"/>
  <c r="AY8" i="2"/>
  <c r="K16" i="2"/>
  <c r="AE23" i="2"/>
  <c r="N32" i="2"/>
  <c r="BF40" i="2"/>
  <c r="V51" i="2"/>
  <c r="AC62" i="2"/>
  <c r="AJ73" i="2"/>
  <c r="AO84" i="2"/>
  <c r="AU94" i="2"/>
  <c r="T105" i="2"/>
  <c r="AI115" i="2"/>
  <c r="BI132" i="2"/>
  <c r="L150" i="2"/>
  <c r="O178" i="2"/>
  <c r="AK7" i="2"/>
  <c r="V14" i="2"/>
  <c r="BG20" i="2"/>
  <c r="AK29" i="2"/>
  <c r="BE37" i="2"/>
  <c r="BG46" i="2"/>
  <c r="BB57" i="2"/>
  <c r="BJ68" i="2"/>
  <c r="BM79" i="3"/>
  <c r="BM79" i="2" s="1"/>
  <c r="BM80" i="2"/>
  <c r="AK90" i="2"/>
  <c r="P101" i="2"/>
  <c r="S112" i="2"/>
  <c r="Y127" i="2"/>
  <c r="S144" i="2"/>
  <c r="T166" i="2"/>
  <c r="BE187" i="2"/>
  <c r="W10" i="2"/>
  <c r="BA16" i="2"/>
  <c r="T24" i="2"/>
  <c r="BL32" i="2"/>
  <c r="AB41" i="3"/>
  <c r="AB41" i="2" s="1"/>
  <c r="AB42" i="2"/>
  <c r="X51" i="2"/>
  <c r="AE62" i="2"/>
  <c r="G72" i="2"/>
  <c r="K84" i="2"/>
  <c r="AW94" i="2"/>
  <c r="BF105" i="2"/>
  <c r="BK117" i="3"/>
  <c r="BK117" i="2" s="1"/>
  <c r="BK118" i="2"/>
  <c r="Y134" i="2"/>
  <c r="Y151" i="2"/>
  <c r="J172" i="2"/>
  <c r="T22" i="2"/>
  <c r="AX28" i="2"/>
  <c r="AI35" i="2"/>
  <c r="Q43" i="2"/>
  <c r="N50" i="2"/>
  <c r="BF58" i="2"/>
  <c r="AO67" i="2"/>
  <c r="BI75" i="2"/>
  <c r="Y85" i="2"/>
  <c r="AS93" i="2"/>
  <c r="U102" i="2"/>
  <c r="AO110" i="2"/>
  <c r="Q121" i="2"/>
  <c r="AQ133" i="2"/>
  <c r="BA147" i="2"/>
  <c r="AW170" i="2"/>
  <c r="BI22" i="2"/>
  <c r="U30" i="2"/>
  <c r="Z37" i="2"/>
  <c r="H45" i="2"/>
  <c r="T53" i="2"/>
  <c r="BL61" i="2"/>
  <c r="O70" i="2"/>
  <c r="BG78" i="2"/>
  <c r="AA88" i="2"/>
  <c r="AU96" i="2"/>
  <c r="Z105" i="2"/>
  <c r="BB113" i="2"/>
  <c r="BA125" i="2"/>
  <c r="M138" i="2"/>
  <c r="AO154" i="2"/>
  <c r="AF176" i="2"/>
  <c r="AF24" i="2"/>
  <c r="Q31" i="2"/>
  <c r="AU37" i="2"/>
  <c r="AC45" i="2"/>
  <c r="AS53" i="2"/>
  <c r="T62" i="2"/>
  <c r="AN70" i="2"/>
  <c r="H80" i="2"/>
  <c r="H79" i="3"/>
  <c r="H79" i="2" s="1"/>
  <c r="AZ88" i="2"/>
  <c r="AV96" i="2"/>
  <c r="AA105" i="2"/>
  <c r="BC113" i="2"/>
  <c r="T125" i="2"/>
  <c r="N138" i="2"/>
  <c r="AZ154" i="2"/>
  <c r="BE175" i="2"/>
  <c r="AG24" i="2"/>
  <c r="R31" i="2"/>
  <c r="AV37" i="2"/>
  <c r="AD45" i="2"/>
  <c r="AX53" i="2"/>
  <c r="AP61" i="2"/>
  <c r="Q70" i="2"/>
  <c r="AK78" i="2"/>
  <c r="AT87" i="2"/>
  <c r="Y96" i="2"/>
  <c r="AS104" i="2"/>
  <c r="AB113" i="2"/>
  <c r="BA124" i="2"/>
  <c r="BB137" i="2"/>
  <c r="L153" i="2"/>
  <c r="BF175" i="2"/>
  <c r="K52" i="2"/>
  <c r="AJ59" i="2"/>
  <c r="BI66" i="2"/>
  <c r="U74" i="2"/>
  <c r="W82" i="2"/>
  <c r="BA88" i="2"/>
  <c r="AL95" i="2"/>
  <c r="W102" i="2"/>
  <c r="BA108" i="2"/>
  <c r="M116" i="2"/>
  <c r="AH125" i="2"/>
  <c r="AU135" i="2"/>
  <c r="BG149" i="2"/>
  <c r="Z165" i="2"/>
  <c r="M184" i="2"/>
  <c r="Q51" i="2"/>
  <c r="AU57" i="2"/>
  <c r="AF64" i="2"/>
  <c r="Q71" i="2"/>
  <c r="AU77" i="2"/>
  <c r="AC85" i="2"/>
  <c r="N92" i="2"/>
  <c r="BL98" i="2"/>
  <c r="AC105" i="2"/>
  <c r="N112" i="2"/>
  <c r="H121" i="2"/>
  <c r="L131" i="2"/>
  <c r="J143" i="2"/>
  <c r="AT157" i="2"/>
  <c r="AG174" i="2"/>
  <c r="R47" i="2"/>
  <c r="AV53" i="2"/>
  <c r="AG60" i="2"/>
  <c r="R67" i="2"/>
  <c r="AV73" i="2"/>
  <c r="AD81" i="2"/>
  <c r="O88" i="2"/>
  <c r="BM94" i="2"/>
  <c r="AD101" i="2"/>
  <c r="O108" i="2"/>
  <c r="AB115" i="2"/>
  <c r="AT124" i="2"/>
  <c r="U135" i="2"/>
  <c r="L148" i="2"/>
  <c r="BI162" i="2"/>
  <c r="AK179" i="2"/>
  <c r="BB48" i="2"/>
  <c r="AM55" i="2"/>
  <c r="X62" i="2"/>
  <c r="BB68" i="2"/>
  <c r="AM75" i="2"/>
  <c r="AO83" i="2"/>
  <c r="AT90" i="2"/>
  <c r="AY97" i="2"/>
  <c r="K105" i="2"/>
  <c r="AJ112" i="2"/>
  <c r="AH121" i="2"/>
  <c r="P131" i="2"/>
  <c r="AO141" i="2"/>
  <c r="AV157" i="2"/>
  <c r="L173" i="2"/>
  <c r="BA191" i="2"/>
  <c r="AB120" i="2"/>
  <c r="AW127" i="2"/>
  <c r="AZ135" i="2"/>
  <c r="W144" i="2"/>
  <c r="AL159" i="2"/>
  <c r="P171" i="2"/>
  <c r="AF185" i="2"/>
  <c r="S117" i="3"/>
  <c r="S117" i="2" s="1"/>
  <c r="S118" i="2"/>
  <c r="BI124" i="2"/>
  <c r="BD132" i="2"/>
  <c r="Y141" i="2"/>
  <c r="BD152" i="2"/>
  <c r="AY166" i="2"/>
  <c r="V180" i="2"/>
  <c r="BF114" i="2"/>
  <c r="AN122" i="2"/>
  <c r="Q130" i="2"/>
  <c r="BF138" i="2"/>
  <c r="AK148" i="2"/>
  <c r="W161" i="2"/>
  <c r="J174" i="2"/>
  <c r="AV189" i="2"/>
  <c r="AJ119" i="2"/>
  <c r="AC127" i="2"/>
  <c r="AE135" i="2"/>
  <c r="BC144" i="2"/>
  <c r="AP155" i="3"/>
  <c r="AP155" i="2" s="1"/>
  <c r="AP156" i="2"/>
  <c r="BC169" i="2"/>
  <c r="BF184" i="2"/>
  <c r="N127" i="2"/>
  <c r="BL133" i="2"/>
  <c r="AO140" i="2"/>
  <c r="AV148" i="2"/>
  <c r="BJ159" i="2"/>
  <c r="AD170" i="2"/>
  <c r="AU180" i="2"/>
  <c r="BC123" i="2"/>
  <c r="AN130" i="2"/>
  <c r="Y137" i="2"/>
  <c r="BG144" i="2"/>
  <c r="BI153" i="2"/>
  <c r="AZ164" i="2"/>
  <c r="U176" i="2"/>
  <c r="AU187" i="2"/>
  <c r="AY136" i="2"/>
  <c r="BK144" i="2"/>
  <c r="BJ153" i="2"/>
  <c r="BE164" i="2"/>
  <c r="V176" i="2"/>
  <c r="AV187" i="2"/>
  <c r="BE127" i="2"/>
  <c r="AP134" i="2"/>
  <c r="Z142" i="2"/>
  <c r="BE150" i="2"/>
  <c r="V161" i="2"/>
  <c r="AF172" i="2"/>
  <c r="BE182" i="2"/>
  <c r="AB166" i="2"/>
  <c r="BJ175" i="2"/>
  <c r="G185" i="2"/>
  <c r="BJ168" i="2"/>
  <c r="AD178" i="2"/>
  <c r="U188" i="2"/>
  <c r="AZ181" i="2"/>
  <c r="S142" i="2"/>
  <c r="AT150" i="2"/>
  <c r="AI161" i="2"/>
  <c r="AM170" i="2"/>
  <c r="AR179" i="2"/>
  <c r="Q192" i="2"/>
  <c r="BH144" i="2"/>
  <c r="AM152" i="2"/>
  <c r="AK161" i="2"/>
  <c r="Z169" i="2"/>
  <c r="BH176" i="2"/>
  <c r="BB184" i="2"/>
  <c r="U144" i="2"/>
  <c r="Q152" i="2"/>
  <c r="O161" i="2"/>
  <c r="AT168" i="2"/>
  <c r="AL176" i="2"/>
  <c r="AE184" i="2"/>
  <c r="G139" i="2"/>
  <c r="BE145" i="2"/>
  <c r="V153" i="2"/>
  <c r="AO162" i="2"/>
  <c r="M171" i="2"/>
  <c r="AY179" i="2"/>
  <c r="AH188" i="2"/>
  <c r="AP150" i="2"/>
  <c r="X158" i="2"/>
  <c r="BB164" i="2"/>
  <c r="AM171" i="2"/>
  <c r="X178" i="2"/>
  <c r="BG184" i="2"/>
  <c r="AG148" i="2"/>
  <c r="O155" i="3"/>
  <c r="O155" i="2" s="1"/>
  <c r="O156" i="2"/>
  <c r="BM162" i="2"/>
  <c r="AD169" i="2"/>
  <c r="O176" i="2"/>
  <c r="BM182" i="2"/>
  <c r="V190" i="2"/>
  <c r="BB152" i="2"/>
  <c r="BD160" i="2"/>
  <c r="P168" i="2"/>
  <c r="AO175" i="2"/>
  <c r="AT182" i="2"/>
  <c r="W190" i="2"/>
  <c r="BI187" i="2"/>
  <c r="BJ187" i="2"/>
  <c r="BG189" i="2"/>
  <c r="BC190" i="2"/>
  <c r="Z192" i="2"/>
  <c r="AN43" i="2"/>
  <c r="W76" i="2"/>
  <c r="AV110" i="2"/>
  <c r="AC168" i="2"/>
  <c r="BD71" i="2"/>
  <c r="M100" i="2"/>
  <c r="BL132" i="2"/>
  <c r="G49" i="2"/>
  <c r="BE75" i="2"/>
  <c r="AM103" i="2"/>
  <c r="AJ138" i="2"/>
  <c r="Y187" i="2"/>
  <c r="BF71" i="2"/>
  <c r="BC92" i="2"/>
  <c r="Y106" i="2"/>
  <c r="AQ131" i="2"/>
  <c r="AZ191" i="2"/>
  <c r="BL66" i="2"/>
  <c r="K81" i="2"/>
  <c r="U103" i="2"/>
  <c r="O128" i="2"/>
  <c r="Z168" i="2"/>
  <c r="P125" i="2"/>
  <c r="AX141" i="2"/>
  <c r="BC153" i="2"/>
  <c r="AN181" i="2"/>
  <c r="P130" i="2"/>
  <c r="AJ148" i="2"/>
  <c r="X175" i="2"/>
  <c r="K128" i="2"/>
  <c r="G158" i="2"/>
  <c r="AC116" i="2"/>
  <c r="W152" i="2"/>
  <c r="X125" i="2"/>
  <c r="AA146" i="2"/>
  <c r="BF177" i="2"/>
  <c r="O135" i="2"/>
  <c r="AU161" i="2"/>
  <c r="BI134" i="2"/>
  <c r="AV161" i="2"/>
  <c r="AU125" i="2"/>
  <c r="BL147" i="2"/>
  <c r="BD179" i="2"/>
  <c r="AI182" i="2"/>
  <c r="H185" i="2"/>
  <c r="BJ147" i="2"/>
  <c r="AZ176" i="2"/>
  <c r="AB150" i="2"/>
  <c r="AX174" i="2"/>
  <c r="AY149" i="2"/>
  <c r="AB174" i="2"/>
  <c r="AU143" i="2"/>
  <c r="AU168" i="2"/>
  <c r="AF148" i="2"/>
  <c r="AC169" i="2"/>
  <c r="U190" i="2"/>
  <c r="AN167" i="2"/>
  <c r="AP187" i="2"/>
  <c r="AY165" i="2"/>
  <c r="AQ187" i="2"/>
  <c r="P190" i="2"/>
  <c r="F117" i="3"/>
  <c r="F117" i="2" s="1"/>
  <c r="F118" i="2"/>
  <c r="F46" i="2"/>
  <c r="F3" i="3"/>
  <c r="F3" i="2" s="1"/>
  <c r="F4" i="2"/>
  <c r="AW26" i="2"/>
  <c r="U157" i="2"/>
  <c r="AZ97" i="2"/>
  <c r="R176" i="2"/>
  <c r="BH44" i="2"/>
  <c r="Y32" i="2"/>
  <c r="AH142" i="2"/>
  <c r="K123" i="2"/>
  <c r="Z10" i="2"/>
  <c r="AH17" i="2"/>
  <c r="Z52" i="2"/>
  <c r="AI8" i="2"/>
  <c r="BA109" i="2"/>
  <c r="BJ40" i="2"/>
  <c r="AH38" i="2"/>
  <c r="AZ106" i="2"/>
  <c r="AC95" i="2"/>
  <c r="AH39" i="2"/>
  <c r="R135" i="2"/>
  <c r="M178" i="2"/>
  <c r="AF119" i="2"/>
  <c r="AA104" i="2"/>
  <c r="BB75" i="2"/>
  <c r="BH65" i="2"/>
  <c r="AB7" i="2"/>
  <c r="AX15" i="2"/>
  <c r="L183" i="2"/>
  <c r="AD27" i="2"/>
  <c r="AR108" i="2"/>
  <c r="AN174" i="2"/>
  <c r="AX150" i="2"/>
  <c r="S109" i="2"/>
  <c r="AN33" i="2"/>
  <c r="BG168" i="2"/>
  <c r="I13" i="2"/>
  <c r="AY80" i="2"/>
  <c r="AY79" i="3"/>
  <c r="AY79" i="2" s="1"/>
  <c r="T113" i="2"/>
  <c r="AW55" i="2"/>
  <c r="AF177" i="2"/>
  <c r="AT24" i="2"/>
  <c r="BM100" i="2"/>
  <c r="R20" i="2"/>
  <c r="BF82" i="2"/>
  <c r="BM11" i="2"/>
  <c r="BA66" i="2"/>
  <c r="AG182" i="2"/>
  <c r="BM49" i="2"/>
  <c r="S128" i="2"/>
  <c r="BA140" i="2"/>
  <c r="AJ187" i="2"/>
  <c r="AH102" i="2"/>
  <c r="AR11" i="2"/>
  <c r="O55" i="2"/>
  <c r="BE96" i="2"/>
  <c r="AC190" i="2"/>
  <c r="BG42" i="2"/>
  <c r="BG41" i="3"/>
  <c r="BG41" i="2" s="1"/>
  <c r="AH94" i="2"/>
  <c r="I179" i="2"/>
  <c r="BH37" i="2"/>
  <c r="U88" i="2"/>
  <c r="BA153" i="2"/>
  <c r="AH30" i="2"/>
  <c r="I82" i="2"/>
  <c r="V146" i="2"/>
  <c r="AM21" i="2"/>
  <c r="J59" i="2"/>
  <c r="AI102" i="2"/>
  <c r="N178" i="2"/>
  <c r="BH29" i="2"/>
  <c r="S70" i="2"/>
  <c r="AT112" i="2"/>
  <c r="AU5" i="2"/>
  <c r="BL35" i="2"/>
  <c r="AX76" i="2"/>
  <c r="BE122" i="2"/>
  <c r="AG8" i="2"/>
  <c r="Y39" i="2"/>
  <c r="BF69" i="2"/>
  <c r="AL102" i="2"/>
  <c r="V167" i="2"/>
  <c r="AD40" i="2"/>
  <c r="W65" i="2"/>
  <c r="AD100" i="2"/>
  <c r="U129" i="2"/>
  <c r="K28" i="2"/>
  <c r="AL43" i="2"/>
  <c r="AT59" i="2"/>
  <c r="J86" i="2"/>
  <c r="AV122" i="2"/>
  <c r="AL171" i="2"/>
  <c r="L36" i="2"/>
  <c r="AX68" i="2"/>
  <c r="I103" i="2"/>
  <c r="N149" i="2"/>
  <c r="M36" i="2"/>
  <c r="AA68" i="2"/>
  <c r="AZ102" i="2"/>
  <c r="AE148" i="2"/>
  <c r="AY64" i="2"/>
  <c r="R87" i="2"/>
  <c r="BD113" i="2"/>
  <c r="M162" i="2"/>
  <c r="BJ62" i="2"/>
  <c r="AR90" i="2"/>
  <c r="Q119" i="2"/>
  <c r="BD169" i="2"/>
  <c r="AB65" i="2"/>
  <c r="J93" i="2"/>
  <c r="O122" i="2"/>
  <c r="M175" i="2"/>
  <c r="S67" i="2"/>
  <c r="P96" i="2"/>
  <c r="AP128" i="2"/>
  <c r="BF117" i="3"/>
  <c r="BF117" i="2" s="1"/>
  <c r="BF118" i="2"/>
  <c r="N154" i="2"/>
  <c r="N123" i="2"/>
  <c r="R163" i="2"/>
  <c r="AI128" i="2"/>
  <c r="BA170" i="2"/>
  <c r="AM133" i="2"/>
  <c r="X180" i="2"/>
  <c r="BB146" i="2"/>
  <c r="AG189" i="2"/>
  <c r="T151" i="2"/>
  <c r="P135" i="2"/>
  <c r="BI173" i="2"/>
  <c r="AQ139" i="2"/>
  <c r="T180" i="2"/>
  <c r="BC166" i="2"/>
  <c r="AE189" i="2"/>
  <c r="AL168" i="2"/>
  <c r="AY150" i="2"/>
  <c r="AM182" i="2"/>
  <c r="AA159" i="2"/>
  <c r="AU191" i="2"/>
  <c r="AB169" i="2"/>
  <c r="AZ148" i="2"/>
  <c r="AH176" i="2"/>
  <c r="J161" i="2"/>
  <c r="AB188" i="2"/>
  <c r="AE173" i="2"/>
  <c r="T189" i="2"/>
  <c r="F45" i="2"/>
  <c r="F5" i="2"/>
  <c r="AS28" i="2"/>
  <c r="G11" i="2"/>
  <c r="AF161" i="2"/>
  <c r="W124" i="2"/>
  <c r="G39" i="2"/>
  <c r="BM12" i="2"/>
  <c r="Q85" i="2"/>
  <c r="BK126" i="2"/>
  <c r="AS175" i="2"/>
  <c r="AA72" i="2"/>
  <c r="Q172" i="2"/>
  <c r="T46" i="2"/>
  <c r="AL44" i="2"/>
  <c r="AT108" i="2"/>
  <c r="AB99" i="2"/>
  <c r="Q93" i="2"/>
  <c r="AU188" i="2"/>
  <c r="AZ98" i="2"/>
  <c r="U77" i="2"/>
  <c r="AF14" i="2"/>
  <c r="H6" i="2"/>
  <c r="BA41" i="3"/>
  <c r="BA41" i="2" s="1"/>
  <c r="BA42" i="2"/>
  <c r="O78" i="2"/>
  <c r="BC89" i="2"/>
  <c r="AD67" i="2"/>
  <c r="BB10" i="2"/>
  <c r="W109" i="2"/>
  <c r="AP57" i="2"/>
  <c r="G51" i="2"/>
  <c r="AQ36" i="2"/>
  <c r="BI57" i="2"/>
  <c r="AR20" i="2"/>
  <c r="AJ26" i="2"/>
  <c r="X103" i="2"/>
  <c r="AG9" i="2"/>
  <c r="Y76" i="2"/>
  <c r="BF34" i="2"/>
  <c r="AK42" i="2"/>
  <c r="AK41" i="3"/>
  <c r="AK41" i="2" s="1"/>
  <c r="AE127" i="2"/>
  <c r="O34" i="2"/>
  <c r="AP103" i="2"/>
  <c r="AV23" i="2"/>
  <c r="Z84" i="2"/>
  <c r="BJ12" i="2"/>
  <c r="AH69" i="2"/>
  <c r="BA171" i="2"/>
  <c r="AC182" i="2"/>
  <c r="AC122" i="2"/>
  <c r="AD122" i="2"/>
  <c r="BB20" i="2"/>
  <c r="P69" i="2"/>
  <c r="T129" i="2"/>
  <c r="BC20" i="2"/>
  <c r="AS67" i="2"/>
  <c r="AQ125" i="2"/>
  <c r="AY17" i="2"/>
  <c r="BK60" i="2"/>
  <c r="H115" i="2"/>
  <c r="AH12" i="2"/>
  <c r="BD53" i="2"/>
  <c r="AY110" i="2"/>
  <c r="J183" i="2"/>
  <c r="O30" i="2"/>
  <c r="AP59" i="2"/>
  <c r="BE92" i="2"/>
  <c r="P129" i="2"/>
  <c r="BI14" i="2"/>
  <c r="BL38" i="2"/>
  <c r="AY70" i="2"/>
  <c r="AJ102" i="2"/>
  <c r="BK146" i="2"/>
  <c r="AZ12" i="2"/>
  <c r="W36" i="2"/>
  <c r="AE55" i="2"/>
  <c r="V99" i="2"/>
  <c r="AE140" i="2"/>
  <c r="BA8" i="2"/>
  <c r="AW39" i="2"/>
  <c r="Y70" i="2"/>
  <c r="AJ103" i="2"/>
  <c r="AY147" i="2"/>
  <c r="T34" i="2"/>
  <c r="AY65" i="2"/>
  <c r="BF100" i="2"/>
  <c r="AB144" i="2"/>
  <c r="BD35" i="2"/>
  <c r="AW68" i="2"/>
  <c r="AF103" i="2"/>
  <c r="AU150" i="2"/>
  <c r="AF36" i="2"/>
  <c r="M69" i="2"/>
  <c r="AG103" i="2"/>
  <c r="AV150" i="2"/>
  <c r="AG36" i="2"/>
  <c r="BC68" i="2"/>
  <c r="J103" i="2"/>
  <c r="O149" i="2"/>
  <c r="Z65" i="2"/>
  <c r="W94" i="2"/>
  <c r="X123" i="2"/>
  <c r="BC162" i="2"/>
  <c r="Q63" i="2"/>
  <c r="N84" i="2"/>
  <c r="N104" i="2"/>
  <c r="AD129" i="2"/>
  <c r="N153" i="2"/>
  <c r="AG52" i="2"/>
  <c r="AV65" i="2"/>
  <c r="O79" i="3"/>
  <c r="O79" i="2" s="1"/>
  <c r="O80" i="2"/>
  <c r="AD93" i="2"/>
  <c r="BM106" i="2"/>
  <c r="AQ122" i="2"/>
  <c r="AD145" i="2"/>
  <c r="AU176" i="2"/>
  <c r="X54" i="2"/>
  <c r="AM67" i="2"/>
  <c r="AY81" i="2"/>
  <c r="K89" i="2"/>
  <c r="AJ96" i="2"/>
  <c r="BI103" i="2"/>
  <c r="AQ119" i="2"/>
  <c r="AF129" i="2"/>
  <c r="Q153" i="2"/>
  <c r="AB170" i="2"/>
  <c r="AH187" i="2"/>
  <c r="M119" i="2"/>
  <c r="BJ125" i="2"/>
  <c r="BH133" i="2"/>
  <c r="AK142" i="2"/>
  <c r="BD154" i="2"/>
  <c r="AE168" i="2"/>
  <c r="BF182" i="2"/>
  <c r="AZ115" i="2"/>
  <c r="AH123" i="2"/>
  <c r="BM130" i="2"/>
  <c r="AW139" i="2"/>
  <c r="AL150" i="2"/>
  <c r="BD163" i="2"/>
  <c r="V177" i="2"/>
  <c r="Y121" i="2"/>
  <c r="V137" i="2"/>
  <c r="I159" i="2"/>
  <c r="G186" i="2"/>
  <c r="S125" i="2"/>
  <c r="AN142" i="2"/>
  <c r="BA166" i="2"/>
  <c r="BL125" i="2"/>
  <c r="AC132" i="2"/>
  <c r="BC157" i="2"/>
  <c r="AQ190" i="2"/>
  <c r="AE143" i="2"/>
  <c r="T174" i="2"/>
  <c r="AF143" i="2"/>
  <c r="U174" i="2"/>
  <c r="G133" i="2"/>
  <c r="AI159" i="2"/>
  <c r="U164" i="2"/>
  <c r="R167" i="2"/>
  <c r="AQ179" i="2"/>
  <c r="AC159" i="2"/>
  <c r="W188" i="2"/>
  <c r="G160" i="2"/>
  <c r="BJ182" i="2"/>
  <c r="AX159" i="2"/>
  <c r="L192" i="2"/>
  <c r="P161" i="2"/>
  <c r="AQ177" i="2"/>
  <c r="BB155" i="3"/>
  <c r="BB155" i="2" s="1"/>
  <c r="BB156" i="2"/>
  <c r="BB176" i="2"/>
  <c r="AV153" i="2"/>
  <c r="O168" i="2"/>
  <c r="BA188" i="2"/>
  <c r="AT166" i="2"/>
  <c r="BB188" i="2"/>
  <c r="BD190" i="2"/>
  <c r="F29" i="2"/>
  <c r="F6" i="2"/>
  <c r="K99" i="2"/>
  <c r="BM20" i="2"/>
  <c r="AW117" i="3"/>
  <c r="AW117" i="2" s="1"/>
  <c r="AW118" i="2"/>
  <c r="X95" i="2"/>
  <c r="AU27" i="2"/>
  <c r="X171" i="2"/>
  <c r="AZ140" i="2"/>
  <c r="AA7" i="2"/>
  <c r="AR18" i="2"/>
  <c r="AI101" i="2"/>
  <c r="H182" i="2"/>
  <c r="BE82" i="2"/>
  <c r="M74" i="2"/>
  <c r="AV70" i="2"/>
  <c r="H111" i="2"/>
  <c r="BC140" i="2"/>
  <c r="AZ23" i="2"/>
  <c r="AK101" i="2"/>
  <c r="P78" i="2"/>
  <c r="R18" i="2"/>
  <c r="BA75" i="2"/>
  <c r="O24" i="2"/>
  <c r="BI131" i="2"/>
  <c r="V121" i="2"/>
  <c r="Q68" i="2"/>
  <c r="P44" i="2"/>
  <c r="AD49" i="2"/>
  <c r="AS75" i="2"/>
  <c r="AT55" i="2"/>
  <c r="AD37" i="2"/>
  <c r="N35" i="2"/>
  <c r="AR173" i="2"/>
  <c r="K14" i="2"/>
  <c r="AD82" i="2"/>
  <c r="BL117" i="3"/>
  <c r="BL117" i="2" s="1"/>
  <c r="BL118" i="2"/>
  <c r="O57" i="2"/>
  <c r="S186" i="2"/>
  <c r="BK25" i="2"/>
  <c r="AP102" i="2"/>
  <c r="AK10" i="2"/>
  <c r="BK49" i="2"/>
  <c r="AP137" i="2"/>
  <c r="AI50" i="2"/>
  <c r="BJ136" i="2"/>
  <c r="AB36" i="2"/>
  <c r="AR103" i="2"/>
  <c r="AM119" i="2"/>
  <c r="AP145" i="2"/>
  <c r="AZ86" i="2"/>
  <c r="AT153" i="2"/>
  <c r="U32" i="2"/>
  <c r="AA84" i="2"/>
  <c r="AL154" i="2"/>
  <c r="V32" i="2"/>
  <c r="AP68" i="2"/>
  <c r="K126" i="2"/>
  <c r="BC9" i="2"/>
  <c r="BC49" i="2"/>
  <c r="AD102" i="2"/>
  <c r="BE155" i="3"/>
  <c r="BE155" i="2" s="1"/>
  <c r="BE156" i="2"/>
  <c r="BI31" i="2"/>
  <c r="W83" i="2"/>
  <c r="O148" i="2"/>
  <c r="S22" i="2"/>
  <c r="AM60" i="2"/>
  <c r="BM103" i="2"/>
  <c r="AQ180" i="2"/>
  <c r="X22" i="2"/>
  <c r="AN49" i="2"/>
  <c r="N83" i="2"/>
  <c r="G131" i="2"/>
  <c r="G13" i="2"/>
  <c r="AU36" i="2"/>
  <c r="AP77" i="2"/>
  <c r="BC124" i="2"/>
  <c r="H9" i="2"/>
  <c r="H40" i="2"/>
  <c r="BA70" i="2"/>
  <c r="AE104" i="2"/>
  <c r="R169" i="2"/>
  <c r="V41" i="3"/>
  <c r="V41" i="2" s="1"/>
  <c r="V42" i="2"/>
  <c r="AX74" i="2"/>
  <c r="AK109" i="2"/>
  <c r="AE167" i="2"/>
  <c r="M44" i="2"/>
  <c r="BD77" i="2"/>
  <c r="AM112" i="2"/>
  <c r="AE151" i="2"/>
  <c r="V30" i="2"/>
  <c r="Q61" i="2"/>
  <c r="AK95" i="2"/>
  <c r="AK136" i="2"/>
  <c r="W30" i="2"/>
  <c r="AI60" i="2"/>
  <c r="BD94" i="2"/>
  <c r="AA135" i="2"/>
  <c r="AO58" i="2"/>
  <c r="BF87" i="2"/>
  <c r="AV123" i="2"/>
  <c r="BK181" i="2"/>
  <c r="V70" i="2"/>
  <c r="AW97" i="2"/>
  <c r="BE129" i="2"/>
  <c r="BJ190" i="2"/>
  <c r="W66" i="2"/>
  <c r="AI79" i="3"/>
  <c r="AI79" i="2" s="1"/>
  <c r="AI80" i="2"/>
  <c r="T107" i="2"/>
  <c r="BM145" i="2"/>
  <c r="AR54" i="2"/>
  <c r="Z82" i="2"/>
  <c r="Z120" i="2"/>
  <c r="G171" i="2"/>
  <c r="Q134" i="2"/>
  <c r="AF183" i="2"/>
  <c r="H140" i="2"/>
  <c r="BK113" i="2"/>
  <c r="AR146" i="2"/>
  <c r="AO118" i="2"/>
  <c r="AO117" i="3"/>
  <c r="AO117" i="2" s="1"/>
  <c r="BF153" i="2"/>
  <c r="AW132" i="2"/>
  <c r="AN168" i="2"/>
  <c r="J136" i="2"/>
  <c r="BC174" i="2"/>
  <c r="J152" i="2"/>
  <c r="BJ126" i="2"/>
  <c r="BM159" i="2"/>
  <c r="O174" i="2"/>
  <c r="BL186" i="2"/>
  <c r="BC159" i="2"/>
  <c r="BM143" i="2"/>
  <c r="BA175" i="2"/>
  <c r="H160" i="2"/>
  <c r="AX192" i="2"/>
  <c r="J170" i="2"/>
  <c r="I157" i="2"/>
  <c r="BI183" i="2"/>
  <c r="AI168" i="2"/>
  <c r="BG151" i="2"/>
  <c r="L189" i="2"/>
  <c r="BH189" i="2"/>
  <c r="F109" i="2"/>
  <c r="F191" i="2"/>
  <c r="F121" i="2"/>
  <c r="F128" i="2"/>
  <c r="F62" i="2"/>
  <c r="F59" i="2"/>
  <c r="F44" i="2"/>
  <c r="F52" i="2"/>
  <c r="F175" i="2"/>
  <c r="F75" i="2"/>
  <c r="F7" i="2"/>
  <c r="F130" i="2"/>
  <c r="F25" i="2"/>
  <c r="F92" i="2"/>
  <c r="BG12" i="2"/>
  <c r="BE18" i="2"/>
  <c r="X139" i="2"/>
  <c r="AK50" i="2"/>
  <c r="BM52" i="2"/>
  <c r="G32" i="2"/>
  <c r="AJ89" i="2"/>
  <c r="T72" i="2"/>
  <c r="BI77" i="2"/>
  <c r="AR17" i="2"/>
  <c r="BK103" i="2"/>
  <c r="BH33" i="2"/>
  <c r="AJ105" i="2"/>
  <c r="AT92" i="2"/>
  <c r="AA192" i="2"/>
  <c r="BF28" i="2"/>
  <c r="I186" i="2"/>
  <c r="BA176" i="2"/>
  <c r="AD87" i="2"/>
  <c r="AT117" i="3"/>
  <c r="AT117" i="2" s="1"/>
  <c r="AT118" i="2"/>
  <c r="P26" i="2"/>
  <c r="AI62" i="2"/>
  <c r="AT47" i="2"/>
  <c r="AM56" i="2"/>
  <c r="AU24" i="2"/>
  <c r="X10" i="2"/>
  <c r="AX130" i="2"/>
  <c r="AV72" i="2"/>
  <c r="BD50" i="2"/>
  <c r="V28" i="2"/>
  <c r="AO8" i="2"/>
  <c r="AG65" i="2"/>
  <c r="BE58" i="2"/>
  <c r="AZ30" i="2"/>
  <c r="AV8" i="2"/>
  <c r="BA30" i="2"/>
  <c r="U67" i="2"/>
  <c r="V112" i="2"/>
  <c r="AH126" i="2"/>
  <c r="AN76" i="2"/>
  <c r="AB32" i="2"/>
  <c r="K39" i="2"/>
  <c r="AN23" i="2"/>
  <c r="BF190" i="2"/>
  <c r="P12" i="2"/>
  <c r="AK123" i="2"/>
  <c r="AL84" i="2"/>
  <c r="AF38" i="2"/>
  <c r="AY9" i="2"/>
  <c r="AU98" i="2"/>
  <c r="BK71" i="2"/>
  <c r="AS12" i="2"/>
  <c r="BA37" i="2"/>
  <c r="AU79" i="3"/>
  <c r="AU79" i="2" s="1"/>
  <c r="AU80" i="2"/>
  <c r="AP129" i="2"/>
  <c r="BB159" i="2"/>
  <c r="BD159" i="2"/>
  <c r="R9" i="2"/>
  <c r="BG132" i="2"/>
  <c r="Q86" i="2"/>
  <c r="AO55" i="2"/>
  <c r="H14" i="2"/>
  <c r="BK130" i="2"/>
  <c r="I67" i="2"/>
  <c r="BC78" i="2"/>
  <c r="BA46" i="2"/>
  <c r="AA14" i="2"/>
  <c r="AW7" i="2"/>
  <c r="N33" i="2"/>
  <c r="AW70" i="2"/>
  <c r="X112" i="2"/>
  <c r="AI64" i="2"/>
  <c r="AU144" i="2"/>
  <c r="AD43" i="2"/>
  <c r="BA90" i="2"/>
  <c r="AR161" i="2"/>
  <c r="T58" i="2"/>
  <c r="AH124" i="2"/>
  <c r="T48" i="2"/>
  <c r="BE116" i="2"/>
  <c r="BJ21" i="2"/>
  <c r="BI94" i="2"/>
  <c r="X18" i="2"/>
  <c r="AQ120" i="2"/>
  <c r="AL12" i="2"/>
  <c r="R28" i="2"/>
  <c r="AF47" i="2"/>
  <c r="O71" i="2"/>
  <c r="AQ108" i="2"/>
  <c r="BL141" i="2"/>
  <c r="AR93" i="2"/>
  <c r="BH28" i="2"/>
  <c r="BI152" i="2"/>
  <c r="S48" i="2"/>
  <c r="AK119" i="2"/>
  <c r="AE22" i="2"/>
  <c r="AV75" i="2"/>
  <c r="AA20" i="2"/>
  <c r="V106" i="2"/>
  <c r="N8" i="2"/>
  <c r="AX57" i="2"/>
  <c r="AY122" i="2"/>
  <c r="S15" i="2"/>
  <c r="AU32" i="2"/>
  <c r="N53" i="2"/>
  <c r="O81" i="2"/>
  <c r="AA117" i="3"/>
  <c r="AA117" i="2" s="1"/>
  <c r="AA118" i="2"/>
  <c r="BD177" i="2"/>
  <c r="BJ96" i="2"/>
  <c r="V12" i="2"/>
  <c r="AP73" i="2"/>
  <c r="AH5" i="2"/>
  <c r="M70" i="2"/>
  <c r="N11" i="2"/>
  <c r="BH62" i="2"/>
  <c r="BG165" i="2"/>
  <c r="AD47" i="2"/>
  <c r="BH8" i="2"/>
  <c r="G52" i="2"/>
  <c r="BJ179" i="2"/>
  <c r="I19" i="2"/>
  <c r="BK39" i="2"/>
  <c r="J62" i="2"/>
  <c r="J99" i="2"/>
  <c r="AL127" i="2"/>
  <c r="X185" i="2"/>
  <c r="AW29" i="2"/>
  <c r="AX79" i="3"/>
  <c r="AX79" i="2" s="1"/>
  <c r="AX80" i="2"/>
  <c r="AU3" i="3"/>
  <c r="AU3" i="2" s="1"/>
  <c r="AU4" i="2"/>
  <c r="Z16" i="2"/>
  <c r="N30" i="2"/>
  <c r="I47" i="2"/>
  <c r="AM64" i="2"/>
  <c r="W87" i="2"/>
  <c r="AH111" i="2"/>
  <c r="AJ165" i="2"/>
  <c r="P60" i="2"/>
  <c r="BF140" i="2"/>
  <c r="J13" i="2"/>
  <c r="AK26" i="2"/>
  <c r="U43" i="2"/>
  <c r="BC61" i="2"/>
  <c r="X83" i="2"/>
  <c r="Y103" i="2"/>
  <c r="Q138" i="2"/>
  <c r="BB5" i="2"/>
  <c r="I50" i="2"/>
  <c r="BA129" i="2"/>
  <c r="AX13" i="2"/>
  <c r="AH28" i="2"/>
  <c r="AD46" i="2"/>
  <c r="H67" i="2"/>
  <c r="AF86" i="2"/>
  <c r="M107" i="2"/>
  <c r="R137" i="2"/>
  <c r="AA181" i="2"/>
  <c r="BH12" i="2"/>
  <c r="BD24" i="2"/>
  <c r="AL37" i="2"/>
  <c r="AQ52" i="2"/>
  <c r="BC70" i="2"/>
  <c r="AL88" i="2"/>
  <c r="Q108" i="2"/>
  <c r="AO145" i="2"/>
  <c r="P3" i="3"/>
  <c r="P3" i="2" s="1"/>
  <c r="P4" i="2"/>
  <c r="AY14" i="2"/>
  <c r="AC26" i="2"/>
  <c r="U39" i="2"/>
  <c r="AD53" i="2"/>
  <c r="AH71" i="2"/>
  <c r="W89" i="2"/>
  <c r="R108" i="2"/>
  <c r="AW145" i="2"/>
  <c r="AS3" i="3"/>
  <c r="AS3" i="2" s="1"/>
  <c r="AS4" i="2"/>
  <c r="M15" i="2"/>
  <c r="AD26" i="2"/>
  <c r="Z39" i="2"/>
  <c r="Y55" i="2"/>
  <c r="BD72" i="2"/>
  <c r="AN88" i="2"/>
  <c r="AJ107" i="2"/>
  <c r="Q140" i="2"/>
  <c r="AG184" i="2"/>
  <c r="W103" i="2"/>
  <c r="AB124" i="2"/>
  <c r="BI148" i="2"/>
  <c r="S98" i="2"/>
  <c r="AT120" i="2"/>
  <c r="AN153" i="2"/>
  <c r="AN105" i="2"/>
  <c r="AV129" i="2"/>
  <c r="AV163" i="2"/>
  <c r="AZ89" i="2"/>
  <c r="G107" i="2"/>
  <c r="AW129" i="2"/>
  <c r="AZ159" i="2"/>
  <c r="AO5" i="2"/>
  <c r="Q14" i="2"/>
  <c r="AO23" i="2"/>
  <c r="H34" i="2"/>
  <c r="AQ45" i="2"/>
  <c r="I59" i="2"/>
  <c r="AI72" i="2"/>
  <c r="H87" i="2"/>
  <c r="W101" i="2"/>
  <c r="BF115" i="2"/>
  <c r="AQ134" i="2"/>
  <c r="AW163" i="2"/>
  <c r="AP5" i="2"/>
  <c r="R14" i="2"/>
  <c r="J23" i="2"/>
  <c r="I34" i="2"/>
  <c r="AR45" i="2"/>
  <c r="AJ57" i="2"/>
  <c r="BH70" i="2"/>
  <c r="BL84" i="2"/>
  <c r="V98" i="2"/>
  <c r="AA112" i="2"/>
  <c r="BD130" i="2"/>
  <c r="AX152" i="2"/>
  <c r="V189" i="2"/>
  <c r="V11" i="2"/>
  <c r="AP19" i="2"/>
  <c r="AG30" i="2"/>
  <c r="AR40" i="2"/>
  <c r="BM51" i="2"/>
  <c r="BF64" i="2"/>
  <c r="I78" i="2"/>
  <c r="R92" i="2"/>
  <c r="G105" i="2"/>
  <c r="BF119" i="2"/>
  <c r="AV138" i="2"/>
  <c r="BL164" i="2"/>
  <c r="AR5" i="2"/>
  <c r="X14" i="2"/>
  <c r="L23" i="2"/>
  <c r="BB33" i="2"/>
  <c r="R45" i="2"/>
  <c r="Z56" i="2"/>
  <c r="AD70" i="2"/>
  <c r="AO86" i="2"/>
  <c r="K100" i="2"/>
  <c r="AI114" i="2"/>
  <c r="AN131" i="2"/>
  <c r="BH152" i="2"/>
  <c r="AM190" i="2"/>
  <c r="T10" i="2"/>
  <c r="AX16" i="2"/>
  <c r="Q24" i="2"/>
  <c r="AK32" i="2"/>
  <c r="U41" i="3"/>
  <c r="U41" i="2" s="1"/>
  <c r="U42" i="2"/>
  <c r="BA51" i="2"/>
  <c r="BD62" i="2"/>
  <c r="BK73" i="2"/>
  <c r="AI85" i="2"/>
  <c r="H95" i="2"/>
  <c r="AU105" i="2"/>
  <c r="AO116" i="2"/>
  <c r="BH132" i="2"/>
  <c r="BM154" i="2"/>
  <c r="AQ184" i="2"/>
  <c r="Z9" i="2"/>
  <c r="AE16" i="2"/>
  <c r="BG23" i="2"/>
  <c r="AL32" i="2"/>
  <c r="Z41" i="3"/>
  <c r="Z41" i="2" s="1"/>
  <c r="Z42" i="2"/>
  <c r="BB51" i="2"/>
  <c r="BE62" i="2"/>
  <c r="BL73" i="2"/>
  <c r="AJ85" i="2"/>
  <c r="I95" i="2"/>
  <c r="AZ105" i="2"/>
  <c r="AX116" i="2"/>
  <c r="AI133" i="2"/>
  <c r="G152" i="2"/>
  <c r="AF179" i="2"/>
  <c r="BE7" i="2"/>
  <c r="AP14" i="2"/>
  <c r="Q21" i="2"/>
  <c r="BI29" i="2"/>
  <c r="M38" i="2"/>
  <c r="X47" i="2"/>
  <c r="Q58" i="2"/>
  <c r="Y69" i="2"/>
  <c r="AF81" i="2"/>
  <c r="AF91" i="2"/>
  <c r="AZ101" i="2"/>
  <c r="AU112" i="2"/>
  <c r="AU128" i="2"/>
  <c r="N145" i="2"/>
  <c r="M167" i="2"/>
  <c r="V192" i="2"/>
  <c r="AQ10" i="2"/>
  <c r="H17" i="2"/>
  <c r="AR24" i="2"/>
  <c r="V33" i="2"/>
  <c r="AZ41" i="3"/>
  <c r="AZ41" i="2" s="1"/>
  <c r="AZ42" i="2"/>
  <c r="BH51" i="2"/>
  <c r="BG62" i="2"/>
  <c r="AQ72" i="2"/>
  <c r="AU84" i="2"/>
  <c r="O95" i="2"/>
  <c r="R106" i="2"/>
  <c r="AA119" i="2"/>
  <c r="AT135" i="2"/>
  <c r="S152" i="2"/>
  <c r="R173" i="2"/>
  <c r="AN22" i="2"/>
  <c r="Y29" i="2"/>
  <c r="BC35" i="2"/>
  <c r="AK43" i="2"/>
  <c r="AL50" i="2"/>
  <c r="U59" i="2"/>
  <c r="BM67" i="2"/>
  <c r="T76" i="2"/>
  <c r="BA85" i="2"/>
  <c r="AC94" i="2"/>
  <c r="AW102" i="2"/>
  <c r="AA111" i="2"/>
  <c r="AW121" i="2"/>
  <c r="K134" i="2"/>
  <c r="AB148" i="2"/>
  <c r="AK171" i="2"/>
  <c r="P23" i="2"/>
  <c r="AO30" i="2"/>
  <c r="AT37" i="2"/>
  <c r="AB45" i="2"/>
  <c r="AR53" i="2"/>
  <c r="S62" i="2"/>
  <c r="AM70" i="2"/>
  <c r="G79" i="3"/>
  <c r="G79" i="2" s="1"/>
  <c r="G80" i="2"/>
  <c r="AY88" i="2"/>
  <c r="AH97" i="2"/>
  <c r="BB105" i="2"/>
  <c r="Y114" i="2"/>
  <c r="M126" i="2"/>
  <c r="AY138" i="2"/>
  <c r="V155" i="3"/>
  <c r="V155" i="2" s="1"/>
  <c r="V156" i="2"/>
  <c r="AU177" i="2"/>
  <c r="AZ24" i="2"/>
  <c r="AK31" i="2"/>
  <c r="V38" i="2"/>
  <c r="AW45" i="2"/>
  <c r="AB54" i="2"/>
  <c r="AV62" i="2"/>
  <c r="AA71" i="2"/>
  <c r="AF79" i="3"/>
  <c r="AF79" i="2" s="1"/>
  <c r="AF80" i="2"/>
  <c r="O89" i="2"/>
  <c r="G97" i="2"/>
  <c r="BC105" i="2"/>
  <c r="Z114" i="2"/>
  <c r="BB125" i="2"/>
  <c r="BA138" i="2"/>
  <c r="W156" i="2"/>
  <c r="W155" i="3"/>
  <c r="W155" i="2" s="1"/>
  <c r="AG176" i="2"/>
  <c r="BA24" i="2"/>
  <c r="AL31" i="2"/>
  <c r="W38" i="2"/>
  <c r="AX45" i="2"/>
  <c r="AC54" i="2"/>
  <c r="Y62" i="2"/>
  <c r="AS70" i="2"/>
  <c r="BM78" i="2"/>
  <c r="AC88" i="2"/>
  <c r="AW96" i="2"/>
  <c r="AF105" i="2"/>
  <c r="BH113" i="2"/>
  <c r="U125" i="2"/>
  <c r="O138" i="2"/>
  <c r="BA154" i="2"/>
  <c r="AN176" i="2"/>
  <c r="AE52" i="2"/>
  <c r="BD59" i="2"/>
  <c r="P67" i="2"/>
  <c r="AO74" i="2"/>
  <c r="AQ82" i="2"/>
  <c r="H89" i="2"/>
  <c r="BF95" i="2"/>
  <c r="AQ102" i="2"/>
  <c r="H109" i="2"/>
  <c r="AK116" i="2"/>
  <c r="BI125" i="2"/>
  <c r="N136" i="2"/>
  <c r="AG150" i="2"/>
  <c r="BJ166" i="2"/>
  <c r="BD185" i="2"/>
  <c r="AK51" i="2"/>
  <c r="V58" i="2"/>
  <c r="AZ64" i="2"/>
  <c r="AK71" i="2"/>
  <c r="V78" i="2"/>
  <c r="AW85" i="2"/>
  <c r="AH92" i="2"/>
  <c r="S99" i="2"/>
  <c r="AW105" i="2"/>
  <c r="AH112" i="2"/>
  <c r="AF121" i="2"/>
  <c r="AP131" i="2"/>
  <c r="AP143" i="2"/>
  <c r="S158" i="2"/>
  <c r="L175" i="2"/>
  <c r="AL47" i="2"/>
  <c r="W54" i="2"/>
  <c r="BA60" i="2"/>
  <c r="AL67" i="2"/>
  <c r="W74" i="2"/>
  <c r="AX81" i="2"/>
  <c r="AI88" i="2"/>
  <c r="T95" i="2"/>
  <c r="AX101" i="2"/>
  <c r="AI108" i="2"/>
  <c r="BD115" i="2"/>
  <c r="I125" i="2"/>
  <c r="AW135" i="2"/>
  <c r="BF148" i="2"/>
  <c r="AJ163" i="2"/>
  <c r="AA180" i="2"/>
  <c r="I49" i="2"/>
  <c r="BG55" i="2"/>
  <c r="AR62" i="2"/>
  <c r="I69" i="2"/>
  <c r="BG75" i="2"/>
  <c r="BI83" i="2"/>
  <c r="U91" i="2"/>
  <c r="Z98" i="2"/>
  <c r="AE105" i="2"/>
  <c r="BD112" i="2"/>
  <c r="BF121" i="2"/>
  <c r="AR131" i="2"/>
  <c r="G142" i="2"/>
  <c r="AA158" i="2"/>
  <c r="BC173" i="2"/>
  <c r="BJ192" i="2"/>
  <c r="AV120" i="2"/>
  <c r="G128" i="2"/>
  <c r="O136" i="2"/>
  <c r="AZ144" i="2"/>
  <c r="J160" i="2"/>
  <c r="BC171" i="2"/>
  <c r="AT186" i="2"/>
  <c r="AM117" i="3"/>
  <c r="AM117" i="2" s="1"/>
  <c r="AM118" i="2"/>
  <c r="Q125" i="2"/>
  <c r="M133" i="2"/>
  <c r="AY141" i="2"/>
  <c r="S153" i="2"/>
  <c r="AA167" i="2"/>
  <c r="AO181" i="2"/>
  <c r="M115" i="2"/>
  <c r="BH122" i="2"/>
  <c r="AQ130" i="2"/>
  <c r="V139" i="2"/>
  <c r="AO149" i="2"/>
  <c r="BE161" i="2"/>
  <c r="AW174" i="2"/>
  <c r="X190" i="2"/>
  <c r="BD119" i="2"/>
  <c r="AZ127" i="2"/>
  <c r="BG135" i="2"/>
  <c r="Y145" i="2"/>
  <c r="AM157" i="2"/>
  <c r="R170" i="2"/>
  <c r="AU185" i="2"/>
  <c r="AH127" i="2"/>
  <c r="S134" i="2"/>
  <c r="BL140" i="2"/>
  <c r="AJ149" i="2"/>
  <c r="X160" i="2"/>
  <c r="AD171" i="2"/>
  <c r="R181" i="2"/>
  <c r="J124" i="2"/>
  <c r="BH130" i="2"/>
  <c r="AS137" i="2"/>
  <c r="U145" i="2"/>
  <c r="P154" i="2"/>
  <c r="S165" i="2"/>
  <c r="BF176" i="2"/>
  <c r="L188" i="2"/>
  <c r="Z137" i="2"/>
  <c r="V145" i="2"/>
  <c r="Q154" i="2"/>
  <c r="T165" i="2"/>
  <c r="BG176" i="2"/>
  <c r="M188" i="2"/>
  <c r="L128" i="2"/>
  <c r="BJ134" i="2"/>
  <c r="AW142" i="2"/>
  <c r="V151" i="2"/>
  <c r="AZ161" i="2"/>
  <c r="AB173" i="2"/>
  <c r="Q183" i="2"/>
  <c r="BB166" i="2"/>
  <c r="W176" i="2"/>
  <c r="AH185" i="2"/>
  <c r="T169" i="2"/>
  <c r="BD178" i="2"/>
  <c r="BF188" i="2"/>
  <c r="K182" i="2"/>
  <c r="AO142" i="2"/>
  <c r="G151" i="2"/>
  <c r="BL161" i="2"/>
  <c r="AB171" i="2"/>
  <c r="AK180" i="2"/>
  <c r="BD192" i="2"/>
  <c r="O145" i="2"/>
  <c r="BJ152" i="2"/>
  <c r="BH161" i="2"/>
  <c r="AZ169" i="2"/>
  <c r="R177" i="2"/>
  <c r="L185" i="2"/>
  <c r="AO144" i="2"/>
  <c r="AN152" i="2"/>
  <c r="AL161" i="2"/>
  <c r="AA169" i="2"/>
  <c r="BI176" i="2"/>
  <c r="BC184" i="2"/>
  <c r="AA139" i="2"/>
  <c r="L146" i="2"/>
  <c r="AS153" i="2"/>
  <c r="X163" i="2"/>
  <c r="AJ171" i="2"/>
  <c r="I180" i="2"/>
  <c r="BJ188" i="2"/>
  <c r="BJ150" i="2"/>
  <c r="AR158" i="2"/>
  <c r="I165" i="2"/>
  <c r="BG171" i="2"/>
  <c r="AR178" i="2"/>
  <c r="N185" i="2"/>
  <c r="BA148" i="2"/>
  <c r="AI155" i="3"/>
  <c r="AI155" i="2" s="1"/>
  <c r="AI156" i="2"/>
  <c r="T163" i="2"/>
  <c r="AX169" i="2"/>
  <c r="AI176" i="2"/>
  <c r="T183" i="2"/>
  <c r="AU190" i="2"/>
  <c r="I153" i="2"/>
  <c r="K161" i="2"/>
  <c r="AJ168" i="2"/>
  <c r="BI175" i="2"/>
  <c r="U183" i="2"/>
  <c r="AV190" i="2"/>
  <c r="Q188" i="2"/>
  <c r="R188" i="2"/>
  <c r="N190" i="2"/>
  <c r="J191" i="2"/>
  <c r="AT192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<sst xmlns="http://schemas.openxmlformats.org/spreadsheetml/2006/main" count="29" uniqueCount="28">
  <si>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</si>
  <si>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LEV ROZANOV at UNIVERSITY OF ST AND.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</si>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</sst>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BDH|11966951658864706321</stp>
        <tr r="F255" s="3"/>
      </tp>
      <tp t="s">
        <v>#N/A N/A</v>
        <stp/>
        <stp>BDH|18173623557349483853</stp>
        <tr r="F270" s="3"/>
      </tp>
      <tp t="s">
        <v>#N/A N/A</v>
        <stp/>
        <stp>BDH|11778820369350336508</stp>
        <tr r="F249" s="3"/>
      </tp>
      <tp t="s">
        <v>#N/A N/A</v>
        <stp/>
        <stp>BDH|11176752669598576272</stp>
        <tr r="F308" s="3"/>
      </tp>
      <tp t="s">
        <v>#N/A N/A</v>
        <stp/>
        <stp>BDH|17992695974108692515</stp>
        <tr r="F288" s="3"/>
      </tp>
      <tp t="s">
        <v>#N/A N/A</v>
        <stp/>
        <stp>BDH|13662436796264088186</stp>
        <tr r="F281" s="3"/>
      </tp>
      <tp t="s">
        <v>#N/A N/A</v>
        <stp/>
        <stp>BDH|16974965638157517080</stp>
        <tr r="F365" s="3"/>
      </tp>
      <tp t="s">
        <v>#N/A N/A</v>
        <stp/>
        <stp>BDH|14177125709665883830</stp>
        <tr r="F269" s="3"/>
      </tp>
      <tp t="s">
        <v>#N/A N/A</v>
        <stp/>
        <stp>BDH|10584946125836086559</stp>
        <tr r="F236" s="3"/>
      </tp>
      <tp t="s">
        <v>#N/A N/A</v>
        <stp/>
        <stp>BDH|11433986021624764605</stp>
        <tr r="F317" s="3"/>
      </tp>
      <tp t="s">
        <v>#N/A N/A</v>
        <stp/>
        <stp>BDH|11562536182903422650</stp>
        <tr r="F335" s="3"/>
      </tp>
      <tp t="s">
        <v>#N/A N/A</v>
        <stp/>
        <stp>BDH|10040335197192154103</stp>
        <tr r="F380" s="3"/>
      </tp>
      <tp t="s">
        <v>#N/A N/A</v>
        <stp/>
        <stp>BDH|11398779899033927530</stp>
        <tr r="C415" s="3"/>
        <tr r="C407" s="3"/>
      </tp>
      <tp t="s">
        <v>#N/A N/A</v>
        <stp/>
        <stp>BDH|14049910797914783985</stp>
        <tr r="F245" s="3"/>
      </tp>
      <tp t="s">
        <v>#N/A N/A</v>
        <stp/>
        <stp>BDH|11004195675206074822</stp>
        <tr r="F351" s="3"/>
      </tp>
      <tp t="s">
        <v>#N/A N/A</v>
        <stp/>
        <stp>BDH|13882699564889436433</stp>
        <tr r="F241" s="3"/>
      </tp>
      <tp t="s">
        <v>#N/A N/A</v>
        <stp/>
        <stp>BDH|14862371296797853735</stp>
        <tr r="F300" s="3"/>
      </tp>
      <tp t="s">
        <v>#N/A N/A</v>
        <stp/>
        <stp>BDH|15563862449010414758</stp>
        <tr r="F346" s="3"/>
      </tp>
      <tp t="s">
        <v>#N/A N/A</v>
        <stp/>
        <stp>BDH|18047491059055828387</stp>
        <tr r="F214" s="3"/>
      </tp>
      <tp t="s">
        <v>#N/A N/A</v>
        <stp/>
        <stp>BDH|13650717283683249368</stp>
        <tr r="F379" s="3"/>
      </tp>
      <tp t="s">
        <v>#N/A N/A</v>
        <stp/>
        <stp>BDH|17316801108947543451</stp>
        <tr r="F334" s="3"/>
      </tp>
      <tp t="s">
        <v>#N/A N/A</v>
        <stp/>
        <stp>BDH|14870871394720474947</stp>
        <tr r="F221" s="3"/>
      </tp>
      <tp t="s">
        <v>#N/A N/A</v>
        <stp/>
        <stp>BDH|16810416393627177196</stp>
        <tr r="F328" s="3"/>
      </tp>
      <tp t="s">
        <v>#N/A N/A</v>
        <stp/>
        <stp>BDH|15337019376086737963</stp>
        <tr r="F367" s="3"/>
      </tp>
      <tp t="s">
        <v>#N/A N/A</v>
        <stp/>
        <stp>BDH|11583657990757344453</stp>
        <tr r="F377" s="3"/>
      </tp>
      <tp t="s">
        <v>#N/A N/A</v>
        <stp/>
        <stp>BDH|17663274214450304906</stp>
        <tr r="F372" s="3"/>
      </tp>
      <tp t="s">
        <v>#N/A N/A</v>
        <stp/>
        <stp>BDH|13145299241450369812</stp>
        <tr r="F284" s="3"/>
      </tp>
      <tp t="s">
        <v>#N/A N/A</v>
        <stp/>
        <stp>BDH|16121677056111337983</stp>
        <tr r="F286" s="3"/>
      </tp>
      <tp t="s">
        <v>#N/A N/A</v>
        <stp/>
        <stp>BDH|13103603742479009590</stp>
        <tr r="F364" s="3"/>
      </tp>
      <tp t="s">
        <v>#N/A N/A</v>
        <stp/>
        <stp>BDH|15472668004590023172</stp>
        <tr r="F360" s="3"/>
      </tp>
      <tp t="s">
        <v>#N/A N/A</v>
        <stp/>
        <stp>BDH|14893296832285828237</stp>
        <tr r="F363" s="3"/>
      </tp>
      <tp t="s">
        <v>#N/A N/A</v>
        <stp/>
        <stp>BDH|12375143614437881708</stp>
        <tr r="F393" s="3"/>
      </tp>
      <tp t="s">
        <v>#N/A N/A</v>
        <stp/>
        <stp>BDH|16427190536837004146</stp>
        <tr r="F211" s="3"/>
      </tp>
      <tp t="s">
        <v>#N/A N/A</v>
        <stp/>
        <stp>BDH|16588113495674159909</stp>
        <tr r="F256" s="3"/>
      </tp>
      <tp t="s">
        <v>#N/A N/A</v>
        <stp/>
        <stp>BDH|17166288811380467714</stp>
        <tr r="F223" s="3"/>
      </tp>
      <tp t="s">
        <v>#N/A N/A</v>
        <stp/>
        <stp>BDH|13803194042777914276</stp>
        <tr r="F293" s="3"/>
      </tp>
      <tp t="s">
        <v>#N/A N/A</v>
        <stp/>
        <stp>BDH|14230682902707585625</stp>
        <tr r="F385" s="3"/>
      </tp>
      <tp t="s">
        <v>#N/A N/A</v>
        <stp/>
        <stp>BDH|10458756078184617712</stp>
        <tr r="F290" s="3"/>
      </tp>
      <tp t="s">
        <v>#N/A N/A</v>
        <stp/>
        <stp>BDH|15175217662890888244</stp>
        <tr r="F283" s="3"/>
      </tp>
      <tp t="s">
        <v>#N/A N/A</v>
        <stp/>
        <stp>BDH|16823229520594241286</stp>
        <tr r="F301" s="3"/>
      </tp>
      <tp t="s">
        <v>#N/A N/A</v>
        <stp/>
        <stp>BDH|17136123916846749168</stp>
        <tr r="F240" s="3"/>
      </tp>
      <tp t="s">
        <v>#N/A N/A</v>
        <stp/>
        <stp>BDH|10398248325666846627</stp>
        <tr r="F273" s="3"/>
      </tp>
      <tp t="s">
        <v>#N/A N/A</v>
        <stp/>
        <stp>BDH|17661596333939968952</stp>
        <tr r="F355" s="3"/>
      </tp>
      <tp t="s">
        <v>#N/A N/A</v>
        <stp/>
        <stp>BDH|13741768541274029535</stp>
        <tr r="F219" s="3"/>
      </tp>
      <tp t="s">
        <v>#N/A N/A</v>
        <stp/>
        <stp>BDH|18033035603668102134</stp>
        <tr r="F342" s="3"/>
      </tp>
      <tp t="s">
        <v>#N/A N/A</v>
        <stp/>
        <stp>BDH|13312344640926621379</stp>
        <tr r="F277" s="3"/>
      </tp>
      <tp t="s">
        <v>#N/A N/A</v>
        <stp/>
        <stp>BDH|15717521068577371021</stp>
        <tr r="F340" s="3"/>
      </tp>
      <tp t="s">
        <v>#N/A N/A</v>
        <stp/>
        <stp>BDH|15686338318430067615</stp>
        <tr r="F319" s="3"/>
      </tp>
      <tp t="s">
        <v>#N/A N/A</v>
        <stp/>
        <stp>BDH|14032743728675251526</stp>
        <tr r="F310" s="3"/>
      </tp>
      <tp t="s">
        <v>#N/A N/A</v>
        <stp/>
        <stp>BDH|17891313846592679446</stp>
        <tr r="F299" s="3"/>
      </tp>
      <tp t="s">
        <v>#N/A N/A</v>
        <stp/>
        <stp>BDH|13213751913820121252</stp>
        <tr r="F248" s="3"/>
      </tp>
      <tp t="s">
        <v>#N/A N/A</v>
        <stp/>
        <stp>BDH|15593383667722822518</stp>
        <tr r="F275" s="3"/>
      </tp>
      <tp t="s">
        <v>#N/A N/A</v>
        <stp/>
        <stp>BDH|10527076257494603654</stp>
        <tr r="F331" s="3"/>
      </tp>
      <tp t="s">
        <v>#N/A N/A</v>
        <stp/>
        <stp>BDH|14131258597849231190</stp>
        <tr r="F352" s="3"/>
      </tp>
      <tp t="s">
        <v>#N/A N/A</v>
        <stp/>
        <stp>BDH|10241198903855119311</stp>
        <tr r="F327" s="3"/>
      </tp>
      <tp t="s">
        <v>#N/A N/A</v>
        <stp/>
        <stp>BDH|17460159980008902123</stp>
        <tr r="F383" s="3"/>
      </tp>
      <tp t="s">
        <v>#N/A N/A</v>
        <stp/>
        <stp>BDH|10223194274862092335</stp>
        <tr r="F371" s="3"/>
      </tp>
      <tp t="s">
        <v>#N/A N/A</v>
        <stp/>
        <stp>BDH|17616075966341601407</stp>
        <tr r="F239" s="3"/>
      </tp>
      <tp t="s">
        <v>#N/A N/A</v>
        <stp/>
        <stp>BDH|12560578997203070967</stp>
        <tr r="F251" s="3"/>
      </tp>
      <tp t="s">
        <v>#N/A N/A</v>
        <stp/>
        <stp>BDH|15391203057225412325</stp>
        <tr r="F212" s="3"/>
      </tp>
      <tp t="s">
        <v>#N/A N/A</v>
        <stp/>
        <stp>BDH|16662987632031829931</stp>
        <tr r="F362" s="3"/>
      </tp>
      <tp t="s">
        <v>#N/A N/A</v>
        <stp/>
        <stp>BDH|10908540624640239316</stp>
        <tr r="F315" s="3"/>
      </tp>
      <tp t="s">
        <v>#N/A N/A</v>
        <stp/>
        <stp>BDH|18214893534725297220</stp>
        <tr r="F235" s="3"/>
      </tp>
      <tp t="s">
        <v>#N/A N/A</v>
        <stp/>
        <stp>BDH|16881076178012241648</stp>
        <tr r="F356" s="3"/>
      </tp>
      <tp t="s">
        <v>#N/A N/A</v>
        <stp/>
        <stp>BDH|18227835041895967493</stp>
        <tr r="F305" s="3"/>
      </tp>
      <tp t="s">
        <v>#N/A N/A</v>
        <stp/>
        <stp>BDH|13139759985210288938</stp>
        <tr r="F224" s="3"/>
      </tp>
      <tp t="s">
        <v>#N/A N/A</v>
        <stp/>
        <stp>BDH|11815608918920235327</stp>
        <tr r="F386" s="3"/>
      </tp>
      <tp t="s">
        <v>#N/A N/A</v>
        <stp/>
        <stp>BDH|13978958098160951681</stp>
        <tr r="F354" s="3"/>
      </tp>
      <tp t="s">
        <v>#N/A N/A</v>
        <stp/>
        <stp>BDH|16047493563650713134</stp>
        <tr r="F294" s="3"/>
      </tp>
    </main>
    <main first="bloomberg.ccyreader">
      <tp>
        <v>0</v>
        <stp/>
        <stp>#track</stp>
        <stp>DBG</stp>
        <stp>BIHITX</stp>
        <stp>1.0</stp>
        <stp>RepeatHit</stp>
        <tr r="A202" s="3"/>
      </tp>
    </main>
    <main first="bofaddin.rtdserver">
      <tp t="s">
        <v>#N/A N/A</v>
        <stp/>
        <stp>BDH|5444847459885063104</stp>
        <tr r="F368" s="3"/>
      </tp>
      <tp t="s">
        <v>#N/A N/A</v>
        <stp/>
        <stp>BDH|1053371941162021882</stp>
        <tr r="F326" s="3"/>
      </tp>
      <tp t="s">
        <v>#N/A N/A</v>
        <stp/>
        <stp>BDH|9931447721681268209</stp>
        <tr r="F292" s="3"/>
      </tp>
      <tp t="s">
        <v>#N/A N/A</v>
        <stp/>
        <stp>BDH|3995804661666120777</stp>
        <tr r="F313" s="3"/>
      </tp>
      <tp t="s">
        <v>#N/A N/A</v>
        <stp/>
        <stp>BDH|2708887162708463850</stp>
        <tr r="F282" s="3"/>
      </tp>
      <tp t="s">
        <v>#N/A N/A</v>
        <stp/>
        <stp>BDH|5391234591427260509</stp>
        <tr r="F373" s="3"/>
      </tp>
      <tp t="s">
        <v>#N/A N/A</v>
        <stp/>
        <stp>BDH|1462429199058937877</stp>
        <tr r="F231" s="3"/>
      </tp>
      <tp t="s">
        <v>#N/A N/A</v>
        <stp/>
        <stp>BDH|8675951787486557357</stp>
        <tr r="F369" s="3"/>
      </tp>
      <tp t="s">
        <v>#N/A N/A</v>
        <stp/>
        <stp>BDH|7615469289082033438</stp>
        <tr r="F320" s="3"/>
      </tp>
      <tp t="s">
        <v>#N/A N/A</v>
        <stp/>
        <stp>BDH|3811836078691001088</stp>
        <tr r="F232" s="3"/>
      </tp>
      <tp t="s">
        <v>#N/A N/A</v>
        <stp/>
        <stp>BDH|6076583522904621833</stp>
        <tr r="F210" s="3"/>
      </tp>
      <tp t="s">
        <v>#N/A N/A</v>
        <stp/>
        <stp>BDH|3364873014341811649</stp>
        <tr r="C417" s="3"/>
        <tr r="C409" s="3"/>
      </tp>
      <tp t="s">
        <v>#N/A N/A</v>
        <stp/>
        <stp>BDH|6667179822119950172</stp>
        <tr r="F258" s="3"/>
      </tp>
      <tp t="s">
        <v>#N/A N/A</v>
        <stp/>
        <stp>BDH|1411145449110326994</stp>
        <tr r="F225" s="3"/>
      </tp>
      <tp t="s">
        <v>#N/A N/A</v>
        <stp/>
        <stp>BDH|5556532841839594024</stp>
        <tr r="F268" s="3"/>
      </tp>
      <tp t="s">
        <v>#N/A N/A</v>
        <stp/>
        <stp>BDH|5436286609469023318</stp>
        <tr r="F391" s="3"/>
      </tp>
      <tp t="s">
        <v>#N/A N/A</v>
        <stp/>
        <stp>BDH|1026512064319244620</stp>
        <tr r="F226" s="3"/>
      </tp>
      <tp t="s">
        <v>#N/A N/A</v>
        <stp/>
        <stp>BDH|2673214330847783959</stp>
        <tr r="F384" s="3"/>
      </tp>
      <tp t="s">
        <v>#N/A N/A</v>
        <stp/>
        <stp>BDH|1172296950150072800</stp>
        <tr r="F271" s="3"/>
      </tp>
      <tp t="s">
        <v>#N/A N/A</v>
        <stp/>
        <stp>BDH|1136486301879428222</stp>
        <tr r="F252" s="3"/>
      </tp>
      <tp t="s">
        <v>#N/A N/A</v>
        <stp/>
        <stp>BDH|8425513248416220131</stp>
        <tr r="F312" s="3"/>
      </tp>
      <tp t="s">
        <v>#N/A N/A</v>
        <stp/>
        <stp>BDH|8997644255717446201</stp>
        <tr r="F316" s="3"/>
      </tp>
      <tp t="s">
        <v>#N/A N/A</v>
        <stp/>
        <stp>BDH|5938983390252069907</stp>
        <tr r="F237" s="3"/>
      </tp>
      <tp t="s">
        <v>#N/A N/A</v>
        <stp/>
        <stp>BDH|7200802257325891195</stp>
        <tr r="F392" s="3"/>
      </tp>
      <tp t="s">
        <v>#N/A N/A</v>
        <stp/>
        <stp>BDH|4695700534168267787</stp>
        <tr r="F266" s="3"/>
      </tp>
      <tp t="s">
        <v>#N/A N/A</v>
        <stp/>
        <stp>BDH|6594164894981776058</stp>
        <tr r="F348" s="3"/>
      </tp>
      <tp t="s">
        <v>#N/A N/A</v>
        <stp/>
        <stp>BDH|6101294984584157067</stp>
        <tr r="F378" s="3"/>
      </tp>
      <tp t="s">
        <v>#N/A N/A</v>
        <stp/>
        <stp>BDH|3299873419364765608</stp>
        <tr r="F262" s="3"/>
      </tp>
      <tp t="s">
        <v>#N/A N/A</v>
        <stp/>
        <stp>BDH|1602574594725131082</stp>
        <tr r="F381" s="3"/>
      </tp>
      <tp t="s">
        <v>#N/A N/A</v>
        <stp/>
        <stp>BDH|2273562537245119901</stp>
        <tr r="F244" s="3"/>
      </tp>
      <tp t="s">
        <v>#N/A N/A</v>
        <stp/>
        <stp>BDH|6378917293659650764</stp>
        <tr r="F215" s="3"/>
      </tp>
      <tp t="s">
        <v>#N/A N/A</v>
        <stp/>
        <stp>BDH|2628814535679691828</stp>
        <tr r="F254" s="3"/>
      </tp>
      <tp t="s">
        <v>#N/A N/A</v>
        <stp/>
        <stp>BDH|3484041546647668876</stp>
        <tr r="F233" s="3"/>
      </tp>
      <tp t="s">
        <v>#N/A N/A</v>
        <stp/>
        <stp>BDH|1028881203591296157</stp>
        <tr r="F303" s="3"/>
      </tp>
      <tp t="s">
        <v>#N/A N/A</v>
        <stp/>
        <stp>BDH|4829287133868122406</stp>
        <tr r="F264" s="3"/>
      </tp>
      <tp t="s">
        <v>#N/A N/A</v>
        <stp/>
        <stp>BDH|8761168161204254206</stp>
        <tr r="F349" s="3"/>
      </tp>
      <tp t="s">
        <v>#N/A N/A</v>
        <stp/>
        <stp>BDH|6816783154405846893</stp>
        <tr r="C419" s="3"/>
        <tr r="C411" s="3"/>
      </tp>
      <tp t="s">
        <v>#N/A N/A</v>
        <stp/>
        <stp>BDH|2281735786595915270</stp>
        <tr r="F287" s="3"/>
      </tp>
      <tp t="s">
        <v>#N/A N/A</v>
        <stp/>
        <stp>BDH|8964148444442467511</stp>
        <tr r="F336" s="3"/>
      </tp>
      <tp t="s">
        <v>#N/A N/A</v>
        <stp/>
        <stp>BDH|8767053070835921067</stp>
        <tr r="F311" s="3"/>
      </tp>
      <tp t="s">
        <v>#N/A N/A</v>
        <stp/>
        <stp>BDH|6384280217279343622</stp>
        <tr r="F276" s="3"/>
      </tp>
      <tp t="s">
        <v>#N/A N/A</v>
        <stp/>
        <stp>BDH|8418793564936328599</stp>
        <tr r="F329" s="3"/>
      </tp>
      <tp t="s">
        <v>#N/A N/A</v>
        <stp/>
        <stp>BDH|2969134864549912644</stp>
        <tr r="F280" s="3"/>
      </tp>
      <tp t="s">
        <v>#N/A N/A</v>
        <stp/>
        <stp>BDH|5384605645314125974</stp>
        <tr r="F267" s="3"/>
      </tp>
      <tp t="s">
        <v>#N/A N/A</v>
        <stp/>
        <stp>BDH|6945136545961773886</stp>
        <tr r="F357" s="3"/>
      </tp>
      <tp t="s">
        <v>#N/A N/A</v>
        <stp/>
        <stp>BDH|3317754289302876439</stp>
        <tr r="F389" s="3"/>
      </tp>
      <tp t="s">
        <v>#N/A N/A</v>
        <stp/>
        <stp>BDH|5587493934751568982</stp>
        <tr r="F261" s="3"/>
      </tp>
      <tp t="s">
        <v>#N/A N/A</v>
        <stp/>
        <stp>BDH|2946111140605471948</stp>
        <tr r="F394" s="3"/>
      </tp>
      <tp t="s">
        <v>#N/A N/A</v>
        <stp/>
        <stp>BDH|2675801306388853950</stp>
        <tr r="F250" s="3"/>
      </tp>
      <tp t="s">
        <v>#N/A N/A</v>
        <stp/>
        <stp>BDH|6725684575214035870</stp>
        <tr r="F344" s="3"/>
      </tp>
      <tp t="s">
        <v>#N/A N/A</v>
        <stp/>
        <stp>BDH|7652917746100531115</stp>
        <tr r="F247" s="3"/>
      </tp>
      <tp t="s">
        <v>#N/A N/A</v>
        <stp/>
        <stp>BDH|8081771977825855922</stp>
        <tr r="F272" s="3"/>
      </tp>
      <tp t="s">
        <v>#N/A N/A</v>
        <stp/>
        <stp>BDH|6648839160084144873</stp>
        <tr r="F382" s="3"/>
      </tp>
      <tp t="s">
        <v>#N/A N/A</v>
        <stp/>
        <stp>BDH|3505524404082176027</stp>
        <tr r="F265" s="3"/>
      </tp>
      <tp t="s">
        <v>#N/A N/A</v>
        <stp/>
        <stp>BDH|6361806587805212761</stp>
        <tr r="F306" s="3"/>
      </tp>
      <tp t="s">
        <v>#N/A N/A</v>
        <stp/>
        <stp>BDH|1205137011694644126</stp>
        <tr r="F297" s="3"/>
      </tp>
      <tp t="s">
        <v>#N/A N/A</v>
        <stp/>
        <stp>BDH|6120230168241776791</stp>
        <tr r="F227" s="3"/>
      </tp>
      <tp t="s">
        <v>#N/A N/A</v>
        <stp/>
        <stp>BDH|5628882225613044903</stp>
        <tr r="F304" s="3"/>
      </tp>
      <tp t="s">
        <v>#N/A N/A</v>
        <stp/>
        <stp>BDH|5888556102116236308</stp>
        <tr r="F322" s="3"/>
      </tp>
      <tp t="s">
        <v>#N/A N/A</v>
        <stp/>
        <stp>BDH|9710480288635137548</stp>
        <tr r="F361" s="3"/>
      </tp>
      <tp t="s">
        <v>#N/A N/A</v>
        <stp/>
        <stp>BDH|3936299942475877591</stp>
        <tr r="F347" s="3"/>
      </tp>
      <tp t="s">
        <v>#N/A N/A</v>
        <stp/>
        <stp>BDH|7091898122208558081</stp>
        <tr r="F217" s="3"/>
      </tp>
      <tp t="s">
        <v>#N/A N/A</v>
        <stp/>
        <stp>BDH|2577534914753032078</stp>
        <tr r="F218" s="3"/>
      </tp>
      <tp t="s">
        <v>#N/A N/A</v>
        <stp/>
        <stp>BDH|9336498621580908987</stp>
        <tr r="F341" s="3"/>
      </tp>
      <tp t="s">
        <v>#N/A N/A</v>
        <stp/>
        <stp>BDH|9378527328160538859</stp>
        <tr r="F298" s="3"/>
      </tp>
      <tp t="s">
        <v>#N/A N/A</v>
        <stp/>
        <stp>BDH|3870255677114150443</stp>
        <tr r="F359" s="3"/>
      </tp>
      <tp t="s">
        <v>#N/A N/A</v>
        <stp/>
        <stp>BDH|3799296631584404073</stp>
        <tr r="F228" s="3"/>
      </tp>
      <tp t="s">
        <v>#N/A N/A</v>
        <stp/>
        <stp>BDH|2025193137930274611</stp>
        <tr r="F222" s="3"/>
      </tp>
      <tp t="s">
        <v>#N/A N/A</v>
        <stp/>
        <stp>BDH|1772142163056214608</stp>
        <tr r="F309" s="3"/>
      </tp>
      <tp t="s">
        <v>#N/A N/A</v>
        <stp/>
        <stp>BDH|2125554933941881385</stp>
        <tr r="F274" s="3"/>
      </tp>
      <tp t="s">
        <v>#N/A N/A</v>
        <stp/>
        <stp>BDH|9348999241613565198</stp>
        <tr r="F257" s="3"/>
      </tp>
      <tp t="s">
        <v>#N/A N/A</v>
        <stp/>
        <stp>BDH|8336206450238728112</stp>
        <tr r="F353" s="3"/>
      </tp>
      <tp t="s">
        <v>#N/A N/A</v>
        <stp/>
        <stp>BDH|4808683469707521465</stp>
        <tr r="F263" s="3"/>
      </tp>
      <tp t="s">
        <v>#N/A N/A</v>
        <stp/>
        <stp>BDH|6082030127047886440</stp>
        <tr r="F220" s="3"/>
      </tp>
      <tp t="s">
        <v>#N/A N/A</v>
        <stp/>
        <stp>BDH|4734448937086972242</stp>
        <tr r="F350" s="3"/>
      </tp>
      <tp t="s">
        <v>#N/A N/A</v>
        <stp/>
        <stp>BDH|3433454911356676790</stp>
        <tr r="F229" s="3"/>
      </tp>
      <tp t="s">
        <v>#N/A N/A</v>
        <stp/>
        <stp>BDH|5151356577870655690</stp>
        <tr r="F216" s="3"/>
      </tp>
      <tp t="s">
        <v>#N/A N/A</v>
        <stp/>
        <stp>BDH|9377979129524969197</stp>
        <tr r="F376" s="3"/>
      </tp>
      <tp t="s">
        <v>#N/A N/A</v>
        <stp/>
        <stp>BDH|4977344610353714281</stp>
        <tr r="F285" s="3"/>
      </tp>
      <tp t="s">
        <v>#N/A N/A</v>
        <stp/>
        <stp>BDH|7214391139885848275</stp>
        <tr r="F259" s="3"/>
      </tp>
      <tp t="s">
        <v>#N/A N/A</v>
        <stp/>
        <stp>BDH|3310271707803661267</stp>
        <tr r="F279" s="3"/>
      </tp>
      <tp t="s">
        <v>#N/A N/A</v>
        <stp/>
        <stp>BDH|8661775767579416033</stp>
        <tr r="F321" s="3"/>
      </tp>
      <tp t="s">
        <v>#N/A N/A</v>
        <stp/>
        <stp>BDH|6156068783317942990</stp>
        <tr r="F390" s="3"/>
      </tp>
      <tp t="s">
        <v>#N/A N/A</v>
        <stp/>
        <stp>BDH|53997233495347282</stp>
        <tr r="F238" s="3"/>
      </tp>
      <tp t="s">
        <v>#N/A N/A</v>
        <stp/>
        <stp>BDH|5906219444516551429</stp>
        <tr r="F323" s="3"/>
      </tp>
      <tp t="s">
        <v>#N/A N/A</v>
        <stp/>
        <stp>BDH|6621229939034126219</stp>
        <tr r="F345" s="3"/>
      </tp>
      <tp t="s">
        <v>#N/A N/A</v>
        <stp/>
        <stp>BDH|7355399721317099068</stp>
        <tr r="F295" s="3"/>
      </tp>
      <tp t="s">
        <v>#N/A N/A</v>
        <stp/>
        <stp>BDH|8238991748391354515</stp>
        <tr r="F387" s="3"/>
      </tp>
      <tp t="s">
        <v>#N/A N/A</v>
        <stp/>
        <stp>BDH|4336279624891277436</stp>
        <tr r="F370" s="3"/>
      </tp>
      <tp t="s">
        <v>#N/A N/A</v>
        <stp/>
        <stp>BDH|9952495529089912748</stp>
        <tr r="F388" s="3"/>
      </tp>
      <tp t="s">
        <v>#N/A N/A</v>
        <stp/>
        <stp>BDH|1249162894660324862</stp>
        <tr r="F242" s="3"/>
      </tp>
      <tp t="s">
        <v>#N/A N/A</v>
        <stp/>
        <stp>BDH|4451896100579610719</stp>
        <tr r="F246" s="3"/>
      </tp>
      <tp t="s">
        <v>#N/A N/A</v>
        <stp/>
        <stp>BDH|2715571360314237791</stp>
        <tr r="F307" s="3"/>
      </tp>
      <tp t="s">
        <v>#N/A N/A</v>
        <stp/>
        <stp>BDH|9862563883167743123</stp>
        <tr r="F324" s="3"/>
      </tp>
      <tp t="s">
        <v>#N/A N/A</v>
        <stp/>
        <stp>BDH|4149056824581821508</stp>
        <tr r="F234" s="3"/>
      </tp>
      <tp t="s">
        <v>#N/A N/A</v>
        <stp/>
        <stp>BDH|9579383035852053968</stp>
        <tr r="F338" s="3"/>
      </tp>
      <tp t="s">
        <v>#N/A N/A</v>
        <stp/>
        <stp>BDH|2802281944025326394</stp>
        <tr r="F343" s="3"/>
      </tp>
      <tp t="s">
        <v>#N/A N/A</v>
        <stp/>
        <stp>BDH|8709134643788494723</stp>
        <tr r="F289" s="3"/>
      </tp>
      <tp t="s">
        <v>#N/A N/A</v>
        <stp/>
        <stp>BDH|4688048872566138756</stp>
        <tr r="F291" s="3"/>
      </tp>
      <tp t="s">
        <v>#N/A N/A</v>
        <stp/>
        <stp>BDH|1958335000107756798</stp>
        <tr r="F296" s="3"/>
      </tp>
      <tp t="s">
        <v>#N/A N/A</v>
        <stp/>
        <stp>BDH|1622050638994897594</stp>
        <tr r="F330" s="3"/>
      </tp>
      <tp t="s">
        <v>#N/A N/A</v>
        <stp/>
        <stp>BDH|2930873034658941281</stp>
        <tr r="F325" s="3"/>
      </tp>
      <tp t="s">
        <v>#N/A N/A</v>
        <stp/>
        <stp>BDH|4802099092497306994</stp>
        <tr r="F318" s="3"/>
      </tp>
      <tp t="s">
        <v>#N/A N/A</v>
        <stp/>
        <stp>BDH|7975102965735020633</stp>
        <tr r="F332" s="3"/>
      </tp>
      <tp t="s">
        <v>#N/A N/A</v>
        <stp/>
        <stp>BDH|5063810581991740779</stp>
        <tr r="F302" s="3"/>
      </tp>
      <tp t="s">
        <v>#N/A N/A</v>
        <stp/>
        <stp>BDH|1858306243736999331</stp>
        <tr r="F260" s="3"/>
      </tp>
      <tp t="s">
        <v>#N/A N/A</v>
        <stp/>
        <stp>BDH|7757658024850421061</stp>
        <tr r="F253" s="3"/>
      </tp>
      <tp t="s">
        <v>#N/A N/A</v>
        <stp/>
        <stp>BDH|6195193613533804662</stp>
        <tr r="F230" s="3"/>
      </tp>
      <tp t="s">
        <v>#N/A N/A</v>
        <stp/>
        <stp>BDH|220113393174870814</stp>
        <tr r="F366" s="3"/>
      </tp>
      <tp t="s">
        <v>#N/A N/A</v>
        <stp/>
        <stp>BDH|190547907092654328</stp>
        <tr r="F337" s="3"/>
      </tp>
      <tp t="s">
        <v>#N/A N/A</v>
        <stp/>
        <stp>BDH|412179151952889139</stp>
        <tr r="F278" s="3"/>
      </tp>
      <tp t="s">
        <v>#N/A N/A</v>
        <stp/>
        <stp>BDH|293659443704767661</stp>
        <tr r="F375" s="3"/>
      </tp>
      <tp t="s">
        <v>#N/A N/A</v>
        <stp/>
        <stp>BDH|971559550950245305</stp>
        <tr r="F358" s="3"/>
      </tp>
      <tp t="s">
        <v>#N/A N/A</v>
        <stp/>
        <stp>BDH|262510722615407065</stp>
        <tr r="F314" s="3"/>
      </tp>
      <tp t="s">
        <v>#N/A N/A</v>
        <stp/>
        <stp>BDH|131127294507067331</stp>
        <tr r="F243" s="3"/>
      </tp>
      <tp t="s">
        <v>#N/A N/A</v>
        <stp/>
        <stp>BDH|200931465773160588</stp>
        <tr r="F213" s="3"/>
      </tp>
      <tp t="s">
        <v>#N/A N/A</v>
        <stp/>
        <stp>BDH|750346694947595650</stp>
        <tr r="F333" s="3"/>
      </tp>
      <tp t="s">
        <v>#N/A N/A</v>
        <stp/>
        <stp>BDH|499042080477544582</stp>
        <tr r="F339" s="3"/>
      </tp>
      <tp t="s">
        <v>#N/A N/A</v>
        <stp/>
        <stp>BDH|172723922916771943</stp>
        <tr r="F37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2"/>
  <sheetViews>
    <sheetView tabSelected="1" workbookViewId="0"/>
  </sheetViews>
  <sheetFormatPr defaultRowHeight="15" x14ac:dyDescent="0.25"/>
  <cols>
    <col min="1" max="1" width="56.28515625" customWidth="1"/>
    <col min="2" max="2" width="15.85546875" customWidth="1"/>
    <col min="3" max="65" width="9.140625" bestFit="1" customWidth="1"/>
  </cols>
  <sheetData>
    <row r="1" spans="1:6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2024 Q4</v>
      </c>
      <c r="G2" t="str">
        <f>IFERROR(IF(0=LEN(ReferenceData!$G$2),"",ReferenceData!$G$2),"")</f>
        <v>2024 Q3</v>
      </c>
      <c r="H2" t="str">
        <f>IFERROR(IF(0=LEN(ReferenceData!$H$2),"",ReferenceData!$H$2),"")</f>
        <v>2024 Q2</v>
      </c>
      <c r="I2" t="str">
        <f>IFERROR(IF(0=LEN(ReferenceData!$I$2),"",ReferenceData!$I$2),"")</f>
        <v>2024 Q1</v>
      </c>
      <c r="J2" t="str">
        <f>IFERROR(IF(0=LEN(ReferenceData!$J$2),"",ReferenceData!$J$2),"")</f>
        <v>2023 Q4</v>
      </c>
      <c r="K2" t="str">
        <f>IFERROR(IF(0=LEN(ReferenceData!$K$2),"",ReferenceData!$K$2),"")</f>
        <v>2023 Q3</v>
      </c>
      <c r="L2" t="str">
        <f>IFERROR(IF(0=LEN(ReferenceData!$L$2),"",ReferenceData!$L$2),"")</f>
        <v>2023 Q2</v>
      </c>
      <c r="M2" t="str">
        <f>IFERROR(IF(0=LEN(ReferenceData!$M$2),"",ReferenceData!$M$2),"")</f>
        <v>2023 Q1</v>
      </c>
      <c r="N2" t="str">
        <f>IFERROR(IF(0=LEN(ReferenceData!$N$2),"",ReferenceData!$N$2),"")</f>
        <v>2022 Q4</v>
      </c>
      <c r="O2" t="str">
        <f>IFERROR(IF(0=LEN(ReferenceData!$O$2),"",ReferenceData!$O$2),"")</f>
        <v>2022 Q3</v>
      </c>
      <c r="P2" t="str">
        <f>IFERROR(IF(0=LEN(ReferenceData!$P$2),"",ReferenceData!$P$2),"")</f>
        <v>2022 Q2</v>
      </c>
      <c r="Q2" t="str">
        <f>IFERROR(IF(0=LEN(ReferenceData!$Q$2),"",ReferenceData!$Q$2),"")</f>
        <v>2022 Q1</v>
      </c>
      <c r="R2" t="str">
        <f>IFERROR(IF(0=LEN(ReferenceData!$R$2),"",ReferenceData!$R$2),"")</f>
        <v>2021 Q4</v>
      </c>
      <c r="S2" t="str">
        <f>IFERROR(IF(0=LEN(ReferenceData!$S$2),"",ReferenceData!$S$2),"")</f>
        <v>2021 Q3</v>
      </c>
      <c r="T2" t="str">
        <f>IFERROR(IF(0=LEN(ReferenceData!$T$2),"",ReferenceData!$T$2),"")</f>
        <v>2021 Q2</v>
      </c>
      <c r="U2" t="str">
        <f>IFERROR(IF(0=LEN(ReferenceData!$U$2),"",ReferenceData!$U$2),"")</f>
        <v>2021 Q1</v>
      </c>
      <c r="V2" t="str">
        <f>IFERROR(IF(0=LEN(ReferenceData!$V$2),"",ReferenceData!$V$2),"")</f>
        <v>2020 Q4</v>
      </c>
      <c r="W2" t="str">
        <f>IFERROR(IF(0=LEN(ReferenceData!$W$2),"",ReferenceData!$W$2),"")</f>
        <v>2020 Q3</v>
      </c>
      <c r="X2" t="str">
        <f>IFERROR(IF(0=LEN(ReferenceData!$X$2),"",ReferenceData!$X$2),"")</f>
        <v>2020 Q2</v>
      </c>
      <c r="Y2" t="str">
        <f>IFERROR(IF(0=LEN(ReferenceData!$Y$2),"",ReferenceData!$Y$2),"")</f>
        <v>2020 Q1</v>
      </c>
      <c r="Z2" t="str">
        <f>IFERROR(IF(0=LEN(ReferenceData!$Z$2),"",ReferenceData!$Z$2),"")</f>
        <v>2019 Q4</v>
      </c>
      <c r="AA2" t="str">
        <f>IFERROR(IF(0=LEN(ReferenceData!$AA$2),"",ReferenceData!$AA$2),"")</f>
        <v>2019 Q3</v>
      </c>
      <c r="AB2" t="str">
        <f>IFERROR(IF(0=LEN(ReferenceData!$AB$2),"",ReferenceData!$AB$2),"")</f>
        <v>2019 Q2</v>
      </c>
      <c r="AC2" t="str">
        <f>IFERROR(IF(0=LEN(ReferenceData!$AC$2),"",ReferenceData!$AC$2),"")</f>
        <v>2019 Q1</v>
      </c>
      <c r="AD2" t="str">
        <f>IFERROR(IF(0=LEN(ReferenceData!$AD$2),"",ReferenceData!$AD$2),"")</f>
        <v>2018 Q4</v>
      </c>
      <c r="AE2" t="str">
        <f>IFERROR(IF(0=LEN(ReferenceData!$AE$2),"",ReferenceData!$AE$2),"")</f>
        <v>2018 Q3</v>
      </c>
      <c r="AF2" t="str">
        <f>IFERROR(IF(0=LEN(ReferenceData!$AF$2),"",ReferenceData!$AF$2),"")</f>
        <v>2018 Q2</v>
      </c>
      <c r="AG2" t="str">
        <f>IFERROR(IF(0=LEN(ReferenceData!$AG$2),"",ReferenceData!$AG$2),"")</f>
        <v>2018 Q1</v>
      </c>
      <c r="AH2" t="str">
        <f>IFERROR(IF(0=LEN(ReferenceData!$AH$2),"",ReferenceData!$AH$2),"")</f>
        <v>2017 Q4</v>
      </c>
      <c r="AI2" t="str">
        <f>IFERROR(IF(0=LEN(ReferenceData!$AI$2),"",ReferenceData!$AI$2),"")</f>
        <v>2017 Q3</v>
      </c>
      <c r="AJ2" t="str">
        <f>IFERROR(IF(0=LEN(ReferenceData!$AJ$2),"",ReferenceData!$AJ$2),"")</f>
        <v>2017 Q2</v>
      </c>
      <c r="AK2" t="str">
        <f>IFERROR(IF(0=LEN(ReferenceData!$AK$2),"",ReferenceData!$AK$2),"")</f>
        <v>2017 Q1</v>
      </c>
      <c r="AL2" t="str">
        <f>IFERROR(IF(0=LEN(ReferenceData!$AL$2),"",ReferenceData!$AL$2),"")</f>
        <v>2016 Q4</v>
      </c>
      <c r="AM2" t="str">
        <f>IFERROR(IF(0=LEN(ReferenceData!$AM$2),"",ReferenceData!$AM$2),"")</f>
        <v>2016 Q3</v>
      </c>
      <c r="AN2" t="str">
        <f>IFERROR(IF(0=LEN(ReferenceData!$AN$2),"",ReferenceData!$AN$2),"")</f>
        <v>2016 Q2</v>
      </c>
      <c r="AO2" t="str">
        <f>IFERROR(IF(0=LEN(ReferenceData!$AO$2),"",ReferenceData!$AO$2),"")</f>
        <v>2016 Q1</v>
      </c>
      <c r="AP2" t="str">
        <f>IFERROR(IF(0=LEN(ReferenceData!$AP$2),"",ReferenceData!$AP$2),"")</f>
        <v>2015 Q4</v>
      </c>
      <c r="AQ2" t="str">
        <f>IFERROR(IF(0=LEN(ReferenceData!$AQ$2),"",ReferenceData!$AQ$2),"")</f>
        <v>2015 Q3</v>
      </c>
      <c r="AR2" t="str">
        <f>IFERROR(IF(0=LEN(ReferenceData!$AR$2),"",ReferenceData!$AR$2),"")</f>
        <v>2015 Q2</v>
      </c>
      <c r="AS2" t="str">
        <f>IFERROR(IF(0=LEN(ReferenceData!$AS$2),"",ReferenceData!$AS$2),"")</f>
        <v>2015 Q1</v>
      </c>
      <c r="AT2" t="str">
        <f>IFERROR(IF(0=LEN(ReferenceData!$AT$2),"",ReferenceData!$AT$2),"")</f>
        <v>2014 Q4</v>
      </c>
      <c r="AU2" t="str">
        <f>IFERROR(IF(0=LEN(ReferenceData!$AU$2),"",ReferenceData!$AU$2),"")</f>
        <v>2014 Q3</v>
      </c>
      <c r="AV2" t="str">
        <f>IFERROR(IF(0=LEN(ReferenceData!$AV$2),"",ReferenceData!$AV$2),"")</f>
        <v>2014 Q2</v>
      </c>
      <c r="AW2" t="str">
        <f>IFERROR(IF(0=LEN(ReferenceData!$AW$2),"",ReferenceData!$AW$2),"")</f>
        <v>2014 Q1</v>
      </c>
      <c r="AX2" t="str">
        <f>IFERROR(IF(0=LEN(ReferenceData!$AX$2),"",ReferenceData!$AX$2),"")</f>
        <v>2013 Q4</v>
      </c>
      <c r="AY2" t="str">
        <f>IFERROR(IF(0=LEN(ReferenceData!$AY$2),"",ReferenceData!$AY$2),"")</f>
        <v>2013 Q3</v>
      </c>
      <c r="AZ2" t="str">
        <f>IFERROR(IF(0=LEN(ReferenceData!$AZ$2),"",ReferenceData!$AZ$2),"")</f>
        <v>2013 Q2</v>
      </c>
      <c r="BA2" t="str">
        <f>IFERROR(IF(0=LEN(ReferenceData!$BA$2),"",ReferenceData!$BA$2),"")</f>
        <v>2013 Q1</v>
      </c>
      <c r="BB2" t="str">
        <f>IFERROR(IF(0=LEN(ReferenceData!$BB$2),"",ReferenceData!$BB$2),"")</f>
        <v>2012 Q4</v>
      </c>
      <c r="BC2" t="str">
        <f>IFERROR(IF(0=LEN(ReferenceData!$BC$2),"",ReferenceData!$BC$2),"")</f>
        <v>2012 Q3</v>
      </c>
      <c r="BD2" t="str">
        <f>IFERROR(IF(0=LEN(ReferenceData!$BD$2),"",ReferenceData!$BD$2),"")</f>
        <v>2012 Q2</v>
      </c>
      <c r="BE2" t="str">
        <f>IFERROR(IF(0=LEN(ReferenceData!$BE$2),"",ReferenceData!$BE$2),"")</f>
        <v>2012 Q1</v>
      </c>
      <c r="BF2" t="str">
        <f>IFERROR(IF(0=LEN(ReferenceData!$BF$2),"",ReferenceData!$BF$2),"")</f>
        <v>2011 Q4</v>
      </c>
      <c r="BG2" t="str">
        <f>IFERROR(IF(0=LEN(ReferenceData!$BG$2),"",ReferenceData!$BG$2),"")</f>
        <v>2011 Q3</v>
      </c>
      <c r="BH2" t="str">
        <f>IFERROR(IF(0=LEN(ReferenceData!$BH$2),"",ReferenceData!$BH$2),"")</f>
        <v>2011 Q2</v>
      </c>
      <c r="BI2" t="str">
        <f>IFERROR(IF(0=LEN(ReferenceData!$BI$2),"",ReferenceData!$BI$2),"")</f>
        <v>2011 Q1</v>
      </c>
      <c r="BJ2" t="str">
        <f>IFERROR(IF(0=LEN(ReferenceData!$BJ$2),"",ReferenceData!$BJ$2),"")</f>
        <v>2010 Q4</v>
      </c>
      <c r="BK2" t="str">
        <f>IFERROR(IF(0=LEN(ReferenceData!$BK$2),"",ReferenceData!$BK$2),"")</f>
        <v>2010 Q3</v>
      </c>
      <c r="BL2" t="str">
        <f>IFERROR(IF(0=LEN(ReferenceData!$BL$2),"",ReferenceData!$BL$2),"")</f>
        <v>2010 Q2</v>
      </c>
      <c r="BM2" t="str">
        <f>IFERROR(IF(0=LEN(ReferenceData!$BM$2),"",ReferenceData!$BM$2),"")</f>
        <v>2010 Q1</v>
      </c>
    </row>
    <row r="3" spans="1:65" x14ac:dyDescent="0.25">
      <c r="A3" t="str">
        <f>IFERROR(IF(0=LEN(ReferenceData!$A$3),"",ReferenceData!$A$3),"")</f>
        <v>Trading Assets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Sum</v>
      </c>
      <c r="F3">
        <f ca="1">IFERROR(IF(0=LEN(ReferenceData!$F$3),"",ReferenceData!$F$3),"")</f>
        <v>2838707.9442960001</v>
      </c>
      <c r="G3">
        <f ca="1">IFERROR(IF(0=LEN(ReferenceData!$G$3),"",ReferenceData!$G$3),"")</f>
        <v>2739666.6390630002</v>
      </c>
      <c r="H3">
        <f ca="1">IFERROR(IF(0=LEN(ReferenceData!$H$3),"",ReferenceData!$H$3),"")</f>
        <v>2989025.7493400001</v>
      </c>
      <c r="I3">
        <f ca="1">IFERROR(IF(0=LEN(ReferenceData!$I$3),"",ReferenceData!$I$3),"")</f>
        <v>2666473.0802699998</v>
      </c>
      <c r="J3">
        <f ca="1">IFERROR(IF(0=LEN(ReferenceData!$J$3),"",ReferenceData!$J$3),"")</f>
        <v>2652618.0419609998</v>
      </c>
      <c r="K3">
        <f ca="1">IFERROR(IF(0=LEN(ReferenceData!$K$3),"",ReferenceData!$K$3),"")</f>
        <v>2427045.2809910001</v>
      </c>
      <c r="L3">
        <f ca="1">IFERROR(IF(0=LEN(ReferenceData!$L$3),"",ReferenceData!$L$3),"")</f>
        <v>2676692.7219420001</v>
      </c>
      <c r="M3">
        <f ca="1">IFERROR(IF(0=LEN(ReferenceData!$M$3),"",ReferenceData!$M$3),"")</f>
        <v>2269329.1943280003</v>
      </c>
      <c r="N3">
        <f ca="1">IFERROR(IF(0=LEN(ReferenceData!$N$3),"",ReferenceData!$N$3),"")</f>
        <v>2228838.3492690003</v>
      </c>
      <c r="O3">
        <f ca="1">IFERROR(IF(0=LEN(ReferenceData!$O$3),"",ReferenceData!$O$3),"")</f>
        <v>2176125.1041620001</v>
      </c>
      <c r="P3">
        <f ca="1">IFERROR(IF(0=LEN(ReferenceData!$P$3),"",ReferenceData!$P$3),"")</f>
        <v>2429509.2198990001</v>
      </c>
      <c r="Q3">
        <f ca="1">IFERROR(IF(0=LEN(ReferenceData!$Q$3),"",ReferenceData!$Q$3),"")</f>
        <v>2235930.3558570002</v>
      </c>
      <c r="R3">
        <f ca="1">IFERROR(IF(0=LEN(ReferenceData!$R$3),"",ReferenceData!$R$3),"")</f>
        <v>2277801.6516669998</v>
      </c>
      <c r="S3">
        <f ca="1">IFERROR(IF(0=LEN(ReferenceData!$S$3),"",ReferenceData!$S$3),"")</f>
        <v>2297908.2712209998</v>
      </c>
      <c r="T3">
        <f ca="1">IFERROR(IF(0=LEN(ReferenceData!$T$3),"",ReferenceData!$T$3),"")</f>
        <v>2507287.4633099996</v>
      </c>
      <c r="U3">
        <f ca="1">IFERROR(IF(0=LEN(ReferenceData!$U$3),"",ReferenceData!$U$3),"")</f>
        <v>2248873.6127499999</v>
      </c>
      <c r="V3">
        <f ca="1">IFERROR(IF(0=LEN(ReferenceData!$V$3),"",ReferenceData!$V$3),"")</f>
        <v>2318560.5496125994</v>
      </c>
      <c r="W3">
        <f ca="1">IFERROR(IF(0=LEN(ReferenceData!$W$3),"",ReferenceData!$W$3),"")</f>
        <v>2156409.0588720003</v>
      </c>
      <c r="X3">
        <f ca="1">IFERROR(IF(0=LEN(ReferenceData!$X$3),"",ReferenceData!$X$3),"")</f>
        <v>2407257.6468830002</v>
      </c>
      <c r="Y3">
        <f ca="1">IFERROR(IF(0=LEN(ReferenceData!$Y$3),"",ReferenceData!$Y$3),"")</f>
        <v>2273998.3759030001</v>
      </c>
      <c r="Z3">
        <f ca="1">IFERROR(IF(0=LEN(ReferenceData!$Z$3),"",ReferenceData!$Z$3),"")</f>
        <v>2084553.5586513001</v>
      </c>
      <c r="AA3">
        <f ca="1">IFERROR(IF(0=LEN(ReferenceData!$AA$3),"",ReferenceData!$AA$3),"")</f>
        <v>2256246.2732609999</v>
      </c>
      <c r="AB3">
        <f ca="1">IFERROR(IF(0=LEN(ReferenceData!$AB$3),"",ReferenceData!$AB$3),"")</f>
        <v>2401012.0659040003</v>
      </c>
      <c r="AC3">
        <f ca="1">IFERROR(IF(0=LEN(ReferenceData!$AC$3),"",ReferenceData!$AC$3),"")</f>
        <v>2074442.7723319</v>
      </c>
      <c r="AD3">
        <f ca="1">IFERROR(IF(0=LEN(ReferenceData!$AD$3),"",ReferenceData!$AD$3),"")</f>
        <v>1962107.2663082001</v>
      </c>
      <c r="AE3">
        <f ca="1">IFERROR(IF(0=LEN(ReferenceData!$AE$3),"",ReferenceData!$AE$3),"")</f>
        <v>1653253.6263550001</v>
      </c>
      <c r="AF3">
        <f ca="1">IFERROR(IF(0=LEN(ReferenceData!$AF$3),"",ReferenceData!$AF$3),"")</f>
        <v>2183133.5237560002</v>
      </c>
      <c r="AG3">
        <f ca="1">IFERROR(IF(0=LEN(ReferenceData!$AG$3),"",ReferenceData!$AG$3),"")</f>
        <v>1906372.2069024998</v>
      </c>
      <c r="AH3">
        <f ca="1">IFERROR(IF(0=LEN(ReferenceData!$AH$3),"",ReferenceData!$AH$3),"")</f>
        <v>2148400.388694</v>
      </c>
      <c r="AI3">
        <f ca="1">IFERROR(IF(0=LEN(ReferenceData!$AI$3),"",ReferenceData!$AI$3),"")</f>
        <v>1983383.0216148002</v>
      </c>
      <c r="AJ3">
        <f ca="1">IFERROR(IF(0=LEN(ReferenceData!$AJ$3),"",ReferenceData!$AJ$3),"")</f>
        <v>2419414.5384867</v>
      </c>
      <c r="AK3">
        <f ca="1">IFERROR(IF(0=LEN(ReferenceData!$AK$3),"",ReferenceData!$AK$3),"")</f>
        <v>2168062.011767</v>
      </c>
      <c r="AL3">
        <f ca="1">IFERROR(IF(0=LEN(ReferenceData!$AL$3),"",ReferenceData!$AL$3),"")</f>
        <v>2163966.5739440001</v>
      </c>
      <c r="AM3">
        <f ca="1">IFERROR(IF(0=LEN(ReferenceData!$AM$3),"",ReferenceData!$AM$3),"")</f>
        <v>2182320.9462040002</v>
      </c>
      <c r="AN3">
        <f ca="1">IFERROR(IF(0=LEN(ReferenceData!$AN$3),"",ReferenceData!$AN$3),"")</f>
        <v>2657004.8087470001</v>
      </c>
      <c r="AO3">
        <f ca="1">IFERROR(IF(0=LEN(ReferenceData!$AO$3),"",ReferenceData!$AO$3),"")</f>
        <v>2187679.6450490002</v>
      </c>
      <c r="AP3">
        <f ca="1">IFERROR(IF(0=LEN(ReferenceData!$AP$3),"",ReferenceData!$AP$3),"")</f>
        <v>2394864.8033520002</v>
      </c>
      <c r="AQ3">
        <f ca="1">IFERROR(IF(0=LEN(ReferenceData!$AQ$3),"",ReferenceData!$AQ$3),"")</f>
        <v>2292420.6937299999</v>
      </c>
      <c r="AR3">
        <f ca="1">IFERROR(IF(0=LEN(ReferenceData!$AR$3),"",ReferenceData!$AR$3),"")</f>
        <v>2659065.567028</v>
      </c>
      <c r="AS3">
        <f ca="1">IFERROR(IF(0=LEN(ReferenceData!$AS$3),"",ReferenceData!$AS$3),"")</f>
        <v>2757359.3747</v>
      </c>
      <c r="AT3">
        <f ca="1">IFERROR(IF(0=LEN(ReferenceData!$AT$3),"",ReferenceData!$AT$3),"")</f>
        <v>2690351.8909070003</v>
      </c>
      <c r="AU3">
        <f ca="1">IFERROR(IF(0=LEN(ReferenceData!$AU$3),"",ReferenceData!$AU$3),"")</f>
        <v>2386716.5841680001</v>
      </c>
      <c r="AV3">
        <f ca="1">IFERROR(IF(0=LEN(ReferenceData!$AV$3),"",ReferenceData!$AV$3),"")</f>
        <v>2626258.8346690005</v>
      </c>
      <c r="AW3">
        <f ca="1">IFERROR(IF(0=LEN(ReferenceData!$AW$3),"",ReferenceData!$AW$3),"")</f>
        <v>2565233.4615089996</v>
      </c>
      <c r="AX3">
        <f ca="1">IFERROR(IF(0=LEN(ReferenceData!$AX$3),"",ReferenceData!$AX$3),"")</f>
        <v>2716223.73972</v>
      </c>
      <c r="AY3">
        <f ca="1">IFERROR(IF(0=LEN(ReferenceData!$AY$3),"",ReferenceData!$AY$3),"")</f>
        <v>2607534.9980600001</v>
      </c>
      <c r="AZ3">
        <f ca="1">IFERROR(IF(0=LEN(ReferenceData!$AZ$3),"",ReferenceData!$AZ$3),"")</f>
        <v>2767877.7133300006</v>
      </c>
      <c r="BA3">
        <f ca="1">IFERROR(IF(0=LEN(ReferenceData!$BA$3),"",ReferenceData!$BA$3),"")</f>
        <v>2825997.1181999999</v>
      </c>
      <c r="BB3">
        <f ca="1">IFERROR(IF(0=LEN(ReferenceData!$BB$3),"",ReferenceData!$BB$3),"")</f>
        <v>3333179.1617999999</v>
      </c>
      <c r="BC3">
        <f ca="1">IFERROR(IF(0=LEN(ReferenceData!$BC$3),"",ReferenceData!$BC$3),"")</f>
        <v>3376811.0372000001</v>
      </c>
      <c r="BD3">
        <f ca="1">IFERROR(IF(0=LEN(ReferenceData!$BD$3),"",ReferenceData!$BD$3),"")</f>
        <v>2699427.4416999999</v>
      </c>
      <c r="BE3">
        <f ca="1">IFERROR(IF(0=LEN(ReferenceData!$BE$3),"",ReferenceData!$BE$3),"")</f>
        <v>1959095.0608999999</v>
      </c>
      <c r="BF3">
        <f ca="1">IFERROR(IF(0=LEN(ReferenceData!$BF$3),"",ReferenceData!$BF$3),"")</f>
        <v>2771981.6877600001</v>
      </c>
      <c r="BG3">
        <f ca="1">IFERROR(IF(0=LEN(ReferenceData!$BG$3),"",ReferenceData!$BG$3),"")</f>
        <v>2461061.7350000003</v>
      </c>
      <c r="BH3">
        <f ca="1">IFERROR(IF(0=LEN(ReferenceData!$BH$3),"",ReferenceData!$BH$3),"")</f>
        <v>2443185.5292800004</v>
      </c>
      <c r="BI3">
        <f ca="1">IFERROR(IF(0=LEN(ReferenceData!$BI$3),"",ReferenceData!$BI$3),"")</f>
        <v>2461885.5253400002</v>
      </c>
      <c r="BJ3">
        <f ca="1">IFERROR(IF(0=LEN(ReferenceData!$BJ$3),"",ReferenceData!$BJ$3),"")</f>
        <v>3099917.3732900005</v>
      </c>
      <c r="BK3">
        <f ca="1">IFERROR(IF(0=LEN(ReferenceData!$BK$3),"",ReferenceData!$BK$3),"")</f>
        <v>2266132.0421000002</v>
      </c>
      <c r="BL3">
        <f ca="1">IFERROR(IF(0=LEN(ReferenceData!$BL$3),"",ReferenceData!$BL$3),"")</f>
        <v>2780098.71269</v>
      </c>
      <c r="BM3">
        <f ca="1">IFERROR(IF(0=LEN(ReferenceData!$BM$3),"",ReferenceData!$BM$3),"")</f>
        <v>563808.69221000001</v>
      </c>
    </row>
    <row r="4" spans="1:65" x14ac:dyDescent="0.25">
      <c r="A4" t="str">
        <f>IFERROR(IF(0=LEN(ReferenceData!$A$4),"",ReferenceData!$A$4),"")</f>
        <v xml:space="preserve">    ABN AMRO Bank NV</v>
      </c>
      <c r="B4" t="str">
        <f>IFERROR(IF(0=LEN(ReferenceData!$B$4),"",ReferenceData!$B$4),"")</f>
        <v>ABN NA Equity</v>
      </c>
      <c r="C4" t="str">
        <f>IFERROR(IF(0=LEN(ReferenceData!$C$4),"",ReferenceData!$C$4),"")</f>
        <v>BM105</v>
      </c>
      <c r="D4" t="str">
        <f>IFERROR(IF(0=LEN(ReferenceData!$D$4),"",ReferenceData!$D$4),"")</f>
        <v>BS_TRADING_ASSETS</v>
      </c>
      <c r="E4" t="str">
        <f>IFERROR(IF(0=LEN(ReferenceData!$E$4),"",ReferenceData!$E$4),"")</f>
        <v>Dynamic</v>
      </c>
      <c r="F4">
        <f ca="1">IFERROR(IF(0=LEN(ReferenceData!$F$4),"",ReferenceData!$F$4),"")</f>
        <v>2503</v>
      </c>
      <c r="G4">
        <f ca="1">IFERROR(IF(0=LEN(ReferenceData!$G$4),"",ReferenceData!$G$4),"")</f>
        <v>3095</v>
      </c>
      <c r="H4">
        <f ca="1">IFERROR(IF(0=LEN(ReferenceData!$H$4),"",ReferenceData!$H$4),"")</f>
        <v>2109</v>
      </c>
      <c r="I4">
        <f ca="1">IFERROR(IF(0=LEN(ReferenceData!$I$4),"",ReferenceData!$I$4),"")</f>
        <v>2309</v>
      </c>
      <c r="J4">
        <f ca="1">IFERROR(IF(0=LEN(ReferenceData!$J$4),"",ReferenceData!$J$4),"")</f>
        <v>1371</v>
      </c>
      <c r="K4">
        <f ca="1">IFERROR(IF(0=LEN(ReferenceData!$K$4),"",ReferenceData!$K$4),"")</f>
        <v>1739</v>
      </c>
      <c r="L4">
        <f ca="1">IFERROR(IF(0=LEN(ReferenceData!$L$4),"",ReferenceData!$L$4),"")</f>
        <v>1711</v>
      </c>
      <c r="M4">
        <f ca="1">IFERROR(IF(0=LEN(ReferenceData!$M$4),"",ReferenceData!$M$4),"")</f>
        <v>1398</v>
      </c>
      <c r="N4">
        <f ca="1">IFERROR(IF(0=LEN(ReferenceData!$N$4),"",ReferenceData!$N$4),"")</f>
        <v>907</v>
      </c>
      <c r="O4">
        <f ca="1">IFERROR(IF(0=LEN(ReferenceData!$O$4),"",ReferenceData!$O$4),"")</f>
        <v>1946</v>
      </c>
      <c r="P4">
        <f ca="1">IFERROR(IF(0=LEN(ReferenceData!$P$4),"",ReferenceData!$P$4),"")</f>
        <v>2421</v>
      </c>
      <c r="Q4">
        <f ca="1">IFERROR(IF(0=LEN(ReferenceData!$Q$4),"",ReferenceData!$Q$4),"")</f>
        <v>2063</v>
      </c>
      <c r="R4">
        <f ca="1">IFERROR(IF(0=LEN(ReferenceData!$R$4),"",ReferenceData!$R$4),"")</f>
        <v>1155</v>
      </c>
      <c r="S4">
        <f ca="1">IFERROR(IF(0=LEN(ReferenceData!$S$4),"",ReferenceData!$S$4),"")</f>
        <v>2435</v>
      </c>
      <c r="T4">
        <f ca="1">IFERROR(IF(0=LEN(ReferenceData!$T$4),"",ReferenceData!$T$4),"")</f>
        <v>2385</v>
      </c>
      <c r="U4">
        <f ca="1">IFERROR(IF(0=LEN(ReferenceData!$U$4),"",ReferenceData!$U$4),"")</f>
        <v>2195</v>
      </c>
      <c r="V4">
        <f ca="1">IFERROR(IF(0=LEN(ReferenceData!$V$4),"",ReferenceData!$V$4),"")</f>
        <v>1315</v>
      </c>
      <c r="W4">
        <f ca="1">IFERROR(IF(0=LEN(ReferenceData!$W$4),"",ReferenceData!$W$4),"")</f>
        <v>2765</v>
      </c>
      <c r="X4">
        <f ca="1">IFERROR(IF(0=LEN(ReferenceData!$X$4),"",ReferenceData!$X$4),"")</f>
        <v>3397</v>
      </c>
      <c r="Y4">
        <f ca="1">IFERROR(IF(0=LEN(ReferenceData!$Y$4),"",ReferenceData!$Y$4),"")</f>
        <v>1988</v>
      </c>
      <c r="Z4">
        <f ca="1">IFERROR(IF(0=LEN(ReferenceData!$Z$4),"",ReferenceData!$Z$4),"")</f>
        <v>1137</v>
      </c>
      <c r="AA4">
        <f ca="1">IFERROR(IF(0=LEN(ReferenceData!$AA$4),"",ReferenceData!$AA$4),"")</f>
        <v>1963</v>
      </c>
      <c r="AB4">
        <f ca="1">IFERROR(IF(0=LEN(ReferenceData!$AB$4),"",ReferenceData!$AB$4),"")</f>
        <v>1698</v>
      </c>
      <c r="AC4">
        <f ca="1">IFERROR(IF(0=LEN(ReferenceData!$AC$4),"",ReferenceData!$AC$4),"")</f>
        <v>1618</v>
      </c>
      <c r="AD4">
        <f ca="1">IFERROR(IF(0=LEN(ReferenceData!$AD$4),"",ReferenceData!$AD$4),"")</f>
        <v>495</v>
      </c>
      <c r="AE4">
        <f ca="1">IFERROR(IF(0=LEN(ReferenceData!$AE$4),"",ReferenceData!$AE$4),"")</f>
        <v>1283</v>
      </c>
      <c r="AF4">
        <f ca="1">IFERROR(IF(0=LEN(ReferenceData!$AF$4),"",ReferenceData!$AF$4),"")</f>
        <v>1430</v>
      </c>
      <c r="AG4">
        <f ca="1">IFERROR(IF(0=LEN(ReferenceData!$AG$4),"",ReferenceData!$AG$4),"")</f>
        <v>1708</v>
      </c>
      <c r="AH4">
        <f ca="1">IFERROR(IF(0=LEN(ReferenceData!$AH$4),"",ReferenceData!$AH$4),"")</f>
        <v>1600</v>
      </c>
      <c r="AI4">
        <f ca="1">IFERROR(IF(0=LEN(ReferenceData!$AI$4),"",ReferenceData!$AI$4),"")</f>
        <v>4478</v>
      </c>
      <c r="AJ4">
        <f ca="1">IFERROR(IF(0=LEN(ReferenceData!$AJ$4),"",ReferenceData!$AJ$4),"")</f>
        <v>4658</v>
      </c>
      <c r="AK4">
        <f ca="1">IFERROR(IF(0=LEN(ReferenceData!$AK$4),"",ReferenceData!$AK$4),"")</f>
        <v>3667</v>
      </c>
      <c r="AL4">
        <f ca="1">IFERROR(IF(0=LEN(ReferenceData!$AL$4),"",ReferenceData!$AL$4),"")</f>
        <v>1607</v>
      </c>
      <c r="AM4">
        <f ca="1">IFERROR(IF(0=LEN(ReferenceData!$AM$4),"",ReferenceData!$AM$4),"")</f>
        <v>3914</v>
      </c>
      <c r="AN4">
        <f ca="1">IFERROR(IF(0=LEN(ReferenceData!$AN$4),"",ReferenceData!$AN$4),"")</f>
        <v>38919</v>
      </c>
      <c r="AO4">
        <f ca="1">IFERROR(IF(0=LEN(ReferenceData!$AO$4),"",ReferenceData!$AO$4),"")</f>
        <v>3412</v>
      </c>
      <c r="AP4">
        <f ca="1">IFERROR(IF(0=LEN(ReferenceData!$AP$4),"",ReferenceData!$AP$4),"")</f>
        <v>1706</v>
      </c>
      <c r="AQ4">
        <f ca="1">IFERROR(IF(0=LEN(ReferenceData!$AQ$4),"",ReferenceData!$AQ$4),"")</f>
        <v>8592</v>
      </c>
      <c r="AR4">
        <f ca="1">IFERROR(IF(0=LEN(ReferenceData!$AR$4),"",ReferenceData!$AR$4),"")</f>
        <v>6648</v>
      </c>
      <c r="AS4">
        <f ca="1">IFERROR(IF(0=LEN(ReferenceData!$AS$4),"",ReferenceData!$AS$4),"")</f>
        <v>13459</v>
      </c>
      <c r="AT4" t="str">
        <f ca="1">IFERROR(IF(0=LEN(ReferenceData!$AT$4),"",ReferenceData!$AT$4),"")</f>
        <v/>
      </c>
      <c r="AU4" t="str">
        <f ca="1">IFERROR(IF(0=LEN(ReferenceData!$AU$4),"",ReferenceData!$AU$4),"")</f>
        <v/>
      </c>
      <c r="AV4" t="str">
        <f ca="1">IFERROR(IF(0=LEN(ReferenceData!$AV$4),"",ReferenceData!$AV$4),"")</f>
        <v/>
      </c>
      <c r="AW4">
        <f ca="1">IFERROR(IF(0=LEN(ReferenceData!$AW$4),"",ReferenceData!$AW$4),"")</f>
        <v>27656</v>
      </c>
      <c r="AX4" t="str">
        <f ca="1">IFERROR(IF(0=LEN(ReferenceData!$AX$4),"",ReferenceData!$AX$4),"")</f>
        <v/>
      </c>
      <c r="AY4" t="str">
        <f ca="1">IFERROR(IF(0=LEN(ReferenceData!$AY$4),"",ReferenceData!$AY$4),"")</f>
        <v/>
      </c>
      <c r="AZ4">
        <f ca="1">IFERROR(IF(0=LEN(ReferenceData!$AZ$4),"",ReferenceData!$AZ$4),"")</f>
        <v>26336</v>
      </c>
      <c r="BA4">
        <f ca="1">IFERROR(IF(0=LEN(ReferenceData!$BA$4),"",ReferenceData!$BA$4),"")</f>
        <v>28222</v>
      </c>
      <c r="BB4" t="str">
        <f ca="1">IFERROR(IF(0=LEN(ReferenceData!$BB$4),"",ReferenceData!$BB$4),"")</f>
        <v/>
      </c>
      <c r="BC4" t="str">
        <f ca="1">IFERROR(IF(0=LEN(ReferenceData!$BC$4),"",ReferenceData!$BC$4),"")</f>
        <v/>
      </c>
      <c r="BD4" t="str">
        <f ca="1">IFERROR(IF(0=LEN(ReferenceData!$BD$4),"",ReferenceData!$BD$4),"")</f>
        <v/>
      </c>
      <c r="BE4" t="str">
        <f ca="1">IFERROR(IF(0=LEN(ReferenceData!$BE$4),"",ReferenceData!$BE$4),"")</f>
        <v/>
      </c>
      <c r="BF4" t="str">
        <f ca="1">IFERROR(IF(0=LEN(ReferenceData!$BF$4),"",ReferenceData!$BF$4),"")</f>
        <v/>
      </c>
      <c r="BG4" t="str">
        <f ca="1">IFERROR(IF(0=LEN(ReferenceData!$BG$4),"",ReferenceData!$BG$4),"")</f>
        <v/>
      </c>
      <c r="BH4" t="str">
        <f ca="1">IFERROR(IF(0=LEN(ReferenceData!$BH$4),"",ReferenceData!$BH$4),"")</f>
        <v/>
      </c>
      <c r="BI4" t="str">
        <f ca="1">IFERROR(IF(0=LEN(ReferenceData!$BI$4),"",ReferenceData!$BI$4),"")</f>
        <v/>
      </c>
      <c r="BJ4" t="str">
        <f ca="1">IFERROR(IF(0=LEN(ReferenceData!$BJ$4),"",ReferenceData!$BJ$4),"")</f>
        <v/>
      </c>
      <c r="BK4" t="str">
        <f ca="1">IFERROR(IF(0=LEN(ReferenceData!$BK$4),"",ReferenceData!$BK$4),"")</f>
        <v/>
      </c>
      <c r="BL4" t="str">
        <f ca="1">IFERROR(IF(0=LEN(ReferenceData!$BL$4),"",ReferenceData!$BL$4),"")</f>
        <v/>
      </c>
      <c r="BM4" t="str">
        <f ca="1">IFERROR(IF(0=LEN(ReferenceData!$BM$4),"",ReferenceData!$BM$4),"")</f>
        <v/>
      </c>
    </row>
    <row r="5" spans="1:65" x14ac:dyDescent="0.25">
      <c r="A5" t="str">
        <f>IFERROR(IF(0=LEN(ReferenceData!$A$5),"",ReferenceData!$A$5),"")</f>
        <v xml:space="preserve">    AIB Group PLC</v>
      </c>
      <c r="B5" t="str">
        <f>IFERROR(IF(0=LEN(ReferenceData!$B$5),"",ReferenceData!$B$5),"")</f>
        <v>AIBG ID Equity</v>
      </c>
      <c r="C5" t="str">
        <f>IFERROR(IF(0=LEN(ReferenceData!$C$5),"",ReferenceData!$C$5),"")</f>
        <v>BM105</v>
      </c>
      <c r="D5" t="str">
        <f>IFERROR(IF(0=LEN(ReferenceData!$D$5),"",ReferenceData!$D$5),"")</f>
        <v>BS_TRADING_ASSETS</v>
      </c>
      <c r="E5" t="str">
        <f>IFERROR(IF(0=LEN(ReferenceData!$E$5),"",ReferenceData!$E$5),"")</f>
        <v>Dynamic</v>
      </c>
      <c r="F5" t="str">
        <f ca="1">IFERROR(IF(0=LEN(ReferenceData!$F$5),"",ReferenceData!$F$5),"")</f>
        <v/>
      </c>
      <c r="G5" t="str">
        <f ca="1">IFERROR(IF(0=LEN(ReferenceData!$G$5),"",ReferenceData!$G$5),"")</f>
        <v/>
      </c>
      <c r="H5" t="str">
        <f ca="1">IFERROR(IF(0=LEN(ReferenceData!$H$5),"",ReferenceData!$H$5),"")</f>
        <v/>
      </c>
      <c r="I5" t="str">
        <f ca="1">IFERROR(IF(0=LEN(ReferenceData!$I$5),"",ReferenceData!$I$5),"")</f>
        <v/>
      </c>
      <c r="J5" t="str">
        <f ca="1">IFERROR(IF(0=LEN(ReferenceData!$J$5),"",ReferenceData!$J$5),"")</f>
        <v/>
      </c>
      <c r="K5" t="str">
        <f ca="1">IFERROR(IF(0=LEN(ReferenceData!$K$5),"",ReferenceData!$K$5),"")</f>
        <v/>
      </c>
      <c r="L5" t="str">
        <f ca="1">IFERROR(IF(0=LEN(ReferenceData!$L$5),"",ReferenceData!$L$5),"")</f>
        <v/>
      </c>
      <c r="M5" t="str">
        <f ca="1">IFERROR(IF(0=LEN(ReferenceData!$M$5),"",ReferenceData!$M$5),"")</f>
        <v/>
      </c>
      <c r="N5" t="str">
        <f ca="1">IFERROR(IF(0=LEN(ReferenceData!$N$5),"",ReferenceData!$N$5),"")</f>
        <v/>
      </c>
      <c r="O5" t="str">
        <f ca="1">IFERROR(IF(0=LEN(ReferenceData!$O$5),"",ReferenceData!$O$5),"")</f>
        <v/>
      </c>
      <c r="P5" t="str">
        <f ca="1">IFERROR(IF(0=LEN(ReferenceData!$P$5),"",ReferenceData!$P$5),"")</f>
        <v/>
      </c>
      <c r="Q5" t="str">
        <f ca="1">IFERROR(IF(0=LEN(ReferenceData!$Q$5),"",ReferenceData!$Q$5),"")</f>
        <v/>
      </c>
      <c r="R5" t="str">
        <f ca="1">IFERROR(IF(0=LEN(ReferenceData!$R$5),"",ReferenceData!$R$5),"")</f>
        <v/>
      </c>
      <c r="S5" t="str">
        <f ca="1">IFERROR(IF(0=LEN(ReferenceData!$S$5),"",ReferenceData!$S$5),"")</f>
        <v/>
      </c>
      <c r="T5" t="str">
        <f ca="1">IFERROR(IF(0=LEN(ReferenceData!$T$5),"",ReferenceData!$T$5),"")</f>
        <v/>
      </c>
      <c r="U5" t="str">
        <f ca="1">IFERROR(IF(0=LEN(ReferenceData!$U$5),"",ReferenceData!$U$5),"")</f>
        <v/>
      </c>
      <c r="V5" t="str">
        <f ca="1">IFERROR(IF(0=LEN(ReferenceData!$V$5),"",ReferenceData!$V$5),"")</f>
        <v/>
      </c>
      <c r="W5" t="str">
        <f ca="1">IFERROR(IF(0=LEN(ReferenceData!$W$5),"",ReferenceData!$W$5),"")</f>
        <v/>
      </c>
      <c r="X5" t="str">
        <f ca="1">IFERROR(IF(0=LEN(ReferenceData!$X$5),"",ReferenceData!$X$5),"")</f>
        <v/>
      </c>
      <c r="Y5" t="str">
        <f ca="1">IFERROR(IF(0=LEN(ReferenceData!$Y$5),"",ReferenceData!$Y$5),"")</f>
        <v/>
      </c>
      <c r="Z5" t="str">
        <f ca="1">IFERROR(IF(0=LEN(ReferenceData!$Z$5),"",ReferenceData!$Z$5),"")</f>
        <v/>
      </c>
      <c r="AA5" t="str">
        <f ca="1">IFERROR(IF(0=LEN(ReferenceData!$AA$5),"",ReferenceData!$AA$5),"")</f>
        <v/>
      </c>
      <c r="AB5" t="str">
        <f ca="1">IFERROR(IF(0=LEN(ReferenceData!$AB$5),"",ReferenceData!$AB$5),"")</f>
        <v/>
      </c>
      <c r="AC5" t="str">
        <f ca="1">IFERROR(IF(0=LEN(ReferenceData!$AC$5),"",ReferenceData!$AC$5),"")</f>
        <v/>
      </c>
      <c r="AD5" t="str">
        <f ca="1">IFERROR(IF(0=LEN(ReferenceData!$AD$5),"",ReferenceData!$AD$5),"")</f>
        <v/>
      </c>
      <c r="AE5" t="str">
        <f ca="1">IFERROR(IF(0=LEN(ReferenceData!$AE$5),"",ReferenceData!$AE$5),"")</f>
        <v/>
      </c>
      <c r="AF5" t="str">
        <f ca="1">IFERROR(IF(0=LEN(ReferenceData!$AF$5),"",ReferenceData!$AF$5),"")</f>
        <v/>
      </c>
      <c r="AG5" t="str">
        <f ca="1">IFERROR(IF(0=LEN(ReferenceData!$AG$5),"",ReferenceData!$AG$5),"")</f>
        <v/>
      </c>
      <c r="AH5" t="str">
        <f ca="1">IFERROR(IF(0=LEN(ReferenceData!$AH$5),"",ReferenceData!$AH$5),"")</f>
        <v/>
      </c>
      <c r="AI5" t="str">
        <f ca="1">IFERROR(IF(0=LEN(ReferenceData!$AI$5),"",ReferenceData!$AI$5),"")</f>
        <v/>
      </c>
      <c r="AJ5" t="str">
        <f ca="1">IFERROR(IF(0=LEN(ReferenceData!$AJ$5),"",ReferenceData!$AJ$5),"")</f>
        <v/>
      </c>
      <c r="AK5" t="str">
        <f ca="1">IFERROR(IF(0=LEN(ReferenceData!$AK$5),"",ReferenceData!$AK$5),"")</f>
        <v/>
      </c>
      <c r="AL5" t="str">
        <f ca="1">IFERROR(IF(0=LEN(ReferenceData!$AL$5),"",ReferenceData!$AL$5),"")</f>
        <v/>
      </c>
      <c r="AM5" t="str">
        <f ca="1">IFERROR(IF(0=LEN(ReferenceData!$AM$5),"",ReferenceData!$AM$5),"")</f>
        <v/>
      </c>
      <c r="AN5" t="str">
        <f ca="1">IFERROR(IF(0=LEN(ReferenceData!$AN$5),"",ReferenceData!$AN$5),"")</f>
        <v/>
      </c>
      <c r="AO5" t="str">
        <f ca="1">IFERROR(IF(0=LEN(ReferenceData!$AO$5),"",ReferenceData!$AO$5),"")</f>
        <v/>
      </c>
      <c r="AP5" t="str">
        <f ca="1">IFERROR(IF(0=LEN(ReferenceData!$AP$5),"",ReferenceData!$AP$5),"")</f>
        <v/>
      </c>
      <c r="AQ5" t="str">
        <f ca="1">IFERROR(IF(0=LEN(ReferenceData!$AQ$5),"",ReferenceData!$AQ$5),"")</f>
        <v/>
      </c>
      <c r="AR5" t="str">
        <f ca="1">IFERROR(IF(0=LEN(ReferenceData!$AR$5),"",ReferenceData!$AR$5),"")</f>
        <v/>
      </c>
      <c r="AS5" t="str">
        <f ca="1">IFERROR(IF(0=LEN(ReferenceData!$AS$5),"",ReferenceData!$AS$5),"")</f>
        <v/>
      </c>
      <c r="AT5" t="str">
        <f ca="1">IFERROR(IF(0=LEN(ReferenceData!$AT$5),"",ReferenceData!$AT$5),"")</f>
        <v/>
      </c>
      <c r="AU5" t="str">
        <f ca="1">IFERROR(IF(0=LEN(ReferenceData!$AU$5),"",ReferenceData!$AU$5),"")</f>
        <v/>
      </c>
      <c r="AV5" t="str">
        <f ca="1">IFERROR(IF(0=LEN(ReferenceData!$AV$5),"",ReferenceData!$AV$5),"")</f>
        <v/>
      </c>
      <c r="AW5" t="str">
        <f ca="1">IFERROR(IF(0=LEN(ReferenceData!$AW$5),"",ReferenceData!$AW$5),"")</f>
        <v/>
      </c>
      <c r="AX5" t="str">
        <f ca="1">IFERROR(IF(0=LEN(ReferenceData!$AX$5),"",ReferenceData!$AX$5),"")</f>
        <v/>
      </c>
      <c r="AY5" t="str">
        <f ca="1">IFERROR(IF(0=LEN(ReferenceData!$AY$5),"",ReferenceData!$AY$5),"")</f>
        <v/>
      </c>
      <c r="AZ5" t="str">
        <f ca="1">IFERROR(IF(0=LEN(ReferenceData!$AZ$5),"",ReferenceData!$AZ$5),"")</f>
        <v/>
      </c>
      <c r="BA5" t="str">
        <f ca="1">IFERROR(IF(0=LEN(ReferenceData!$BA$5),"",ReferenceData!$BA$5),"")</f>
        <v/>
      </c>
      <c r="BB5" t="str">
        <f ca="1">IFERROR(IF(0=LEN(ReferenceData!$BB$5),"",ReferenceData!$BB$5),"")</f>
        <v/>
      </c>
      <c r="BC5" t="str">
        <f ca="1">IFERROR(IF(0=LEN(ReferenceData!$BC$5),"",ReferenceData!$BC$5),"")</f>
        <v/>
      </c>
      <c r="BD5" t="str">
        <f ca="1">IFERROR(IF(0=LEN(ReferenceData!$BD$5),"",ReferenceData!$BD$5),"")</f>
        <v/>
      </c>
      <c r="BE5" t="str">
        <f ca="1">IFERROR(IF(0=LEN(ReferenceData!$BE$5),"",ReferenceData!$BE$5),"")</f>
        <v/>
      </c>
      <c r="BF5" t="str">
        <f ca="1">IFERROR(IF(0=LEN(ReferenceData!$BF$5),"",ReferenceData!$BF$5),"")</f>
        <v/>
      </c>
      <c r="BG5" t="str">
        <f ca="1">IFERROR(IF(0=LEN(ReferenceData!$BG$5),"",ReferenceData!$BG$5),"")</f>
        <v/>
      </c>
      <c r="BH5" t="str">
        <f ca="1">IFERROR(IF(0=LEN(ReferenceData!$BH$5),"",ReferenceData!$BH$5),"")</f>
        <v/>
      </c>
      <c r="BI5" t="str">
        <f ca="1">IFERROR(IF(0=LEN(ReferenceData!$BI$5),"",ReferenceData!$BI$5),"")</f>
        <v/>
      </c>
      <c r="BJ5" t="str">
        <f ca="1">IFERROR(IF(0=LEN(ReferenceData!$BJ$5),"",ReferenceData!$BJ$5),"")</f>
        <v/>
      </c>
      <c r="BK5" t="str">
        <f ca="1">IFERROR(IF(0=LEN(ReferenceData!$BK$5),"",ReferenceData!$BK$5),"")</f>
        <v/>
      </c>
      <c r="BL5" t="str">
        <f ca="1">IFERROR(IF(0=LEN(ReferenceData!$BL$5),"",ReferenceData!$BL$5),"")</f>
        <v/>
      </c>
      <c r="BM5" t="str">
        <f ca="1">IFERROR(IF(0=LEN(ReferenceData!$BM$5),"",ReferenceData!$BM$5),"")</f>
        <v/>
      </c>
    </row>
    <row r="6" spans="1:65" x14ac:dyDescent="0.25">
      <c r="A6" t="str">
        <f>IFERROR(IF(0=LEN(ReferenceData!$A$6),"",ReferenceData!$A$6),"")</f>
        <v xml:space="preserve">    Banco de Sabadell SA</v>
      </c>
      <c r="B6" t="str">
        <f>IFERROR(IF(0=LEN(ReferenceData!$B$6),"",ReferenceData!$B$6),"")</f>
        <v>SAB SM Equity</v>
      </c>
      <c r="C6" t="str">
        <f>IFERROR(IF(0=LEN(ReferenceData!$C$6),"",ReferenceData!$C$6),"")</f>
        <v>BM105</v>
      </c>
      <c r="D6" t="str">
        <f>IFERROR(IF(0=LEN(ReferenceData!$D$6),"",ReferenceData!$D$6),"")</f>
        <v>BS_TRADING_ASSETS</v>
      </c>
      <c r="E6" t="str">
        <f>IFERROR(IF(0=LEN(ReferenceData!$E$6),"",ReferenceData!$E$6),"")</f>
        <v>Dynamic</v>
      </c>
      <c r="F6">
        <f ca="1">IFERROR(IF(0=LEN(ReferenceData!$F$6),"",ReferenceData!$F$6),"")</f>
        <v>1420.9559999999999</v>
      </c>
      <c r="G6">
        <f ca="1">IFERROR(IF(0=LEN(ReferenceData!$G$6),"",ReferenceData!$G$6),"")</f>
        <v>2846</v>
      </c>
      <c r="H6">
        <f ca="1">IFERROR(IF(0=LEN(ReferenceData!$H$6),"",ReferenceData!$H$6),"")</f>
        <v>3110</v>
      </c>
      <c r="I6">
        <f ca="1">IFERROR(IF(0=LEN(ReferenceData!$I$6),"",ReferenceData!$I$6),"")</f>
        <v>3042</v>
      </c>
      <c r="J6">
        <f ca="1">IFERROR(IF(0=LEN(ReferenceData!$J$6),"",ReferenceData!$J$6),"")</f>
        <v>142.495</v>
      </c>
      <c r="K6">
        <f ca="1">IFERROR(IF(0=LEN(ReferenceData!$K$6),"",ReferenceData!$K$6),"")</f>
        <v>3802</v>
      </c>
      <c r="L6">
        <f ca="1">IFERROR(IF(0=LEN(ReferenceData!$L$6),"",ReferenceData!$L$6),"")</f>
        <v>532.60599999999999</v>
      </c>
      <c r="M6">
        <f ca="1">IFERROR(IF(0=LEN(ReferenceData!$M$6),"",ReferenceData!$M$6),"")</f>
        <v>3769</v>
      </c>
      <c r="N6">
        <f ca="1">IFERROR(IF(0=LEN(ReferenceData!$N$6),"",ReferenceData!$N$6),"")</f>
        <v>417.13099999999997</v>
      </c>
      <c r="O6">
        <f ca="1">IFERROR(IF(0=LEN(ReferenceData!$O$6),"",ReferenceData!$O$6),"")</f>
        <v>5953</v>
      </c>
      <c r="P6">
        <f ca="1">IFERROR(IF(0=LEN(ReferenceData!$P$6),"",ReferenceData!$P$6),"")</f>
        <v>1632.0709999999999</v>
      </c>
      <c r="Q6">
        <f ca="1">IFERROR(IF(0=LEN(ReferenceData!$Q$6),"",ReferenceData!$Q$6),"")</f>
        <v>2509</v>
      </c>
      <c r="R6">
        <f ca="1">IFERROR(IF(0=LEN(ReferenceData!$R$6),"",ReferenceData!$R$6),"")</f>
        <v>592.63099999999997</v>
      </c>
      <c r="S6">
        <f ca="1">IFERROR(IF(0=LEN(ReferenceData!$S$6),"",ReferenceData!$S$6),"")</f>
        <v>1969</v>
      </c>
      <c r="T6">
        <f ca="1">IFERROR(IF(0=LEN(ReferenceData!$T$6),"",ReferenceData!$T$6),"")</f>
        <v>542.58100000000002</v>
      </c>
      <c r="U6">
        <f ca="1">IFERROR(IF(0=LEN(ReferenceData!$U$6),"",ReferenceData!$U$6),"")</f>
        <v>3059</v>
      </c>
      <c r="V6">
        <f ca="1">IFERROR(IF(0=LEN(ReferenceData!$V$6),"",ReferenceData!$V$6),"")</f>
        <v>314.24099999999999</v>
      </c>
      <c r="W6">
        <f ca="1">IFERROR(IF(0=LEN(ReferenceData!$W$6),"",ReferenceData!$W$6),"")</f>
        <v>3352</v>
      </c>
      <c r="X6">
        <f ca="1">IFERROR(IF(0=LEN(ReferenceData!$X$6),"",ReferenceData!$X$6),"")</f>
        <v>824.45799999999997</v>
      </c>
      <c r="Y6">
        <f ca="1">IFERROR(IF(0=LEN(ReferenceData!$Y$6),"",ReferenceData!$Y$6),"")</f>
        <v>3459</v>
      </c>
      <c r="Z6">
        <f ca="1">IFERROR(IF(0=LEN(ReferenceData!$Z$6),"",ReferenceData!$Z$6),"")</f>
        <v>600.62099999999998</v>
      </c>
      <c r="AA6">
        <f ca="1">IFERROR(IF(0=LEN(ReferenceData!$AA$6),"",ReferenceData!$AA$6),"")</f>
        <v>3177</v>
      </c>
      <c r="AB6">
        <f ca="1">IFERROR(IF(0=LEN(ReferenceData!$AB$6),"",ReferenceData!$AB$6),"")</f>
        <v>438.98599999999999</v>
      </c>
      <c r="AC6">
        <f ca="1">IFERROR(IF(0=LEN(ReferenceData!$AC$6),"",ReferenceData!$AC$6),"")</f>
        <v>2418</v>
      </c>
      <c r="AD6">
        <f ca="1">IFERROR(IF(0=LEN(ReferenceData!$AD$6),"",ReferenceData!$AD$6),"")</f>
        <v>324.69099999999997</v>
      </c>
      <c r="AE6">
        <f ca="1">IFERROR(IF(0=LEN(ReferenceData!$AE$6),"",ReferenceData!$AE$6),"")</f>
        <v>1937</v>
      </c>
      <c r="AF6">
        <f ca="1">IFERROR(IF(0=LEN(ReferenceData!$AF$6),"",ReferenceData!$AF$6),"")</f>
        <v>295.66199999999998</v>
      </c>
      <c r="AG6">
        <f ca="1">IFERROR(IF(0=LEN(ReferenceData!$AG$6),"",ReferenceData!$AG$6),"")</f>
        <v>1906</v>
      </c>
      <c r="AH6">
        <f ca="1">IFERROR(IF(0=LEN(ReferenceData!$AH$6),"",ReferenceData!$AH$6),"")</f>
        <v>131.761</v>
      </c>
      <c r="AI6">
        <f ca="1">IFERROR(IF(0=LEN(ReferenceData!$AI$6),"",ReferenceData!$AI$6),"")</f>
        <v>2352</v>
      </c>
      <c r="AJ6">
        <f ca="1">IFERROR(IF(0=LEN(ReferenceData!$AJ$6),"",ReferenceData!$AJ$6),"")</f>
        <v>319.96600000000001</v>
      </c>
      <c r="AK6">
        <f ca="1">IFERROR(IF(0=LEN(ReferenceData!$AK$6),"",ReferenceData!$AK$6),"")</f>
        <v>2639</v>
      </c>
      <c r="AL6">
        <f ca="1">IFERROR(IF(0=LEN(ReferenceData!$AL$6),"",ReferenceData!$AL$6),"")</f>
        <v>1649.7260000000001</v>
      </c>
      <c r="AM6">
        <f ca="1">IFERROR(IF(0=LEN(ReferenceData!$AM$6),"",ReferenceData!$AM$6),"")</f>
        <v>4841</v>
      </c>
      <c r="AN6">
        <f ca="1">IFERROR(IF(0=LEN(ReferenceData!$AN$6),"",ReferenceData!$AN$6),"")</f>
        <v>1229.693</v>
      </c>
      <c r="AO6">
        <f ca="1">IFERROR(IF(0=LEN(ReferenceData!$AO$6),"",ReferenceData!$AO$6),"")</f>
        <v>4146</v>
      </c>
      <c r="AP6">
        <f ca="1">IFERROR(IF(0=LEN(ReferenceData!$AP$6),"",ReferenceData!$AP$6),"")</f>
        <v>803.67200000000003</v>
      </c>
      <c r="AQ6">
        <f ca="1">IFERROR(IF(0=LEN(ReferenceData!$AQ$6),"",ReferenceData!$AQ$6),"")</f>
        <v>3258</v>
      </c>
      <c r="AR6">
        <f ca="1">IFERROR(IF(0=LEN(ReferenceData!$AR$6),"",ReferenceData!$AR$6),"")</f>
        <v>2254.739</v>
      </c>
      <c r="AS6">
        <f ca="1">IFERROR(IF(0=LEN(ReferenceData!$AS$6),"",ReferenceData!$AS$6),"")</f>
        <v>3785.27</v>
      </c>
      <c r="AT6">
        <f ca="1">IFERROR(IF(0=LEN(ReferenceData!$AT$6),"",ReferenceData!$AT$6),"")</f>
        <v>623.86500000000001</v>
      </c>
      <c r="AU6">
        <f ca="1">IFERROR(IF(0=LEN(ReferenceData!$AU$6),"",ReferenceData!$AU$6),"")</f>
        <v>3113</v>
      </c>
      <c r="AV6">
        <f ca="1">IFERROR(IF(0=LEN(ReferenceData!$AV$6),"",ReferenceData!$AV$6),"")</f>
        <v>712.577</v>
      </c>
      <c r="AW6">
        <f ca="1">IFERROR(IF(0=LEN(ReferenceData!$AW$6),"",ReferenceData!$AW$6),"")</f>
        <v>2438.346</v>
      </c>
      <c r="AX6">
        <f ca="1">IFERROR(IF(0=LEN(ReferenceData!$AX$6),"",ReferenceData!$AX$6),"")</f>
        <v>601.01</v>
      </c>
      <c r="AY6">
        <f ca="1">IFERROR(IF(0=LEN(ReferenceData!$AY$6),"",ReferenceData!$AY$6),"")</f>
        <v>6959.9430000000002</v>
      </c>
      <c r="AZ6">
        <f ca="1">IFERROR(IF(0=LEN(ReferenceData!$AZ$6),"",ReferenceData!$AZ$6),"")</f>
        <v>373.505</v>
      </c>
      <c r="BA6">
        <f ca="1">IFERROR(IF(0=LEN(ReferenceData!$BA$6),"",ReferenceData!$BA$6),"")</f>
        <v>7133.5739999999996</v>
      </c>
      <c r="BB6">
        <f ca="1">IFERROR(IF(0=LEN(ReferenceData!$BB$6),"",ReferenceData!$BB$6),"")</f>
        <v>339.142</v>
      </c>
      <c r="BC6">
        <f ca="1">IFERROR(IF(0=LEN(ReferenceData!$BC$6),"",ReferenceData!$BC$6),"")</f>
        <v>9955.4240000000009</v>
      </c>
      <c r="BD6">
        <f ca="1">IFERROR(IF(0=LEN(ReferenceData!$BD$6),"",ReferenceData!$BD$6),"")</f>
        <v>213.22</v>
      </c>
      <c r="BE6">
        <f ca="1">IFERROR(IF(0=LEN(ReferenceData!$BE$6),"",ReferenceData!$BE$6),"")</f>
        <v>2308.509</v>
      </c>
      <c r="BF6">
        <f ca="1">IFERROR(IF(0=LEN(ReferenceData!$BF$6),"",ReferenceData!$BF$6),"")</f>
        <v>1682.12</v>
      </c>
      <c r="BG6">
        <f ca="1">IFERROR(IF(0=LEN(ReferenceData!$BG$6),"",ReferenceData!$BG$6),"")</f>
        <v>2330.4549999999999</v>
      </c>
      <c r="BH6">
        <f ca="1">IFERROR(IF(0=LEN(ReferenceData!$BH$6),"",ReferenceData!$BH$6),"")</f>
        <v>1317.3720000000001</v>
      </c>
      <c r="BI6">
        <f ca="1">IFERROR(IF(0=LEN(ReferenceData!$BI$6),"",ReferenceData!$BI$6),"")</f>
        <v>1494.5920000000001</v>
      </c>
      <c r="BJ6" t="str">
        <f ca="1">IFERROR(IF(0=LEN(ReferenceData!$BJ$6),"",ReferenceData!$BJ$6),"")</f>
        <v/>
      </c>
      <c r="BK6">
        <f ca="1">IFERROR(IF(0=LEN(ReferenceData!$BK$6),"",ReferenceData!$BK$6),"")</f>
        <v>2216.3809999999999</v>
      </c>
      <c r="BL6">
        <f ca="1">IFERROR(IF(0=LEN(ReferenceData!$BL$6),"",ReferenceData!$BL$6),"")</f>
        <v>2324.3339999999998</v>
      </c>
      <c r="BM6" t="str">
        <f ca="1">IFERROR(IF(0=LEN(ReferenceData!$BM$6),"",ReferenceData!$BM$6),"")</f>
        <v/>
      </c>
    </row>
    <row r="7" spans="1:65" x14ac:dyDescent="0.25">
      <c r="A7" t="str">
        <f>IFERROR(IF(0=LEN(ReferenceData!$A$7),"",ReferenceData!$A$7),"")</f>
        <v xml:space="preserve">    Banco Santander SA</v>
      </c>
      <c r="B7" t="str">
        <f>IFERROR(IF(0=LEN(ReferenceData!$B$7),"",ReferenceData!$B$7),"")</f>
        <v>SAN SM Equity</v>
      </c>
      <c r="C7" t="str">
        <f>IFERROR(IF(0=LEN(ReferenceData!$C$7),"",ReferenceData!$C$7),"")</f>
        <v>BM105</v>
      </c>
      <c r="D7" t="str">
        <f>IFERROR(IF(0=LEN(ReferenceData!$D$7),"",ReferenceData!$D$7),"")</f>
        <v>BS_TRADING_ASSETS</v>
      </c>
      <c r="E7" t="str">
        <f>IFERROR(IF(0=LEN(ReferenceData!$E$7),"",ReferenceData!$E$7),"")</f>
        <v>Dynamic</v>
      </c>
      <c r="F7">
        <f ca="1">IFERROR(IF(0=LEN(ReferenceData!$F$7),"",ReferenceData!$F$7),"")</f>
        <v>189973</v>
      </c>
      <c r="G7">
        <f ca="1">IFERROR(IF(0=LEN(ReferenceData!$G$7),"",ReferenceData!$G$7),"")</f>
        <v>232039</v>
      </c>
      <c r="H7">
        <f ca="1">IFERROR(IF(0=LEN(ReferenceData!$H$7),"",ReferenceData!$H$7),"")</f>
        <v>206874</v>
      </c>
      <c r="I7">
        <f ca="1">IFERROR(IF(0=LEN(ReferenceData!$I$7),"",ReferenceData!$I$7),"")</f>
        <v>209589</v>
      </c>
      <c r="J7">
        <f ca="1">IFERROR(IF(0=LEN(ReferenceData!$J$7),"",ReferenceData!$J$7),"")</f>
        <v>176921</v>
      </c>
      <c r="K7">
        <f ca="1">IFERROR(IF(0=LEN(ReferenceData!$K$7),"",ReferenceData!$K$7),"")</f>
        <v>201226</v>
      </c>
      <c r="L7">
        <f ca="1">IFERROR(IF(0=LEN(ReferenceData!$L$7),"",ReferenceData!$L$7),"")</f>
        <v>183834</v>
      </c>
      <c r="M7">
        <f ca="1">IFERROR(IF(0=LEN(ReferenceData!$M$7),"",ReferenceData!$M$7),"")</f>
        <v>172889</v>
      </c>
      <c r="N7">
        <f ca="1">IFERROR(IF(0=LEN(ReferenceData!$N$7),"",ReferenceData!$N$7),"")</f>
        <v>156118</v>
      </c>
      <c r="O7">
        <f ca="1">IFERROR(IF(0=LEN(ReferenceData!$O$7),"",ReferenceData!$O$7),"")</f>
        <v>179775</v>
      </c>
      <c r="P7">
        <f ca="1">IFERROR(IF(0=LEN(ReferenceData!$P$7),"",ReferenceData!$P$7),"")</f>
        <v>163235</v>
      </c>
      <c r="Q7">
        <f ca="1">IFERROR(IF(0=LEN(ReferenceData!$Q$7),"",ReferenceData!$Q$7),"")</f>
        <v>148472</v>
      </c>
      <c r="R7">
        <f ca="1">IFERROR(IF(0=LEN(ReferenceData!$R$7),"",ReferenceData!$R$7),"")</f>
        <v>116953</v>
      </c>
      <c r="S7">
        <f ca="1">IFERROR(IF(0=LEN(ReferenceData!$S$7),"",ReferenceData!$S$7),"")</f>
        <v>122967</v>
      </c>
      <c r="T7">
        <f ca="1">IFERROR(IF(0=LEN(ReferenceData!$T$7),"",ReferenceData!$T$7),"")</f>
        <v>102792</v>
      </c>
      <c r="U7">
        <f ca="1">IFERROR(IF(0=LEN(ReferenceData!$U$7),"",ReferenceData!$U$7),"")</f>
        <v>109643</v>
      </c>
      <c r="V7">
        <f ca="1">IFERROR(IF(0=LEN(ReferenceData!$V$7),"",ReferenceData!$V$7),"")</f>
        <v>114945</v>
      </c>
      <c r="W7">
        <f ca="1">IFERROR(IF(0=LEN(ReferenceData!$W$7),"",ReferenceData!$W$7),"")</f>
        <v>117654</v>
      </c>
      <c r="X7">
        <f ca="1">IFERROR(IF(0=LEN(ReferenceData!$X$7),"",ReferenceData!$X$7),"")</f>
        <v>124145</v>
      </c>
      <c r="Y7">
        <f ca="1">IFERROR(IF(0=LEN(ReferenceData!$Y$7),"",ReferenceData!$Y$7),"")</f>
        <v>125846</v>
      </c>
      <c r="Z7">
        <f ca="1">IFERROR(IF(0=LEN(ReferenceData!$Z$7),"",ReferenceData!$Z$7),"")</f>
        <v>44478</v>
      </c>
      <c r="AA7">
        <f ca="1">IFERROR(IF(0=LEN(ReferenceData!$AA$7),"",ReferenceData!$AA$7),"")</f>
        <v>46731</v>
      </c>
      <c r="AB7">
        <f ca="1">IFERROR(IF(0=LEN(ReferenceData!$AB$7),"",ReferenceData!$AB$7),"")</f>
        <v>44476</v>
      </c>
      <c r="AC7">
        <f ca="1">IFERROR(IF(0=LEN(ReferenceData!$AC$7),"",ReferenceData!$AC$7),"")</f>
        <v>42144</v>
      </c>
      <c r="AD7">
        <f ca="1">IFERROR(IF(0=LEN(ReferenceData!$AD$7),"",ReferenceData!$AD$7),"")</f>
        <v>36738</v>
      </c>
      <c r="AE7">
        <f ca="1">IFERROR(IF(0=LEN(ReferenceData!$AE$7),"",ReferenceData!$AE$7),"")</f>
        <v>45469</v>
      </c>
      <c r="AF7">
        <f ca="1">IFERROR(IF(0=LEN(ReferenceData!$AF$7),"",ReferenceData!$AF$7),"")</f>
        <v>44675</v>
      </c>
      <c r="AG7">
        <f ca="1">IFERROR(IF(0=LEN(ReferenceData!$AG$7),"",ReferenceData!$AG$7),"")</f>
        <v>50000</v>
      </c>
      <c r="AH7" t="str">
        <f ca="1">IFERROR(IF(0=LEN(ReferenceData!$AH$7),"",ReferenceData!$AH$7),"")</f>
        <v/>
      </c>
      <c r="AI7">
        <f ca="1">IFERROR(IF(0=LEN(ReferenceData!$AI$7),"",ReferenceData!$AI$7),"")</f>
        <v>126649</v>
      </c>
      <c r="AJ7">
        <f ca="1">IFERROR(IF(0=LEN(ReferenceData!$AJ$7),"",ReferenceData!$AJ$7),"")</f>
        <v>55969</v>
      </c>
      <c r="AK7">
        <f ca="1">IFERROR(IF(0=LEN(ReferenceData!$AK$7),"",ReferenceData!$AK$7),"")</f>
        <v>63118</v>
      </c>
      <c r="AL7">
        <f ca="1">IFERROR(IF(0=LEN(ReferenceData!$AL$7),"",ReferenceData!$AL$7),"")</f>
        <v>63419</v>
      </c>
      <c r="AM7">
        <f ca="1">IFERROR(IF(0=LEN(ReferenceData!$AM$7),"",ReferenceData!$AM$7),"")</f>
        <v>55997</v>
      </c>
      <c r="AN7">
        <f ca="1">IFERROR(IF(0=LEN(ReferenceData!$AN$7),"",ReferenceData!$AN$7),"")</f>
        <v>59314</v>
      </c>
      <c r="AO7">
        <f ca="1">IFERROR(IF(0=LEN(ReferenceData!$AO$7),"",ReferenceData!$AO$7),"")</f>
        <v>64644</v>
      </c>
      <c r="AP7">
        <f ca="1">IFERROR(IF(0=LEN(ReferenceData!$AP$7),"",ReferenceData!$AP$7),"")</f>
        <v>62189</v>
      </c>
      <c r="AQ7">
        <f ca="1">IFERROR(IF(0=LEN(ReferenceData!$AQ$7),"",ReferenceData!$AQ$7),"")</f>
        <v>59139</v>
      </c>
      <c r="AR7">
        <f ca="1">IFERROR(IF(0=LEN(ReferenceData!$AR$7),"",ReferenceData!$AR$7),"")</f>
        <v>69424</v>
      </c>
      <c r="AS7">
        <f ca="1">IFERROR(IF(0=LEN(ReferenceData!$AS$7),"",ReferenceData!$AS$7),"")</f>
        <v>68976</v>
      </c>
      <c r="AT7">
        <f ca="1">IFERROR(IF(0=LEN(ReferenceData!$AT$7),"",ReferenceData!$AT$7),"")</f>
        <v>67294</v>
      </c>
      <c r="AU7">
        <f ca="1">IFERROR(IF(0=LEN(ReferenceData!$AU$7),"",ReferenceData!$AU$7),"")</f>
        <v>68095</v>
      </c>
      <c r="AV7">
        <f ca="1">IFERROR(IF(0=LEN(ReferenceData!$AV$7),"",ReferenceData!$AV$7),"")</f>
        <v>63514</v>
      </c>
      <c r="AW7">
        <f ca="1">IFERROR(IF(0=LEN(ReferenceData!$AW$7),"",ReferenceData!$AW$7),"")</f>
        <v>56965</v>
      </c>
      <c r="AX7">
        <f ca="1">IFERROR(IF(0=LEN(ReferenceData!$AX$7),"",ReferenceData!$AX$7),"")</f>
        <v>45808</v>
      </c>
      <c r="AY7">
        <f ca="1">IFERROR(IF(0=LEN(ReferenceData!$AY$7),"",ReferenceData!$AY$7),"")</f>
        <v>49259</v>
      </c>
      <c r="AZ7">
        <f ca="1">IFERROR(IF(0=LEN(ReferenceData!$AZ$7),"",ReferenceData!$AZ$7),"")</f>
        <v>56365</v>
      </c>
      <c r="BA7">
        <f ca="1">IFERROR(IF(0=LEN(ReferenceData!$BA$7),"",ReferenceData!$BA$7),"")</f>
        <v>54997</v>
      </c>
      <c r="BB7">
        <f ca="1">IFERROR(IF(0=LEN(ReferenceData!$BB$7),"",ReferenceData!$BB$7),"")</f>
        <v>48593</v>
      </c>
      <c r="BC7">
        <f ca="1">IFERROR(IF(0=LEN(ReferenceData!$BC$7),"",ReferenceData!$BC$7),"")</f>
        <v>46618</v>
      </c>
      <c r="BD7">
        <f ca="1">IFERROR(IF(0=LEN(ReferenceData!$BD$7),"",ReferenceData!$BD$7),"")</f>
        <v>53246</v>
      </c>
      <c r="BE7">
        <f ca="1">IFERROR(IF(0=LEN(ReferenceData!$BE$7),"",ReferenceData!$BE$7),"")</f>
        <v>58539</v>
      </c>
      <c r="BF7">
        <f ca="1">IFERROR(IF(0=LEN(ReferenceData!$BF$7),"",ReferenceData!$BF$7),"")</f>
        <v>57448</v>
      </c>
      <c r="BG7">
        <f ca="1">IFERROR(IF(0=LEN(ReferenceData!$BG$7),"",ReferenceData!$BG$7),"")</f>
        <v>66465</v>
      </c>
      <c r="BH7">
        <f ca="1">IFERROR(IF(0=LEN(ReferenceData!$BH$7),"",ReferenceData!$BH$7),"")</f>
        <v>163607</v>
      </c>
      <c r="BI7">
        <f ca="1">IFERROR(IF(0=LEN(ReferenceData!$BI$7),"",ReferenceData!$BI$7),"")</f>
        <v>148138</v>
      </c>
      <c r="BJ7">
        <f ca="1">IFERROR(IF(0=LEN(ReferenceData!$BJ$7),"",ReferenceData!$BJ$7),"")</f>
        <v>139790.41899999999</v>
      </c>
      <c r="BK7">
        <f ca="1">IFERROR(IF(0=LEN(ReferenceData!$BK$7),"",ReferenceData!$BK$7),"")</f>
        <v>179953</v>
      </c>
      <c r="BL7">
        <f ca="1">IFERROR(IF(0=LEN(ReferenceData!$BL$7),"",ReferenceData!$BL$7),"")</f>
        <v>162540</v>
      </c>
      <c r="BM7" t="str">
        <f ca="1">IFERROR(IF(0=LEN(ReferenceData!$BM$7),"",ReferenceData!$BM$7),"")</f>
        <v/>
      </c>
    </row>
    <row r="8" spans="1:65" x14ac:dyDescent="0.25">
      <c r="A8" t="str">
        <f>IFERROR(IF(0=LEN(ReferenceData!$A$8),"",ReferenceData!$A$8),"")</f>
        <v xml:space="preserve">    Barclays PLC</v>
      </c>
      <c r="B8" t="str">
        <f>IFERROR(IF(0=LEN(ReferenceData!$B$8),"",ReferenceData!$B$8),"")</f>
        <v>BARC LN Equity</v>
      </c>
      <c r="C8" t="str">
        <f>IFERROR(IF(0=LEN(ReferenceData!$C$8),"",ReferenceData!$C$8),"")</f>
        <v>BM105</v>
      </c>
      <c r="D8" t="str">
        <f>IFERROR(IF(0=LEN(ReferenceData!$D$8),"",ReferenceData!$D$8),"")</f>
        <v>BS_TRADING_ASSETS</v>
      </c>
      <c r="E8" t="str">
        <f>IFERROR(IF(0=LEN(ReferenceData!$E$8),"",ReferenceData!$E$8),"")</f>
        <v>Dynamic</v>
      </c>
      <c r="F8">
        <f ca="1">IFERROR(IF(0=LEN(ReferenceData!$F$8),"",ReferenceData!$F$8),"")</f>
        <v>201355.21369999999</v>
      </c>
      <c r="G8">
        <f ca="1">IFERROR(IF(0=LEN(ReferenceData!$G$8),"",ReferenceData!$G$8),"")</f>
        <v>225290.1686</v>
      </c>
      <c r="H8">
        <f ca="1">IFERROR(IF(0=LEN(ReferenceData!$H$8),"",ReferenceData!$H$8),"")</f>
        <v>232768.0526</v>
      </c>
      <c r="I8">
        <f ca="1">IFERROR(IF(0=LEN(ReferenceData!$I$8),"",ReferenceData!$I$8),"")</f>
        <v>228727.41130000001</v>
      </c>
      <c r="J8">
        <f ca="1">IFERROR(IF(0=LEN(ReferenceData!$J$8),"",ReferenceData!$J$8),"")</f>
        <v>201417.53570000001</v>
      </c>
      <c r="K8">
        <f ca="1">IFERROR(IF(0=LEN(ReferenceData!$K$8),"",ReferenceData!$K$8),"")</f>
        <v>179286.73130000001</v>
      </c>
      <c r="L8">
        <f ca="1">IFERROR(IF(0=LEN(ReferenceData!$L$8),"",ReferenceData!$L$8),"")</f>
        <v>193143.90400000001</v>
      </c>
      <c r="M8">
        <f ca="1">IFERROR(IF(0=LEN(ReferenceData!$M$8),"",ReferenceData!$M$8),"")</f>
        <v>156615.90169999999</v>
      </c>
      <c r="N8">
        <f ca="1">IFERROR(IF(0=LEN(ReferenceData!$N$8),"",ReferenceData!$N$8),"")</f>
        <v>151140.85279999999</v>
      </c>
      <c r="O8">
        <f ca="1">IFERROR(IF(0=LEN(ReferenceData!$O$8),"",ReferenceData!$O$8),"")</f>
        <v>143671.36060000001</v>
      </c>
      <c r="P8">
        <f ca="1">IFERROR(IF(0=LEN(ReferenceData!$P$8),"",ReferenceData!$P$8),"")</f>
        <v>147527.20670000001</v>
      </c>
      <c r="Q8">
        <f ca="1">IFERROR(IF(0=LEN(ReferenceData!$Q$8),"",ReferenceData!$Q$8),"")</f>
        <v>159119.19440000001</v>
      </c>
      <c r="R8">
        <f ca="1">IFERROR(IF(0=LEN(ReferenceData!$R$8),"",ReferenceData!$R$8),"")</f>
        <v>174786.46799999999</v>
      </c>
      <c r="S8">
        <f ca="1">IFERROR(IF(0=LEN(ReferenceData!$S$8),"",ReferenceData!$S$8),"")</f>
        <v>168621.39019999999</v>
      </c>
      <c r="T8">
        <f ca="1">IFERROR(IF(0=LEN(ReferenceData!$T$8),"",ReferenceData!$T$8),"")</f>
        <v>171482.67360000001</v>
      </c>
      <c r="U8">
        <f ca="1">IFERROR(IF(0=LEN(ReferenceData!$U$8),"",ReferenceData!$U$8),"")</f>
        <v>154120.74890000001</v>
      </c>
      <c r="V8">
        <f ca="1">IFERROR(IF(0=LEN(ReferenceData!$V$8),"",ReferenceData!$V$8),"")</f>
        <v>142874.88339999999</v>
      </c>
      <c r="W8">
        <f ca="1">IFERROR(IF(0=LEN(ReferenceData!$W$8),"",ReferenceData!$W$8),"")</f>
        <v>135191.01269999999</v>
      </c>
      <c r="X8">
        <f ca="1">IFERROR(IF(0=LEN(ReferenceData!$X$8),"",ReferenceData!$X$8),"")</f>
        <v>121182.7357</v>
      </c>
      <c r="Y8">
        <f ca="1">IFERROR(IF(0=LEN(ReferenceData!$Y$8),"",ReferenceData!$Y$8),"")</f>
        <v>115267.15889999999</v>
      </c>
      <c r="Z8">
        <f ca="1">IFERROR(IF(0=LEN(ReferenceData!$Z$8),"",ReferenceData!$Z$8),"")</f>
        <v>134880.0681</v>
      </c>
      <c r="AA8">
        <f ca="1">IFERROR(IF(0=LEN(ReferenceData!$AA$8),"",ReferenceData!$AA$8),"")</f>
        <v>135818.9847</v>
      </c>
      <c r="AB8">
        <f ca="1">IFERROR(IF(0=LEN(ReferenceData!$AB$8),"",ReferenceData!$AB$8),"")</f>
        <v>134539.73019999999</v>
      </c>
      <c r="AC8">
        <f ca="1">IFERROR(IF(0=LEN(ReferenceData!$AC$8),"",ReferenceData!$AC$8),"")</f>
        <v>136043.80799999999</v>
      </c>
      <c r="AD8">
        <f ca="1">IFERROR(IF(0=LEN(ReferenceData!$AD$8),"",ReferenceData!$AD$8),"")</f>
        <v>115959.4396</v>
      </c>
      <c r="AE8">
        <f ca="1">IFERROR(IF(0=LEN(ReferenceData!$AE$8),"",ReferenceData!$AE$8),"")</f>
        <v>139917.95379999999</v>
      </c>
      <c r="AF8">
        <f ca="1">IFERROR(IF(0=LEN(ReferenceData!$AF$8),"",ReferenceData!$AF$8),"")</f>
        <v>131675.60019999999</v>
      </c>
      <c r="AG8">
        <f ca="1">IFERROR(IF(0=LEN(ReferenceData!$AG$8),"",ReferenceData!$AG$8),"")</f>
        <v>131857.2115</v>
      </c>
      <c r="AH8">
        <f ca="1">IFERROR(IF(0=LEN(ReferenceData!$AH$8),"",ReferenceData!$AH$8),"")</f>
        <v>127972.90300000001</v>
      </c>
      <c r="AI8">
        <f ca="1">IFERROR(IF(0=LEN(ReferenceData!$AI$8),"",ReferenceData!$AI$8),"")</f>
        <v>104926.5543</v>
      </c>
      <c r="AJ8">
        <f ca="1">IFERROR(IF(0=LEN(ReferenceData!$AJ$8),"",ReferenceData!$AJ$8),"")</f>
        <v>103373.3097</v>
      </c>
      <c r="AK8">
        <f ca="1">IFERROR(IF(0=LEN(ReferenceData!$AK$8),"",ReferenceData!$AK$8),"")</f>
        <v>105956.86079999999</v>
      </c>
      <c r="AL8">
        <f ca="1">IFERROR(IF(0=LEN(ReferenceData!$AL$8),"",ReferenceData!$AL$8),"")</f>
        <v>93918.915330000003</v>
      </c>
      <c r="AM8">
        <f ca="1">IFERROR(IF(0=LEN(ReferenceData!$AM$8),"",ReferenceData!$AM$8),"")</f>
        <v>93014.814750000005</v>
      </c>
      <c r="AN8">
        <f ca="1">IFERROR(IF(0=LEN(ReferenceData!$AN$8),"",ReferenceData!$AN$8),"")</f>
        <v>91716.113429999998</v>
      </c>
      <c r="AO8">
        <f ca="1">IFERROR(IF(0=LEN(ReferenceData!$AO$8),"",ReferenceData!$AO$8),"")</f>
        <v>95551.067569999999</v>
      </c>
      <c r="AP8">
        <f ca="1">IFERROR(IF(0=LEN(ReferenceData!$AP$8),"",ReferenceData!$AP$8),"")</f>
        <v>104881.781</v>
      </c>
      <c r="AQ8">
        <f ca="1">IFERROR(IF(0=LEN(ReferenceData!$AQ$8),"",ReferenceData!$AQ$8),"")</f>
        <v>129040.1531</v>
      </c>
      <c r="AR8">
        <f ca="1">IFERROR(IF(0=LEN(ReferenceData!$AR$8),"",ReferenceData!$AR$8),"")</f>
        <v>138241.26240000001</v>
      </c>
      <c r="AS8">
        <f ca="1">IFERROR(IF(0=LEN(ReferenceData!$AS$8),"",ReferenceData!$AS$8),"")</f>
        <v>164093.46040000001</v>
      </c>
      <c r="AT8">
        <f ca="1">IFERROR(IF(0=LEN(ReferenceData!$AT$8),"",ReferenceData!$AT$8),"")</f>
        <v>147719.46919999999</v>
      </c>
      <c r="AU8">
        <f ca="1">IFERROR(IF(0=LEN(ReferenceData!$AU$8),"",ReferenceData!$AU$8),"")</f>
        <v>157077.33559999999</v>
      </c>
      <c r="AV8">
        <f ca="1">IFERROR(IF(0=LEN(ReferenceData!$AV$8),"",ReferenceData!$AV$8),"")</f>
        <v>160916.2034</v>
      </c>
      <c r="AW8">
        <f ca="1">IFERROR(IF(0=LEN(ReferenceData!$AW$8),"",ReferenceData!$AW$8),"")</f>
        <v>162702.73370000001</v>
      </c>
      <c r="AX8">
        <f ca="1">IFERROR(IF(0=LEN(ReferenceData!$AX$8),"",ReferenceData!$AX$8),"")</f>
        <v>159868.08720000001</v>
      </c>
      <c r="AY8">
        <f ca="1">IFERROR(IF(0=LEN(ReferenceData!$AY$8),"",ReferenceData!$AY$8),"")</f>
        <v>174417.84090000001</v>
      </c>
      <c r="AZ8">
        <f ca="1">IFERROR(IF(0=LEN(ReferenceData!$AZ$8),"",ReferenceData!$AZ$8),"")</f>
        <v>177457.24609999999</v>
      </c>
      <c r="BA8">
        <f ca="1">IFERROR(IF(0=LEN(ReferenceData!$BA$8),"",ReferenceData!$BA$8),"")</f>
        <v>199482.52979999999</v>
      </c>
      <c r="BB8">
        <f ca="1">IFERROR(IF(0=LEN(ReferenceData!$BB$8),"",ReferenceData!$BB$8),"")</f>
        <v>180120.42009999999</v>
      </c>
      <c r="BC8">
        <f ca="1">IFERROR(IF(0=LEN(ReferenceData!$BC$8),"",ReferenceData!$BC$8),"")</f>
        <v>201876.1194</v>
      </c>
      <c r="BD8">
        <f ca="1">IFERROR(IF(0=LEN(ReferenceData!$BD$8),"",ReferenceData!$BD$8),"")</f>
        <v>207571.122</v>
      </c>
      <c r="BE8" t="str">
        <f ca="1">IFERROR(IF(0=LEN(ReferenceData!$BE$8),"",ReferenceData!$BE$8),"")</f>
        <v/>
      </c>
      <c r="BF8">
        <f ca="1">IFERROR(IF(0=LEN(ReferenceData!$BF$8),"",ReferenceData!$BF$8),"")</f>
        <v>179022.44529999999</v>
      </c>
      <c r="BG8" t="str">
        <f ca="1">IFERROR(IF(0=LEN(ReferenceData!$BG$8),"",ReferenceData!$BG$8),"")</f>
        <v/>
      </c>
      <c r="BH8" t="str">
        <f ca="1">IFERROR(IF(0=LEN(ReferenceData!$BH$8),"",ReferenceData!$BH$8),"")</f>
        <v/>
      </c>
      <c r="BI8" t="str">
        <f ca="1">IFERROR(IF(0=LEN(ReferenceData!$BI$8),"",ReferenceData!$BI$8),"")</f>
        <v/>
      </c>
      <c r="BJ8">
        <f ca="1">IFERROR(IF(0=LEN(ReferenceData!$BJ$8),"",ReferenceData!$BJ$8),"")</f>
        <v>196977.80910000001</v>
      </c>
      <c r="BK8" t="str">
        <f ca="1">IFERROR(IF(0=LEN(ReferenceData!$BK$8),"",ReferenceData!$BK$8),"")</f>
        <v/>
      </c>
      <c r="BL8">
        <f ca="1">IFERROR(IF(0=LEN(ReferenceData!$BL$8),"",ReferenceData!$BL$8),"")</f>
        <v>203904.2936</v>
      </c>
      <c r="BM8" t="str">
        <f ca="1">IFERROR(IF(0=LEN(ReferenceData!$BM$8),"",ReferenceData!$BM$8),"")</f>
        <v/>
      </c>
    </row>
    <row r="9" spans="1:65" x14ac:dyDescent="0.25">
      <c r="A9" t="str">
        <f>IFERROR(IF(0=LEN(ReferenceData!$A$9),"",ReferenceData!$A$9),"")</f>
        <v xml:space="preserve">    BAWAG Group AG</v>
      </c>
      <c r="B9" t="str">
        <f>IFERROR(IF(0=LEN(ReferenceData!$B$9),"",ReferenceData!$B$9),"")</f>
        <v>BG AV Equity</v>
      </c>
      <c r="C9" t="str">
        <f>IFERROR(IF(0=LEN(ReferenceData!$C$9),"",ReferenceData!$C$9),"")</f>
        <v>BM105</v>
      </c>
      <c r="D9" t="str">
        <f>IFERROR(IF(0=LEN(ReferenceData!$D$9),"",ReferenceData!$D$9),"")</f>
        <v>BS_TRADING_ASSETS</v>
      </c>
      <c r="E9" t="str">
        <f>IFERROR(IF(0=LEN(ReferenceData!$E$9),"",ReferenceData!$E$9),"")</f>
        <v>Dynamic</v>
      </c>
      <c r="F9" t="str">
        <f ca="1">IFERROR(IF(0=LEN(ReferenceData!$F$9),"",ReferenceData!$F$9),"")</f>
        <v/>
      </c>
      <c r="G9" t="str">
        <f ca="1">IFERROR(IF(0=LEN(ReferenceData!$G$9),"",ReferenceData!$G$9),"")</f>
        <v/>
      </c>
      <c r="H9">
        <f ca="1">IFERROR(IF(0=LEN(ReferenceData!$H$9),"",ReferenceData!$H$9),"")</f>
        <v>58</v>
      </c>
      <c r="I9" t="str">
        <f ca="1">IFERROR(IF(0=LEN(ReferenceData!$I$9),"",ReferenceData!$I$9),"")</f>
        <v/>
      </c>
      <c r="J9" t="str">
        <f ca="1">IFERROR(IF(0=LEN(ReferenceData!$J$9),"",ReferenceData!$J$9),"")</f>
        <v/>
      </c>
      <c r="K9" t="str">
        <f ca="1">IFERROR(IF(0=LEN(ReferenceData!$K$9),"",ReferenceData!$K$9),"")</f>
        <v/>
      </c>
      <c r="L9">
        <f ca="1">IFERROR(IF(0=LEN(ReferenceData!$L$9),"",ReferenceData!$L$9),"")</f>
        <v>123</v>
      </c>
      <c r="M9" t="str">
        <f ca="1">IFERROR(IF(0=LEN(ReferenceData!$M$9),"",ReferenceData!$M$9),"")</f>
        <v/>
      </c>
      <c r="N9" t="str">
        <f ca="1">IFERROR(IF(0=LEN(ReferenceData!$N$9),"",ReferenceData!$N$9),"")</f>
        <v/>
      </c>
      <c r="O9">
        <f ca="1">IFERROR(IF(0=LEN(ReferenceData!$O$9),"",ReferenceData!$O$9),"")</f>
        <v>156</v>
      </c>
      <c r="P9" t="str">
        <f ca="1">IFERROR(IF(0=LEN(ReferenceData!$P$9),"",ReferenceData!$P$9),"")</f>
        <v/>
      </c>
      <c r="Q9">
        <f ca="1">IFERROR(IF(0=LEN(ReferenceData!$Q$9),"",ReferenceData!$Q$9),"")</f>
        <v>184</v>
      </c>
      <c r="R9">
        <f ca="1">IFERROR(IF(0=LEN(ReferenceData!$R$9),"",ReferenceData!$R$9),"")</f>
        <v>257</v>
      </c>
      <c r="S9">
        <f ca="1">IFERROR(IF(0=LEN(ReferenceData!$S$9),"",ReferenceData!$S$9),"")</f>
        <v>296</v>
      </c>
      <c r="T9">
        <f ca="1">IFERROR(IF(0=LEN(ReferenceData!$T$9),"",ReferenceData!$T$9),"")</f>
        <v>284</v>
      </c>
      <c r="U9">
        <f ca="1">IFERROR(IF(0=LEN(ReferenceData!$U$9),"",ReferenceData!$U$9),"")</f>
        <v>322</v>
      </c>
      <c r="V9">
        <f ca="1">IFERROR(IF(0=LEN(ReferenceData!$V$9),"",ReferenceData!$V$9),"")</f>
        <v>441</v>
      </c>
      <c r="W9" t="str">
        <f ca="1">IFERROR(IF(0=LEN(ReferenceData!$W$9),"",ReferenceData!$W$9),"")</f>
        <v/>
      </c>
      <c r="X9" t="str">
        <f ca="1">IFERROR(IF(0=LEN(ReferenceData!$X$9),"",ReferenceData!$X$9),"")</f>
        <v/>
      </c>
      <c r="Y9" t="str">
        <f ca="1">IFERROR(IF(0=LEN(ReferenceData!$Y$9),"",ReferenceData!$Y$9),"")</f>
        <v/>
      </c>
      <c r="Z9" t="str">
        <f ca="1">IFERROR(IF(0=LEN(ReferenceData!$Z$9),"",ReferenceData!$Z$9),"")</f>
        <v/>
      </c>
      <c r="AA9">
        <f ca="1">IFERROR(IF(0=LEN(ReferenceData!$AA$9),"",ReferenceData!$AA$9),"")</f>
        <v>451</v>
      </c>
      <c r="AB9" t="str">
        <f ca="1">IFERROR(IF(0=LEN(ReferenceData!$AB$9),"",ReferenceData!$AB$9),"")</f>
        <v/>
      </c>
      <c r="AC9" t="str">
        <f ca="1">IFERROR(IF(0=LEN(ReferenceData!$AC$9),"",ReferenceData!$AC$9),"")</f>
        <v/>
      </c>
      <c r="AD9" t="str">
        <f ca="1">IFERROR(IF(0=LEN(ReferenceData!$AD$9),"",ReferenceData!$AD$9),"")</f>
        <v/>
      </c>
      <c r="AE9">
        <f ca="1">IFERROR(IF(0=LEN(ReferenceData!$AE$9),"",ReferenceData!$AE$9),"")</f>
        <v>360</v>
      </c>
      <c r="AF9">
        <f ca="1">IFERROR(IF(0=LEN(ReferenceData!$AF$9),"",ReferenceData!$AF$9),"")</f>
        <v>393</v>
      </c>
      <c r="AG9">
        <f ca="1">IFERROR(IF(0=LEN(ReferenceData!$AG$9),"",ReferenceData!$AG$9),"")</f>
        <v>409</v>
      </c>
      <c r="AH9">
        <f ca="1">IFERROR(IF(0=LEN(ReferenceData!$AH$9),"",ReferenceData!$AH$9),"")</f>
        <v>458</v>
      </c>
      <c r="AI9">
        <f ca="1">IFERROR(IF(0=LEN(ReferenceData!$AI$9),"",ReferenceData!$AI$9),"")</f>
        <v>434</v>
      </c>
      <c r="AJ9">
        <f ca="1">IFERROR(IF(0=LEN(ReferenceData!$AJ$9),"",ReferenceData!$AJ$9),"")</f>
        <v>510</v>
      </c>
      <c r="AK9">
        <f ca="1">IFERROR(IF(0=LEN(ReferenceData!$AK$9),"",ReferenceData!$AK$9),"")</f>
        <v>546</v>
      </c>
      <c r="AL9">
        <f ca="1">IFERROR(IF(0=LEN(ReferenceData!$AL$9),"",ReferenceData!$AL$9),"")</f>
        <v>652</v>
      </c>
      <c r="AM9" t="str">
        <f ca="1">IFERROR(IF(0=LEN(ReferenceData!$AM$9),"",ReferenceData!$AM$9),"")</f>
        <v/>
      </c>
      <c r="AN9">
        <f ca="1">IFERROR(IF(0=LEN(ReferenceData!$AN$9),"",ReferenceData!$AN$9),"")</f>
        <v>1036</v>
      </c>
      <c r="AO9">
        <f ca="1">IFERROR(IF(0=LEN(ReferenceData!$AO$9),"",ReferenceData!$AO$9),"")</f>
        <v>1119</v>
      </c>
      <c r="AP9" t="str">
        <f ca="1">IFERROR(IF(0=LEN(ReferenceData!$AP$9),"",ReferenceData!$AP$9),"")</f>
        <v/>
      </c>
      <c r="AQ9" t="str">
        <f ca="1">IFERROR(IF(0=LEN(ReferenceData!$AQ$9),"",ReferenceData!$AQ$9),"")</f>
        <v/>
      </c>
      <c r="AR9" t="str">
        <f ca="1">IFERROR(IF(0=LEN(ReferenceData!$AR$9),"",ReferenceData!$AR$9),"")</f>
        <v/>
      </c>
      <c r="AS9" t="str">
        <f ca="1">IFERROR(IF(0=LEN(ReferenceData!$AS$9),"",ReferenceData!$AS$9),"")</f>
        <v/>
      </c>
      <c r="AT9" t="str">
        <f ca="1">IFERROR(IF(0=LEN(ReferenceData!$AT$9),"",ReferenceData!$AT$9),"")</f>
        <v/>
      </c>
      <c r="AU9" t="str">
        <f ca="1">IFERROR(IF(0=LEN(ReferenceData!$AU$9),"",ReferenceData!$AU$9),"")</f>
        <v/>
      </c>
      <c r="AV9" t="str">
        <f ca="1">IFERROR(IF(0=LEN(ReferenceData!$AV$9),"",ReferenceData!$AV$9),"")</f>
        <v/>
      </c>
      <c r="AW9" t="str">
        <f ca="1">IFERROR(IF(0=LEN(ReferenceData!$AW$9),"",ReferenceData!$AW$9),"")</f>
        <v/>
      </c>
      <c r="AX9" t="str">
        <f ca="1">IFERROR(IF(0=LEN(ReferenceData!$AX$9),"",ReferenceData!$AX$9),"")</f>
        <v/>
      </c>
      <c r="AY9" t="str">
        <f ca="1">IFERROR(IF(0=LEN(ReferenceData!$AY$9),"",ReferenceData!$AY$9),"")</f>
        <v/>
      </c>
      <c r="AZ9" t="str">
        <f ca="1">IFERROR(IF(0=LEN(ReferenceData!$AZ$9),"",ReferenceData!$AZ$9),"")</f>
        <v/>
      </c>
      <c r="BA9" t="str">
        <f ca="1">IFERROR(IF(0=LEN(ReferenceData!$BA$9),"",ReferenceData!$BA$9),"")</f>
        <v/>
      </c>
      <c r="BB9" t="str">
        <f ca="1">IFERROR(IF(0=LEN(ReferenceData!$BB$9),"",ReferenceData!$BB$9),"")</f>
        <v/>
      </c>
      <c r="BC9" t="str">
        <f ca="1">IFERROR(IF(0=LEN(ReferenceData!$BC$9),"",ReferenceData!$BC$9),"")</f>
        <v/>
      </c>
      <c r="BD9" t="str">
        <f ca="1">IFERROR(IF(0=LEN(ReferenceData!$BD$9),"",ReferenceData!$BD$9),"")</f>
        <v/>
      </c>
      <c r="BE9" t="str">
        <f ca="1">IFERROR(IF(0=LEN(ReferenceData!$BE$9),"",ReferenceData!$BE$9),"")</f>
        <v/>
      </c>
      <c r="BF9" t="str">
        <f ca="1">IFERROR(IF(0=LEN(ReferenceData!$BF$9),"",ReferenceData!$BF$9),"")</f>
        <v/>
      </c>
      <c r="BG9" t="str">
        <f ca="1">IFERROR(IF(0=LEN(ReferenceData!$BG$9),"",ReferenceData!$BG$9),"")</f>
        <v/>
      </c>
      <c r="BH9" t="str">
        <f ca="1">IFERROR(IF(0=LEN(ReferenceData!$BH$9),"",ReferenceData!$BH$9),"")</f>
        <v/>
      </c>
      <c r="BI9" t="str">
        <f ca="1">IFERROR(IF(0=LEN(ReferenceData!$BI$9),"",ReferenceData!$BI$9),"")</f>
        <v/>
      </c>
      <c r="BJ9" t="str">
        <f ca="1">IFERROR(IF(0=LEN(ReferenceData!$BJ$9),"",ReferenceData!$BJ$9),"")</f>
        <v/>
      </c>
      <c r="BK9" t="str">
        <f ca="1">IFERROR(IF(0=LEN(ReferenceData!$BK$9),"",ReferenceData!$BK$9),"")</f>
        <v/>
      </c>
      <c r="BL9" t="str">
        <f ca="1">IFERROR(IF(0=LEN(ReferenceData!$BL$9),"",ReferenceData!$BL$9),"")</f>
        <v/>
      </c>
      <c r="BM9" t="str">
        <f ca="1">IFERROR(IF(0=LEN(ReferenceData!$BM$9),"",ReferenceData!$BM$9),"")</f>
        <v/>
      </c>
    </row>
    <row r="10" spans="1:65" x14ac:dyDescent="0.25">
      <c r="A10" t="str">
        <f>IFERROR(IF(0=LEN(ReferenceData!$A$10),"",ReferenceData!$A$10),"")</f>
        <v xml:space="preserve">    BNP Paribas SA</v>
      </c>
      <c r="B10" t="str">
        <f>IFERROR(IF(0=LEN(ReferenceData!$B$10),"",ReferenceData!$B$10),"")</f>
        <v>BNP FP Equity</v>
      </c>
      <c r="C10" t="str">
        <f>IFERROR(IF(0=LEN(ReferenceData!$C$10),"",ReferenceData!$C$10),"")</f>
        <v>BM105</v>
      </c>
      <c r="D10" t="str">
        <f>IFERROR(IF(0=LEN(ReferenceData!$D$10),"",ReferenceData!$D$10),"")</f>
        <v>BS_TRADING_ASSETS</v>
      </c>
      <c r="E10" t="str">
        <f>IFERROR(IF(0=LEN(ReferenceData!$E$10),"",ReferenceData!$E$10),"")</f>
        <v>Dynamic</v>
      </c>
      <c r="F10">
        <f ca="1">IFERROR(IF(0=LEN(ReferenceData!$F$10),"",ReferenceData!$F$10),"")</f>
        <v>493056</v>
      </c>
      <c r="G10">
        <f ca="1">IFERROR(IF(0=LEN(ReferenceData!$G$10),"",ReferenceData!$G$10),"")</f>
        <v>597597</v>
      </c>
      <c r="H10">
        <f ca="1">IFERROR(IF(0=LEN(ReferenceData!$H$10),"",ReferenceData!$H$10),"")</f>
        <v>583461</v>
      </c>
      <c r="I10">
        <f ca="1">IFERROR(IF(0=LEN(ReferenceData!$I$10),"",ReferenceData!$I$10),"")</f>
        <v>596149</v>
      </c>
      <c r="J10">
        <f ca="1">IFERROR(IF(0=LEN(ReferenceData!$J$10),"",ReferenceData!$J$10),"")</f>
        <v>438809</v>
      </c>
      <c r="K10">
        <f ca="1">IFERROR(IF(0=LEN(ReferenceData!$K$10),"",ReferenceData!$K$10),"")</f>
        <v>540161</v>
      </c>
      <c r="L10">
        <f ca="1">IFERROR(IF(0=LEN(ReferenceData!$L$10),"",ReferenceData!$L$10),"")</f>
        <v>506693</v>
      </c>
      <c r="M10">
        <f ca="1">IFERROR(IF(0=LEN(ReferenceData!$M$10),"",ReferenceData!$M$10),"")</f>
        <v>518945</v>
      </c>
      <c r="N10">
        <f ca="1">IFERROR(IF(0=LEN(ReferenceData!$N$10),"",ReferenceData!$N$10),"")</f>
        <v>357202</v>
      </c>
      <c r="O10">
        <f ca="1">IFERROR(IF(0=LEN(ReferenceData!$O$10),"",ReferenceData!$O$10),"")</f>
        <v>463252</v>
      </c>
      <c r="P10">
        <f ca="1">IFERROR(IF(0=LEN(ReferenceData!$P$10),"",ReferenceData!$P$10),"")</f>
        <v>507413</v>
      </c>
      <c r="Q10">
        <f ca="1">IFERROR(IF(0=LEN(ReferenceData!$Q$10),"",ReferenceData!$Q$10),"")</f>
        <v>543475</v>
      </c>
      <c r="R10">
        <f ca="1">IFERROR(IF(0=LEN(ReferenceData!$R$10),"",ReferenceData!$R$10),"")</f>
        <v>441315</v>
      </c>
      <c r="S10">
        <f ca="1">IFERROR(IF(0=LEN(ReferenceData!$S$10),"",ReferenceData!$S$10),"")</f>
        <v>563099</v>
      </c>
      <c r="T10">
        <f ca="1">IFERROR(IF(0=LEN(ReferenceData!$T$10),"",ReferenceData!$T$10),"")</f>
        <v>550736</v>
      </c>
      <c r="U10">
        <f ca="1">IFERROR(IF(0=LEN(ReferenceData!$U$10),"",ReferenceData!$U$10),"")</f>
        <v>574676</v>
      </c>
      <c r="V10">
        <f ca="1">IFERROR(IF(0=LEN(ReferenceData!$V$10),"",ReferenceData!$V$10),"")</f>
        <v>412805</v>
      </c>
      <c r="W10">
        <f ca="1">IFERROR(IF(0=LEN(ReferenceData!$W$10),"",ReferenceData!$W$10),"")</f>
        <v>508052</v>
      </c>
      <c r="X10">
        <f ca="1">IFERROR(IF(0=LEN(ReferenceData!$X$10),"",ReferenceData!$X$10),"")</f>
        <v>513544</v>
      </c>
      <c r="Y10">
        <f ca="1">IFERROR(IF(0=LEN(ReferenceData!$Y$10),"",ReferenceData!$Y$10),"")</f>
        <v>569545</v>
      </c>
      <c r="Z10">
        <f ca="1">IFERROR(IF(0=LEN(ReferenceData!$Z$10),"",ReferenceData!$Z$10),"")</f>
        <v>328862</v>
      </c>
      <c r="AA10">
        <f ca="1">IFERROR(IF(0=LEN(ReferenceData!$AA$10),"",ReferenceData!$AA$10),"")</f>
        <v>582018</v>
      </c>
      <c r="AB10">
        <f ca="1">IFERROR(IF(0=LEN(ReferenceData!$AB$10),"",ReferenceData!$AB$10),"")</f>
        <v>514640</v>
      </c>
      <c r="AC10">
        <f ca="1">IFERROR(IF(0=LEN(ReferenceData!$AC$10),"",ReferenceData!$AC$10),"")</f>
        <v>477241</v>
      </c>
      <c r="AD10">
        <f ca="1">IFERROR(IF(0=LEN(ReferenceData!$AD$10),"",ReferenceData!$AD$10),"")</f>
        <v>305670</v>
      </c>
      <c r="AE10">
        <f ca="1">IFERROR(IF(0=LEN(ReferenceData!$AE$10),"",ReferenceData!$AE$10),"")</f>
        <v>193411</v>
      </c>
      <c r="AF10">
        <f ca="1">IFERROR(IF(0=LEN(ReferenceData!$AF$10),"",ReferenceData!$AF$10),"")</f>
        <v>468461</v>
      </c>
      <c r="AG10">
        <f ca="1">IFERROR(IF(0=LEN(ReferenceData!$AG$10),"",ReferenceData!$AG$10),"")</f>
        <v>434705</v>
      </c>
      <c r="AH10">
        <f ca="1">IFERROR(IF(0=LEN(ReferenceData!$AH$10),"",ReferenceData!$AH$10),"")</f>
        <v>275274</v>
      </c>
      <c r="AI10">
        <f ca="1">IFERROR(IF(0=LEN(ReferenceData!$AI$10),"",ReferenceData!$AI$10),"")</f>
        <v>178034</v>
      </c>
      <c r="AJ10">
        <f ca="1">IFERROR(IF(0=LEN(ReferenceData!$AJ$10),"",ReferenceData!$AJ$10),"")</f>
        <v>340930</v>
      </c>
      <c r="AK10">
        <f ca="1">IFERROR(IF(0=LEN(ReferenceData!$AK$10),"",ReferenceData!$AK$10),"")</f>
        <v>365766</v>
      </c>
      <c r="AL10">
        <f ca="1">IFERROR(IF(0=LEN(ReferenceData!$AL$10),"",ReferenceData!$AL$10),"")</f>
        <v>275921</v>
      </c>
      <c r="AM10">
        <f ca="1">IFERROR(IF(0=LEN(ReferenceData!$AM$10),"",ReferenceData!$AM$10),"")</f>
        <v>348477</v>
      </c>
      <c r="AN10">
        <f ca="1">IFERROR(IF(0=LEN(ReferenceData!$AN$10),"",ReferenceData!$AN$10),"")</f>
        <v>323431</v>
      </c>
      <c r="AO10">
        <f ca="1">IFERROR(IF(0=LEN(ReferenceData!$AO$10),"",ReferenceData!$AO$10),"")</f>
        <v>324040</v>
      </c>
      <c r="AP10">
        <f ca="1">IFERROR(IF(0=LEN(ReferenceData!$AP$10),"",ReferenceData!$AP$10),"")</f>
        <v>265283</v>
      </c>
      <c r="AQ10">
        <f ca="1">IFERROR(IF(0=LEN(ReferenceData!$AQ$10),"",ReferenceData!$AQ$10),"")</f>
        <v>384634</v>
      </c>
      <c r="AR10">
        <f ca="1">IFERROR(IF(0=LEN(ReferenceData!$AR$10),"",ReferenceData!$AR$10),"")</f>
        <v>386079</v>
      </c>
      <c r="AS10">
        <f ca="1">IFERROR(IF(0=LEN(ReferenceData!$AS$10),"",ReferenceData!$AS$10),"")</f>
        <v>478708</v>
      </c>
      <c r="AT10">
        <f ca="1">IFERROR(IF(0=LEN(ReferenceData!$AT$10),"",ReferenceData!$AT$10),"")</f>
        <v>322322</v>
      </c>
      <c r="AU10">
        <f ca="1">IFERROR(IF(0=LEN(ReferenceData!$AU$10),"",ReferenceData!$AU$10),"")</f>
        <v>395001</v>
      </c>
      <c r="AV10">
        <f ca="1">IFERROR(IF(0=LEN(ReferenceData!$AV$10),"",ReferenceData!$AV$10),"")</f>
        <v>361777</v>
      </c>
      <c r="AW10">
        <f ca="1">IFERROR(IF(0=LEN(ReferenceData!$AW$10),"",ReferenceData!$AW$10),"")</f>
        <v>354316</v>
      </c>
      <c r="AX10">
        <f ca="1">IFERROR(IF(0=LEN(ReferenceData!$AX$10),"",ReferenceData!$AX$10),"")</f>
        <v>683711</v>
      </c>
      <c r="AY10">
        <f ca="1">IFERROR(IF(0=LEN(ReferenceData!$AY$10),"",ReferenceData!$AY$10),"")</f>
        <v>341107</v>
      </c>
      <c r="AZ10" t="str">
        <f ca="1">IFERROR(IF(0=LEN(ReferenceData!$AZ$10),"",ReferenceData!$AZ$10),"")</f>
        <v/>
      </c>
      <c r="BA10">
        <f ca="1">IFERROR(IF(0=LEN(ReferenceData!$BA$10),"",ReferenceData!$BA$10),"")</f>
        <v>336931</v>
      </c>
      <c r="BB10">
        <f ca="1">IFERROR(IF(0=LEN(ReferenceData!$BB$10),"",ReferenceData!$BB$10),"")</f>
        <v>763799</v>
      </c>
      <c r="BC10">
        <f ca="1">IFERROR(IF(0=LEN(ReferenceData!$BC$10),"",ReferenceData!$BC$10),"")</f>
        <v>797284</v>
      </c>
      <c r="BD10" t="str">
        <f ca="1">IFERROR(IF(0=LEN(ReferenceData!$BD$10),"",ReferenceData!$BD$10),"")</f>
        <v/>
      </c>
      <c r="BE10" t="str">
        <f ca="1">IFERROR(IF(0=LEN(ReferenceData!$BE$10),"",ReferenceData!$BE$10),"")</f>
        <v/>
      </c>
      <c r="BF10" t="str">
        <f ca="1">IFERROR(IF(0=LEN(ReferenceData!$BF$10),"",ReferenceData!$BF$10),"")</f>
        <v/>
      </c>
      <c r="BG10" t="str">
        <f ca="1">IFERROR(IF(0=LEN(ReferenceData!$BG$10),"",ReferenceData!$BG$10),"")</f>
        <v/>
      </c>
      <c r="BH10" t="str">
        <f ca="1">IFERROR(IF(0=LEN(ReferenceData!$BH$10),"",ReferenceData!$BH$10),"")</f>
        <v/>
      </c>
      <c r="BI10" t="str">
        <f ca="1">IFERROR(IF(0=LEN(ReferenceData!$BI$10),"",ReferenceData!$BI$10),"")</f>
        <v/>
      </c>
      <c r="BJ10">
        <f ca="1">IFERROR(IF(0=LEN(ReferenceData!$BJ$10),"",ReferenceData!$BJ$10),"")</f>
        <v>832945</v>
      </c>
      <c r="BK10" t="str">
        <f ca="1">IFERROR(IF(0=LEN(ReferenceData!$BK$10),"",ReferenceData!$BK$10),"")</f>
        <v/>
      </c>
      <c r="BL10" t="str">
        <f ca="1">IFERROR(IF(0=LEN(ReferenceData!$BL$10),"",ReferenceData!$BL$10),"")</f>
        <v/>
      </c>
      <c r="BM10" t="str">
        <f ca="1">IFERROR(IF(0=LEN(ReferenceData!$BM$10),"",ReferenceData!$BM$10),"")</f>
        <v/>
      </c>
    </row>
    <row r="11" spans="1:65" x14ac:dyDescent="0.25">
      <c r="A11" t="str">
        <f>IFERROR(IF(0=LEN(ReferenceData!$A$11),"",ReferenceData!$A$11),"")</f>
        <v xml:space="preserve">    Banco BPM SpA</v>
      </c>
      <c r="B11" t="str">
        <f>IFERROR(IF(0=LEN(ReferenceData!$B$11),"",ReferenceData!$B$11),"")</f>
        <v>BAMI IM Equity</v>
      </c>
      <c r="C11" t="str">
        <f>IFERROR(IF(0=LEN(ReferenceData!$C$11),"",ReferenceData!$C$11),"")</f>
        <v>BM105</v>
      </c>
      <c r="D11" t="str">
        <f>IFERROR(IF(0=LEN(ReferenceData!$D$11),"",ReferenceData!$D$11),"")</f>
        <v>BS_TRADING_ASSETS</v>
      </c>
      <c r="E11" t="str">
        <f>IFERROR(IF(0=LEN(ReferenceData!$E$11),"",ReferenceData!$E$11),"")</f>
        <v>Dynamic</v>
      </c>
      <c r="F11" t="str">
        <f ca="1">IFERROR(IF(0=LEN(ReferenceData!$F$11),"",ReferenceData!$F$11),"")</f>
        <v/>
      </c>
      <c r="G11" t="str">
        <f ca="1">IFERROR(IF(0=LEN(ReferenceData!$G$11),"",ReferenceData!$G$11),"")</f>
        <v/>
      </c>
      <c r="H11">
        <f ca="1">IFERROR(IF(0=LEN(ReferenceData!$H$11),"",ReferenceData!$H$11),"")</f>
        <v>5554.9579999999996</v>
      </c>
      <c r="I11" t="str">
        <f ca="1">IFERROR(IF(0=LEN(ReferenceData!$I$11),"",ReferenceData!$I$11),"")</f>
        <v/>
      </c>
      <c r="J11">
        <f ca="1">IFERROR(IF(0=LEN(ReferenceData!$J$11),"",ReferenceData!$J$11),"")</f>
        <v>4354.0029999999997</v>
      </c>
      <c r="K11" t="str">
        <f ca="1">IFERROR(IF(0=LEN(ReferenceData!$K$11),"",ReferenceData!$K$11),"")</f>
        <v/>
      </c>
      <c r="L11">
        <f ca="1">IFERROR(IF(0=LEN(ReferenceData!$L$11),"",ReferenceData!$L$11),"")</f>
        <v>4707.152</v>
      </c>
      <c r="M11" t="str">
        <f ca="1">IFERROR(IF(0=LEN(ReferenceData!$M$11),"",ReferenceData!$M$11),"")</f>
        <v/>
      </c>
      <c r="N11">
        <f ca="1">IFERROR(IF(0=LEN(ReferenceData!$N$11),"",ReferenceData!$N$11),"")</f>
        <v>4508.4970000000003</v>
      </c>
      <c r="O11" t="str">
        <f ca="1">IFERROR(IF(0=LEN(ReferenceData!$O$11),"",ReferenceData!$O$11),"")</f>
        <v/>
      </c>
      <c r="P11">
        <f ca="1">IFERROR(IF(0=LEN(ReferenceData!$P$11),"",ReferenceData!$P$11),"")</f>
        <v>5771.4290000000001</v>
      </c>
      <c r="Q11" t="str">
        <f ca="1">IFERROR(IF(0=LEN(ReferenceData!$Q$11),"",ReferenceData!$Q$11),"")</f>
        <v/>
      </c>
      <c r="R11">
        <f ca="1">IFERROR(IF(0=LEN(ReferenceData!$R$11),"",ReferenceData!$R$11),"")</f>
        <v>4538.625</v>
      </c>
      <c r="S11" t="str">
        <f ca="1">IFERROR(IF(0=LEN(ReferenceData!$S$11),"",ReferenceData!$S$11),"")</f>
        <v/>
      </c>
      <c r="T11">
        <f ca="1">IFERROR(IF(0=LEN(ReferenceData!$T$11),"",ReferenceData!$T$11),"")</f>
        <v>6650.3459999999995</v>
      </c>
      <c r="U11" t="str">
        <f ca="1">IFERROR(IF(0=LEN(ReferenceData!$U$11),"",ReferenceData!$U$11),"")</f>
        <v/>
      </c>
      <c r="V11">
        <f ca="1">IFERROR(IF(0=LEN(ReferenceData!$V$11),"",ReferenceData!$V$11),"")</f>
        <v>7248.348</v>
      </c>
      <c r="W11" t="str">
        <f ca="1">IFERROR(IF(0=LEN(ReferenceData!$W$11),"",ReferenceData!$W$11),"")</f>
        <v/>
      </c>
      <c r="X11">
        <f ca="1">IFERROR(IF(0=LEN(ReferenceData!$X$11),"",ReferenceData!$X$11),"")</f>
        <v>7537.8069999999998</v>
      </c>
      <c r="Y11" t="str">
        <f ca="1">IFERROR(IF(0=LEN(ReferenceData!$Y$11),"",ReferenceData!$Y$11),"")</f>
        <v/>
      </c>
      <c r="Z11">
        <f ca="1">IFERROR(IF(0=LEN(ReferenceData!$Z$11),"",ReferenceData!$Z$11),"")</f>
        <v>5726.8140000000003</v>
      </c>
      <c r="AA11" t="str">
        <f ca="1">IFERROR(IF(0=LEN(ReferenceData!$AA$11),"",ReferenceData!$AA$11),"")</f>
        <v/>
      </c>
      <c r="AB11">
        <f ca="1">IFERROR(IF(0=LEN(ReferenceData!$AB$11),"",ReferenceData!$AB$11),"")</f>
        <v>6046.5420000000004</v>
      </c>
      <c r="AC11" t="str">
        <f ca="1">IFERROR(IF(0=LEN(ReferenceData!$AC$11),"",ReferenceData!$AC$11),"")</f>
        <v/>
      </c>
      <c r="AD11">
        <f ca="1">IFERROR(IF(0=LEN(ReferenceData!$AD$11),"",ReferenceData!$AD$11),"")</f>
        <v>4522.5290000000005</v>
      </c>
      <c r="AE11" t="str">
        <f ca="1">IFERROR(IF(0=LEN(ReferenceData!$AE$11),"",ReferenceData!$AE$11),"")</f>
        <v/>
      </c>
      <c r="AF11">
        <f ca="1">IFERROR(IF(0=LEN(ReferenceData!$AF$11),"",ReferenceData!$AF$11),"")</f>
        <v>6522.9219999999996</v>
      </c>
      <c r="AG11" t="str">
        <f ca="1">IFERROR(IF(0=LEN(ReferenceData!$AG$11),"",ReferenceData!$AG$11),"")</f>
        <v/>
      </c>
      <c r="AH11">
        <f ca="1">IFERROR(IF(0=LEN(ReferenceData!$AH$11),"",ReferenceData!$AH$11),"")</f>
        <v>4911.8239999999996</v>
      </c>
      <c r="AI11" t="str">
        <f ca="1">IFERROR(IF(0=LEN(ReferenceData!$AI$11),"",ReferenceData!$AI$11),"")</f>
        <v/>
      </c>
      <c r="AJ11">
        <f ca="1">IFERROR(IF(0=LEN(ReferenceData!$AJ$11),"",ReferenceData!$AJ$11),"")</f>
        <v>6237.1170000000002</v>
      </c>
      <c r="AK11" t="str">
        <f ca="1">IFERROR(IF(0=LEN(ReferenceData!$AK$11),"",ReferenceData!$AK$11),"")</f>
        <v/>
      </c>
      <c r="AL11">
        <f ca="1">IFERROR(IF(0=LEN(ReferenceData!$AL$11),"",ReferenceData!$AL$11),"")</f>
        <v>4743.4250000000002</v>
      </c>
      <c r="AM11" t="str">
        <f ca="1">IFERROR(IF(0=LEN(ReferenceData!$AM$11),"",ReferenceData!$AM$11),"")</f>
        <v/>
      </c>
      <c r="AN11">
        <f ca="1">IFERROR(IF(0=LEN(ReferenceData!$AN$11),"",ReferenceData!$AN$11),"")</f>
        <v>7617.4030000000002</v>
      </c>
      <c r="AO11" t="str">
        <f ca="1">IFERROR(IF(0=LEN(ReferenceData!$AO$11),"",ReferenceData!$AO$11),"")</f>
        <v/>
      </c>
      <c r="AP11">
        <f ca="1">IFERROR(IF(0=LEN(ReferenceData!$AP$11),"",ReferenceData!$AP$11),"")</f>
        <v>6327.3869999999997</v>
      </c>
      <c r="AQ11" t="str">
        <f ca="1">IFERROR(IF(0=LEN(ReferenceData!$AQ$11),"",ReferenceData!$AQ$11),"")</f>
        <v/>
      </c>
      <c r="AR11">
        <f ca="1">IFERROR(IF(0=LEN(ReferenceData!$AR$11),"",ReferenceData!$AR$11),"")</f>
        <v>7791.3069999999998</v>
      </c>
      <c r="AS11" t="str">
        <f ca="1">IFERROR(IF(0=LEN(ReferenceData!$AS$11),"",ReferenceData!$AS$11),"")</f>
        <v/>
      </c>
      <c r="AT11">
        <f ca="1">IFERROR(IF(0=LEN(ReferenceData!$AT$11),"",ReferenceData!$AT$11),"")</f>
        <v>7077.9859999999999</v>
      </c>
      <c r="AU11" t="str">
        <f ca="1">IFERROR(IF(0=LEN(ReferenceData!$AU$11),"",ReferenceData!$AU$11),"")</f>
        <v/>
      </c>
      <c r="AV11">
        <f ca="1">IFERROR(IF(0=LEN(ReferenceData!$AV$11),"",ReferenceData!$AV$11),"")</f>
        <v>7493.1869999999999</v>
      </c>
      <c r="AW11">
        <f ca="1">IFERROR(IF(0=LEN(ReferenceData!$AW$11),"",ReferenceData!$AW$11),"")</f>
        <v>25511.052</v>
      </c>
      <c r="AX11">
        <f ca="1">IFERROR(IF(0=LEN(ReferenceData!$AX$11),"",ReferenceData!$AX$11),"")</f>
        <v>7264.8130000000001</v>
      </c>
      <c r="AY11" t="str">
        <f ca="1">IFERROR(IF(0=LEN(ReferenceData!$AY$11),"",ReferenceData!$AY$11),"")</f>
        <v/>
      </c>
      <c r="AZ11">
        <f ca="1">IFERROR(IF(0=LEN(ReferenceData!$AZ$11),"",ReferenceData!$AZ$11),"")</f>
        <v>8650.4650000000001</v>
      </c>
      <c r="BA11" t="str">
        <f ca="1">IFERROR(IF(0=LEN(ReferenceData!$BA$11),"",ReferenceData!$BA$11),"")</f>
        <v/>
      </c>
      <c r="BB11">
        <f ca="1">IFERROR(IF(0=LEN(ReferenceData!$BB$11),"",ReferenceData!$BB$11),"")</f>
        <v>10442.769</v>
      </c>
      <c r="BC11">
        <f ca="1">IFERROR(IF(0=LEN(ReferenceData!$BC$11),"",ReferenceData!$BC$11),"")</f>
        <v>23154.001</v>
      </c>
      <c r="BD11" t="str">
        <f ca="1">IFERROR(IF(0=LEN(ReferenceData!$BD$11),"",ReferenceData!$BD$11),"")</f>
        <v/>
      </c>
      <c r="BE11" t="str">
        <f ca="1">IFERROR(IF(0=LEN(ReferenceData!$BE$11),"",ReferenceData!$BE$11),"")</f>
        <v/>
      </c>
      <c r="BF11">
        <f ca="1">IFERROR(IF(0=LEN(ReferenceData!$BF$11),"",ReferenceData!$BF$11),"")</f>
        <v>8745.1440000000002</v>
      </c>
      <c r="BG11" t="str">
        <f ca="1">IFERROR(IF(0=LEN(ReferenceData!$BG$11),"",ReferenceData!$BG$11),"")</f>
        <v/>
      </c>
      <c r="BH11">
        <f ca="1">IFERROR(IF(0=LEN(ReferenceData!$BH$11),"",ReferenceData!$BH$11),"")</f>
        <v>10158.249</v>
      </c>
      <c r="BI11" t="str">
        <f ca="1">IFERROR(IF(0=LEN(ReferenceData!$BI$11),"",ReferenceData!$BI$11),"")</f>
        <v/>
      </c>
      <c r="BJ11">
        <f ca="1">IFERROR(IF(0=LEN(ReferenceData!$BJ$11),"",ReferenceData!$BJ$11),"")</f>
        <v>11613.306</v>
      </c>
      <c r="BK11">
        <f ca="1">IFERROR(IF(0=LEN(ReferenceData!$BK$11),"",ReferenceData!$BK$11),"")</f>
        <v>11870.857</v>
      </c>
      <c r="BL11">
        <f ca="1">IFERROR(IF(0=LEN(ReferenceData!$BL$11),"",ReferenceData!$BL$11),"")</f>
        <v>12694.938</v>
      </c>
      <c r="BM11" t="str">
        <f ca="1">IFERROR(IF(0=LEN(ReferenceData!$BM$11),"",ReferenceData!$BM$11),"")</f>
        <v/>
      </c>
    </row>
    <row r="12" spans="1:65" x14ac:dyDescent="0.25">
      <c r="A12" t="str">
        <f>IFERROR(IF(0=LEN(ReferenceData!$A$12),"",ReferenceData!$A$12),"")</f>
        <v xml:space="preserve">    Banco Bilbao Vizcaya Argentaria SA</v>
      </c>
      <c r="B12" t="str">
        <f>IFERROR(IF(0=LEN(ReferenceData!$B$12),"",ReferenceData!$B$12),"")</f>
        <v>BBVA SM Equity</v>
      </c>
      <c r="C12" t="str">
        <f>IFERROR(IF(0=LEN(ReferenceData!$C$12),"",ReferenceData!$C$12),"")</f>
        <v>BM105</v>
      </c>
      <c r="D12" t="str">
        <f>IFERROR(IF(0=LEN(ReferenceData!$D$12),"",ReferenceData!$D$12),"")</f>
        <v>BS_TRADING_ASSETS</v>
      </c>
      <c r="E12" t="str">
        <f>IFERROR(IF(0=LEN(ReferenceData!$E$12),"",ReferenceData!$E$12),"")</f>
        <v>Dynamic</v>
      </c>
      <c r="F12">
        <f ca="1">IFERROR(IF(0=LEN(ReferenceData!$F$12),"",ReferenceData!$F$12),"")</f>
        <v>108948</v>
      </c>
      <c r="G12">
        <f ca="1">IFERROR(IF(0=LEN(ReferenceData!$G$12),"",ReferenceData!$G$12),"")</f>
        <v>127551</v>
      </c>
      <c r="H12">
        <f ca="1">IFERROR(IF(0=LEN(ReferenceData!$H$12),"",ReferenceData!$H$12),"")</f>
        <v>123821</v>
      </c>
      <c r="I12">
        <f ca="1">IFERROR(IF(0=LEN(ReferenceData!$I$12),"",ReferenceData!$I$12),"")</f>
        <v>144253</v>
      </c>
      <c r="J12">
        <f ca="1">IFERROR(IF(0=LEN(ReferenceData!$J$12),"",ReferenceData!$J$12),"")</f>
        <v>141042</v>
      </c>
      <c r="K12">
        <f ca="1">IFERROR(IF(0=LEN(ReferenceData!$K$12),"",ReferenceData!$K$12),"")</f>
        <v>134804</v>
      </c>
      <c r="L12">
        <f ca="1">IFERROR(IF(0=LEN(ReferenceData!$L$12),"",ReferenceData!$L$12),"")</f>
        <v>141721</v>
      </c>
      <c r="M12">
        <f ca="1">IFERROR(IF(0=LEN(ReferenceData!$M$12),"",ReferenceData!$M$12),"")</f>
        <v>119877</v>
      </c>
      <c r="N12">
        <f ca="1">IFERROR(IF(0=LEN(ReferenceData!$N$12),"",ReferenceData!$N$12),"")</f>
        <v>110671</v>
      </c>
      <c r="O12">
        <f ca="1">IFERROR(IF(0=LEN(ReferenceData!$O$12),"",ReferenceData!$O$12),"")</f>
        <v>119966</v>
      </c>
      <c r="P12">
        <f ca="1">IFERROR(IF(0=LEN(ReferenceData!$P$12),"",ReferenceData!$P$12),"")</f>
        <v>120823</v>
      </c>
      <c r="Q12">
        <f ca="1">IFERROR(IF(0=LEN(ReferenceData!$Q$12),"",ReferenceData!$Q$12),"")</f>
        <v>112131</v>
      </c>
      <c r="R12">
        <f ca="1">IFERROR(IF(0=LEN(ReferenceData!$R$12),"",ReferenceData!$R$12),"")</f>
        <v>123493</v>
      </c>
      <c r="S12">
        <f ca="1">IFERROR(IF(0=LEN(ReferenceData!$S$12),"",ReferenceData!$S$12),"")</f>
        <v>109078</v>
      </c>
      <c r="T12">
        <f ca="1">IFERROR(IF(0=LEN(ReferenceData!$T$12),"",ReferenceData!$T$12),"")</f>
        <v>105523</v>
      </c>
      <c r="U12">
        <f ca="1">IFERROR(IF(0=LEN(ReferenceData!$U$12),"",ReferenceData!$U$12),"")</f>
        <v>101050</v>
      </c>
      <c r="V12">
        <f ca="1">IFERROR(IF(0=LEN(ReferenceData!$V$12),"",ReferenceData!$V$12),"")</f>
        <v>108257</v>
      </c>
      <c r="W12">
        <f ca="1">IFERROR(IF(0=LEN(ReferenceData!$W$12),"",ReferenceData!$W$12),"")</f>
        <v>107468</v>
      </c>
      <c r="X12">
        <f ca="1">IFERROR(IF(0=LEN(ReferenceData!$X$12),"",ReferenceData!$X$12),"")</f>
        <v>119332</v>
      </c>
      <c r="Y12">
        <f ca="1">IFERROR(IF(0=LEN(ReferenceData!$Y$12),"",ReferenceData!$Y$12),"")</f>
        <v>125269</v>
      </c>
      <c r="Z12">
        <f ca="1">IFERROR(IF(0=LEN(ReferenceData!$Z$12),"",ReferenceData!$Z$12),"")</f>
        <v>101736</v>
      </c>
      <c r="AA12">
        <f ca="1">IFERROR(IF(0=LEN(ReferenceData!$AA$12),"",ReferenceData!$AA$12),"")</f>
        <v>110874</v>
      </c>
      <c r="AB12">
        <f ca="1">IFERROR(IF(0=LEN(ReferenceData!$AB$12),"",ReferenceData!$AB$12),"")</f>
        <v>105369</v>
      </c>
      <c r="AC12">
        <f ca="1">IFERROR(IF(0=LEN(ReferenceData!$AC$12),"",ReferenceData!$AC$12),"")</f>
        <v>92366</v>
      </c>
      <c r="AD12">
        <f ca="1">IFERROR(IF(0=LEN(ReferenceData!$AD$12),"",ReferenceData!$AD$12),"")</f>
        <v>90117</v>
      </c>
      <c r="AE12">
        <f ca="1">IFERROR(IF(0=LEN(ReferenceData!$AE$12),"",ReferenceData!$AE$12),"")</f>
        <v>90405</v>
      </c>
      <c r="AF12">
        <f ca="1">IFERROR(IF(0=LEN(ReferenceData!$AF$12),"",ReferenceData!$AF$12),"")</f>
        <v>91018</v>
      </c>
      <c r="AG12">
        <f ca="1">IFERROR(IF(0=LEN(ReferenceData!$AG$12),"",ReferenceData!$AG$12),"")</f>
        <v>94745</v>
      </c>
      <c r="AH12">
        <f ca="1">IFERROR(IF(0=LEN(ReferenceData!$AH$12),"",ReferenceData!$AH$12),"")</f>
        <v>64695</v>
      </c>
      <c r="AI12">
        <f ca="1">IFERROR(IF(0=LEN(ReferenceData!$AI$12),"",ReferenceData!$AI$12),"")</f>
        <v>65670</v>
      </c>
      <c r="AJ12">
        <f ca="1">IFERROR(IF(0=LEN(ReferenceData!$AJ$12),"",ReferenceData!$AJ$12),"")</f>
        <v>68885</v>
      </c>
      <c r="AK12">
        <f ca="1">IFERROR(IF(0=LEN(ReferenceData!$AK$12),"",ReferenceData!$AK$12),"")</f>
        <v>74898</v>
      </c>
      <c r="AL12">
        <f ca="1">IFERROR(IF(0=LEN(ReferenceData!$AL$12),"",ReferenceData!$AL$12),"")</f>
        <v>11390</v>
      </c>
      <c r="AM12">
        <f ca="1">IFERROR(IF(0=LEN(ReferenceData!$AM$12),"",ReferenceData!$AM$12),"")</f>
        <v>75569</v>
      </c>
      <c r="AN12">
        <f ca="1">IFERROR(IF(0=LEN(ReferenceData!$AN$12),"",ReferenceData!$AN$12),"")</f>
        <v>84532</v>
      </c>
      <c r="AO12">
        <f ca="1">IFERROR(IF(0=LEN(ReferenceData!$AO$12),"",ReferenceData!$AO$12),"")</f>
        <v>81706</v>
      </c>
      <c r="AP12">
        <f ca="1">IFERROR(IF(0=LEN(ReferenceData!$AP$12),"",ReferenceData!$AP$12),"")</f>
        <v>11790</v>
      </c>
      <c r="AQ12">
        <f ca="1">IFERROR(IF(0=LEN(ReferenceData!$AQ$12),"",ReferenceData!$AQ$12),"")</f>
        <v>83662</v>
      </c>
      <c r="AR12">
        <f ca="1">IFERROR(IF(0=LEN(ReferenceData!$AR$12),"",ReferenceData!$AR$12),"")</f>
        <v>82693</v>
      </c>
      <c r="AS12">
        <f ca="1">IFERROR(IF(0=LEN(ReferenceData!$AS$12),"",ReferenceData!$AS$12),"")</f>
        <v>94883</v>
      </c>
      <c r="AT12">
        <f ca="1">IFERROR(IF(0=LEN(ReferenceData!$AT$12),"",ReferenceData!$AT$12),"")</f>
        <v>14436</v>
      </c>
      <c r="AU12">
        <f ca="1">IFERROR(IF(0=LEN(ReferenceData!$AU$12),"",ReferenceData!$AU$12),"")</f>
        <v>88023</v>
      </c>
      <c r="AV12">
        <f ca="1">IFERROR(IF(0=LEN(ReferenceData!$AV$12),"",ReferenceData!$AV$12),"")</f>
        <v>79589</v>
      </c>
      <c r="AW12">
        <f ca="1">IFERROR(IF(0=LEN(ReferenceData!$AW$12),"",ReferenceData!$AW$12),"")</f>
        <v>76433</v>
      </c>
      <c r="AX12">
        <f ca="1">IFERROR(IF(0=LEN(ReferenceData!$AX$12),"",ReferenceData!$AX$12),"")</f>
        <v>12590</v>
      </c>
      <c r="AY12">
        <f ca="1">IFERROR(IF(0=LEN(ReferenceData!$AY$12),"",ReferenceData!$AY$12),"")</f>
        <v>71409</v>
      </c>
      <c r="AZ12">
        <f ca="1">IFERROR(IF(0=LEN(ReferenceData!$AZ$12),"",ReferenceData!$AZ$12),"")</f>
        <v>72833</v>
      </c>
      <c r="BA12">
        <f ca="1">IFERROR(IF(0=LEN(ReferenceData!$BA$12),"",ReferenceData!$BA$12),"")</f>
        <v>75750</v>
      </c>
      <c r="BB12">
        <f ca="1">IFERROR(IF(0=LEN(ReferenceData!$BB$12),"",ReferenceData!$BB$12),"")</f>
        <v>8888</v>
      </c>
      <c r="BC12">
        <f ca="1">IFERROR(IF(0=LEN(ReferenceData!$BC$12),"",ReferenceData!$BC$12),"")</f>
        <v>83449</v>
      </c>
      <c r="BD12">
        <f ca="1">IFERROR(IF(0=LEN(ReferenceData!$BD$12),"",ReferenceData!$BD$12),"")</f>
        <v>78792</v>
      </c>
      <c r="BE12">
        <f ca="1">IFERROR(IF(0=LEN(ReferenceData!$BE$12),"",ReferenceData!$BE$12),"")</f>
        <v>71208</v>
      </c>
      <c r="BF12">
        <f ca="1">IFERROR(IF(0=LEN(ReferenceData!$BF$12),"",ReferenceData!$BF$12),"")</f>
        <v>9697</v>
      </c>
      <c r="BG12">
        <f ca="1">IFERROR(IF(0=LEN(ReferenceData!$BG$12),"",ReferenceData!$BG$12),"")</f>
        <v>74859</v>
      </c>
      <c r="BH12">
        <f ca="1">IFERROR(IF(0=LEN(ReferenceData!$BH$12),"",ReferenceData!$BH$12),"")</f>
        <v>63421</v>
      </c>
      <c r="BI12">
        <f ca="1">IFERROR(IF(0=LEN(ReferenceData!$BI$12),"",ReferenceData!$BI$12),"")</f>
        <v>57801</v>
      </c>
      <c r="BJ12">
        <f ca="1">IFERROR(IF(0=LEN(ReferenceData!$BJ$12),"",ReferenceData!$BJ$12),"")</f>
        <v>29618</v>
      </c>
      <c r="BK12">
        <f ca="1">IFERROR(IF(0=LEN(ReferenceData!$BK$12),"",ReferenceData!$BK$12),"")</f>
        <v>69306</v>
      </c>
      <c r="BL12">
        <f ca="1">IFERROR(IF(0=LEN(ReferenceData!$BL$12),"",ReferenceData!$BL$12),"")</f>
        <v>73330</v>
      </c>
      <c r="BM12" t="str">
        <f ca="1">IFERROR(IF(0=LEN(ReferenceData!$BM$12),"",ReferenceData!$BM$12),"")</f>
        <v/>
      </c>
    </row>
    <row r="13" spans="1:65" x14ac:dyDescent="0.25">
      <c r="A13" t="str">
        <f>IFERROR(IF(0=LEN(ReferenceData!$A$13),"",ReferenceData!$A$13),"")</f>
        <v xml:space="preserve">    Bank of Ireland Group PLC</v>
      </c>
      <c r="B13" t="str">
        <f>IFERROR(IF(0=LEN(ReferenceData!$B$13),"",ReferenceData!$B$13),"")</f>
        <v>BIRG ID Equity</v>
      </c>
      <c r="C13" t="str">
        <f>IFERROR(IF(0=LEN(ReferenceData!$C$13),"",ReferenceData!$C$13),"")</f>
        <v>BM105</v>
      </c>
      <c r="D13" t="str">
        <f>IFERROR(IF(0=LEN(ReferenceData!$D$13),"",ReferenceData!$D$13),"")</f>
        <v>BS_TRADING_ASSETS</v>
      </c>
      <c r="E13" t="str">
        <f>IFERROR(IF(0=LEN(ReferenceData!$E$13),"",ReferenceData!$E$13),"")</f>
        <v>Dynamic</v>
      </c>
      <c r="F13" t="str">
        <f ca="1">IFERROR(IF(0=LEN(ReferenceData!$F$13),"",ReferenceData!$F$13),"")</f>
        <v/>
      </c>
      <c r="G13" t="str">
        <f ca="1">IFERROR(IF(0=LEN(ReferenceData!$G$13),"",ReferenceData!$G$13),"")</f>
        <v/>
      </c>
      <c r="H13" t="str">
        <f ca="1">IFERROR(IF(0=LEN(ReferenceData!$H$13),"",ReferenceData!$H$13),"")</f>
        <v/>
      </c>
      <c r="I13" t="str">
        <f ca="1">IFERROR(IF(0=LEN(ReferenceData!$I$13),"",ReferenceData!$I$13),"")</f>
        <v/>
      </c>
      <c r="J13" t="str">
        <f ca="1">IFERROR(IF(0=LEN(ReferenceData!$J$13),"",ReferenceData!$J$13),"")</f>
        <v/>
      </c>
      <c r="K13" t="str">
        <f ca="1">IFERROR(IF(0=LEN(ReferenceData!$K$13),"",ReferenceData!$K$13),"")</f>
        <v/>
      </c>
      <c r="L13" t="str">
        <f ca="1">IFERROR(IF(0=LEN(ReferenceData!$L$13),"",ReferenceData!$L$13),"")</f>
        <v/>
      </c>
      <c r="M13" t="str">
        <f ca="1">IFERROR(IF(0=LEN(ReferenceData!$M$13),"",ReferenceData!$M$13),"")</f>
        <v/>
      </c>
      <c r="N13" t="str">
        <f ca="1">IFERROR(IF(0=LEN(ReferenceData!$N$13),"",ReferenceData!$N$13),"")</f>
        <v/>
      </c>
      <c r="O13" t="str">
        <f ca="1">IFERROR(IF(0=LEN(ReferenceData!$O$13),"",ReferenceData!$O$13),"")</f>
        <v/>
      </c>
      <c r="P13" t="str">
        <f ca="1">IFERROR(IF(0=LEN(ReferenceData!$P$13),"",ReferenceData!$P$13),"")</f>
        <v/>
      </c>
      <c r="Q13" t="str">
        <f ca="1">IFERROR(IF(0=LEN(ReferenceData!$Q$13),"",ReferenceData!$Q$13),"")</f>
        <v/>
      </c>
      <c r="R13" t="str">
        <f ca="1">IFERROR(IF(0=LEN(ReferenceData!$R$13),"",ReferenceData!$R$13),"")</f>
        <v/>
      </c>
      <c r="S13" t="str">
        <f ca="1">IFERROR(IF(0=LEN(ReferenceData!$S$13),"",ReferenceData!$S$13),"")</f>
        <v/>
      </c>
      <c r="T13" t="str">
        <f ca="1">IFERROR(IF(0=LEN(ReferenceData!$T$13),"",ReferenceData!$T$13),"")</f>
        <v/>
      </c>
      <c r="U13" t="str">
        <f ca="1">IFERROR(IF(0=LEN(ReferenceData!$U$13),"",ReferenceData!$U$13),"")</f>
        <v/>
      </c>
      <c r="V13" t="str">
        <f ca="1">IFERROR(IF(0=LEN(ReferenceData!$V$13),"",ReferenceData!$V$13),"")</f>
        <v/>
      </c>
      <c r="W13" t="str">
        <f ca="1">IFERROR(IF(0=LEN(ReferenceData!$W$13),"",ReferenceData!$W$13),"")</f>
        <v/>
      </c>
      <c r="X13" t="str">
        <f ca="1">IFERROR(IF(0=LEN(ReferenceData!$X$13),"",ReferenceData!$X$13),"")</f>
        <v/>
      </c>
      <c r="Y13" t="str">
        <f ca="1">IFERROR(IF(0=LEN(ReferenceData!$Y$13),"",ReferenceData!$Y$13),"")</f>
        <v/>
      </c>
      <c r="Z13" t="str">
        <f ca="1">IFERROR(IF(0=LEN(ReferenceData!$Z$13),"",ReferenceData!$Z$13),"")</f>
        <v/>
      </c>
      <c r="AA13" t="str">
        <f ca="1">IFERROR(IF(0=LEN(ReferenceData!$AA$13),"",ReferenceData!$AA$13),"")</f>
        <v/>
      </c>
      <c r="AB13" t="str">
        <f ca="1">IFERROR(IF(0=LEN(ReferenceData!$AB$13),"",ReferenceData!$AB$13),"")</f>
        <v/>
      </c>
      <c r="AC13" t="str">
        <f ca="1">IFERROR(IF(0=LEN(ReferenceData!$AC$13),"",ReferenceData!$AC$13),"")</f>
        <v/>
      </c>
      <c r="AD13" t="str">
        <f ca="1">IFERROR(IF(0=LEN(ReferenceData!$AD$13),"",ReferenceData!$AD$13),"")</f>
        <v/>
      </c>
      <c r="AE13" t="str">
        <f ca="1">IFERROR(IF(0=LEN(ReferenceData!$AE$13),"",ReferenceData!$AE$13),"")</f>
        <v/>
      </c>
      <c r="AF13" t="str">
        <f ca="1">IFERROR(IF(0=LEN(ReferenceData!$AF$13),"",ReferenceData!$AF$13),"")</f>
        <v/>
      </c>
      <c r="AG13" t="str">
        <f ca="1">IFERROR(IF(0=LEN(ReferenceData!$AG$13),"",ReferenceData!$AG$13),"")</f>
        <v/>
      </c>
      <c r="AH13" t="str">
        <f ca="1">IFERROR(IF(0=LEN(ReferenceData!$AH$13),"",ReferenceData!$AH$13),"")</f>
        <v/>
      </c>
      <c r="AI13" t="str">
        <f ca="1">IFERROR(IF(0=LEN(ReferenceData!$AI$13),"",ReferenceData!$AI$13),"")</f>
        <v/>
      </c>
      <c r="AJ13" t="str">
        <f ca="1">IFERROR(IF(0=LEN(ReferenceData!$AJ$13),"",ReferenceData!$AJ$13),"")</f>
        <v/>
      </c>
      <c r="AK13" t="str">
        <f ca="1">IFERROR(IF(0=LEN(ReferenceData!$AK$13),"",ReferenceData!$AK$13),"")</f>
        <v/>
      </c>
      <c r="AL13" t="str">
        <f ca="1">IFERROR(IF(0=LEN(ReferenceData!$AL$13),"",ReferenceData!$AL$13),"")</f>
        <v/>
      </c>
      <c r="AM13" t="str">
        <f ca="1">IFERROR(IF(0=LEN(ReferenceData!$AM$13),"",ReferenceData!$AM$13),"")</f>
        <v/>
      </c>
      <c r="AN13" t="str">
        <f ca="1">IFERROR(IF(0=LEN(ReferenceData!$AN$13),"",ReferenceData!$AN$13),"")</f>
        <v/>
      </c>
      <c r="AO13" t="str">
        <f ca="1">IFERROR(IF(0=LEN(ReferenceData!$AO$13),"",ReferenceData!$AO$13),"")</f>
        <v/>
      </c>
      <c r="AP13" t="str">
        <f ca="1">IFERROR(IF(0=LEN(ReferenceData!$AP$13),"",ReferenceData!$AP$13),"")</f>
        <v/>
      </c>
      <c r="AQ13" t="str">
        <f ca="1">IFERROR(IF(0=LEN(ReferenceData!$AQ$13),"",ReferenceData!$AQ$13),"")</f>
        <v/>
      </c>
      <c r="AR13" t="str">
        <f ca="1">IFERROR(IF(0=LEN(ReferenceData!$AR$13),"",ReferenceData!$AR$13),"")</f>
        <v/>
      </c>
      <c r="AS13" t="str">
        <f ca="1">IFERROR(IF(0=LEN(ReferenceData!$AS$13),"",ReferenceData!$AS$13),"")</f>
        <v/>
      </c>
      <c r="AT13" t="str">
        <f ca="1">IFERROR(IF(0=LEN(ReferenceData!$AT$13),"",ReferenceData!$AT$13),"")</f>
        <v/>
      </c>
      <c r="AU13" t="str">
        <f ca="1">IFERROR(IF(0=LEN(ReferenceData!$AU$13),"",ReferenceData!$AU$13),"")</f>
        <v/>
      </c>
      <c r="AV13" t="str">
        <f ca="1">IFERROR(IF(0=LEN(ReferenceData!$AV$13),"",ReferenceData!$AV$13),"")</f>
        <v/>
      </c>
      <c r="AW13" t="str">
        <f ca="1">IFERROR(IF(0=LEN(ReferenceData!$AW$13),"",ReferenceData!$AW$13),"")</f>
        <v/>
      </c>
      <c r="AX13" t="str">
        <f ca="1">IFERROR(IF(0=LEN(ReferenceData!$AX$13),"",ReferenceData!$AX$13),"")</f>
        <v/>
      </c>
      <c r="AY13" t="str">
        <f ca="1">IFERROR(IF(0=LEN(ReferenceData!$AY$13),"",ReferenceData!$AY$13),"")</f>
        <v/>
      </c>
      <c r="AZ13" t="str">
        <f ca="1">IFERROR(IF(0=LEN(ReferenceData!$AZ$13),"",ReferenceData!$AZ$13),"")</f>
        <v/>
      </c>
      <c r="BA13" t="str">
        <f ca="1">IFERROR(IF(0=LEN(ReferenceData!$BA$13),"",ReferenceData!$BA$13),"")</f>
        <v/>
      </c>
      <c r="BB13" t="str">
        <f ca="1">IFERROR(IF(0=LEN(ReferenceData!$BB$13),"",ReferenceData!$BB$13),"")</f>
        <v/>
      </c>
      <c r="BC13" t="str">
        <f ca="1">IFERROR(IF(0=LEN(ReferenceData!$BC$13),"",ReferenceData!$BC$13),"")</f>
        <v/>
      </c>
      <c r="BD13" t="str">
        <f ca="1">IFERROR(IF(0=LEN(ReferenceData!$BD$13),"",ReferenceData!$BD$13),"")</f>
        <v/>
      </c>
      <c r="BE13" t="str">
        <f ca="1">IFERROR(IF(0=LEN(ReferenceData!$BE$13),"",ReferenceData!$BE$13),"")</f>
        <v/>
      </c>
      <c r="BF13" t="str">
        <f ca="1">IFERROR(IF(0=LEN(ReferenceData!$BF$13),"",ReferenceData!$BF$13),"")</f>
        <v/>
      </c>
      <c r="BG13" t="str">
        <f ca="1">IFERROR(IF(0=LEN(ReferenceData!$BG$13),"",ReferenceData!$BG$13),"")</f>
        <v/>
      </c>
      <c r="BH13" t="str">
        <f ca="1">IFERROR(IF(0=LEN(ReferenceData!$BH$13),"",ReferenceData!$BH$13),"")</f>
        <v/>
      </c>
      <c r="BI13" t="str">
        <f ca="1">IFERROR(IF(0=LEN(ReferenceData!$BI$13),"",ReferenceData!$BI$13),"")</f>
        <v/>
      </c>
      <c r="BJ13" t="str">
        <f ca="1">IFERROR(IF(0=LEN(ReferenceData!$BJ$13),"",ReferenceData!$BJ$13),"")</f>
        <v/>
      </c>
      <c r="BK13" t="str">
        <f ca="1">IFERROR(IF(0=LEN(ReferenceData!$BK$13),"",ReferenceData!$BK$13),"")</f>
        <v/>
      </c>
      <c r="BL13" t="str">
        <f ca="1">IFERROR(IF(0=LEN(ReferenceData!$BL$13),"",ReferenceData!$BL$13),"")</f>
        <v/>
      </c>
      <c r="BM13" t="str">
        <f ca="1">IFERROR(IF(0=LEN(ReferenceData!$BM$13),"",ReferenceData!$BM$13),"")</f>
        <v/>
      </c>
    </row>
    <row r="14" spans="1:65" x14ac:dyDescent="0.25">
      <c r="A14" t="str">
        <f>IFERROR(IF(0=LEN(ReferenceData!$A$14),"",ReferenceData!$A$14),"")</f>
        <v xml:space="preserve">    Bankinter SA</v>
      </c>
      <c r="B14" t="str">
        <f>IFERROR(IF(0=LEN(ReferenceData!$B$14),"",ReferenceData!$B$14),"")</f>
        <v>BKT SM Equity</v>
      </c>
      <c r="C14" t="str">
        <f>IFERROR(IF(0=LEN(ReferenceData!$C$14),"",ReferenceData!$C$14),"")</f>
        <v>BM105</v>
      </c>
      <c r="D14" t="str">
        <f>IFERROR(IF(0=LEN(ReferenceData!$D$14),"",ReferenceData!$D$14),"")</f>
        <v>BS_TRADING_ASSETS</v>
      </c>
      <c r="E14" t="str">
        <f>IFERROR(IF(0=LEN(ReferenceData!$E$14),"",ReferenceData!$E$14),"")</f>
        <v>Dynamic</v>
      </c>
      <c r="F14">
        <f ca="1">IFERROR(IF(0=LEN(ReferenceData!$F$14),"",ReferenceData!$F$14),"")</f>
        <v>3372.0050000000001</v>
      </c>
      <c r="G14">
        <f ca="1">IFERROR(IF(0=LEN(ReferenceData!$G$14),"",ReferenceData!$G$14),"")</f>
        <v>6729.2460000000001</v>
      </c>
      <c r="H14">
        <f ca="1">IFERROR(IF(0=LEN(ReferenceData!$H$14),"",ReferenceData!$H$14),"")</f>
        <v>6096.5169999999998</v>
      </c>
      <c r="I14">
        <f ca="1">IFERROR(IF(0=LEN(ReferenceData!$I$14),"",ReferenceData!$I$14),"")</f>
        <v>4680.4859999999999</v>
      </c>
      <c r="J14">
        <f ca="1">IFERROR(IF(0=LEN(ReferenceData!$J$14),"",ReferenceData!$J$14),"")</f>
        <v>4505.2539999999999</v>
      </c>
      <c r="K14">
        <f ca="1">IFERROR(IF(0=LEN(ReferenceData!$K$14),"",ReferenceData!$K$14),"")</f>
        <v>4114.6270000000004</v>
      </c>
      <c r="L14">
        <f ca="1">IFERROR(IF(0=LEN(ReferenceData!$L$14),"",ReferenceData!$L$14),"")</f>
        <v>4005.2710000000002</v>
      </c>
      <c r="M14">
        <f ca="1">IFERROR(IF(0=LEN(ReferenceData!$M$14),"",ReferenceData!$M$14),"")</f>
        <v>3916.0619999999999</v>
      </c>
      <c r="N14">
        <f ca="1">IFERROR(IF(0=LEN(ReferenceData!$N$14),"",ReferenceData!$N$14),"")</f>
        <v>4055.77</v>
      </c>
      <c r="O14">
        <f ca="1">IFERROR(IF(0=LEN(ReferenceData!$O$14),"",ReferenceData!$O$14),"")</f>
        <v>5589.7809999999999</v>
      </c>
      <c r="P14">
        <f ca="1">IFERROR(IF(0=LEN(ReferenceData!$P$14),"",ReferenceData!$P$14),"")</f>
        <v>3922.5439999999999</v>
      </c>
      <c r="Q14">
        <f ca="1">IFERROR(IF(0=LEN(ReferenceData!$Q$14),"",ReferenceData!$Q$14),"")</f>
        <v>4368.0169999999998</v>
      </c>
      <c r="R14">
        <f ca="1">IFERROR(IF(0=LEN(ReferenceData!$R$14),"",ReferenceData!$R$14),"")</f>
        <v>4038.2559999999999</v>
      </c>
      <c r="S14">
        <f ca="1">IFERROR(IF(0=LEN(ReferenceData!$S$14),"",ReferenceData!$S$14),"")</f>
        <v>3791.3580000000002</v>
      </c>
      <c r="T14">
        <f ca="1">IFERROR(IF(0=LEN(ReferenceData!$T$14),"",ReferenceData!$T$14),"")</f>
        <v>4101.8940000000002</v>
      </c>
      <c r="U14">
        <f ca="1">IFERROR(IF(0=LEN(ReferenceData!$U$14),"",ReferenceData!$U$14),"")</f>
        <v>4543.9279999999999</v>
      </c>
      <c r="V14">
        <f ca="1">IFERROR(IF(0=LEN(ReferenceData!$V$14),"",ReferenceData!$V$14),"")</f>
        <v>2158.7420000000002</v>
      </c>
      <c r="W14">
        <f ca="1">IFERROR(IF(0=LEN(ReferenceData!$W$14),"",ReferenceData!$W$14),"")</f>
        <v>3327.3620000000001</v>
      </c>
      <c r="X14">
        <f ca="1">IFERROR(IF(0=LEN(ReferenceData!$X$14),"",ReferenceData!$X$14),"")</f>
        <v>3724.9740000000002</v>
      </c>
      <c r="Y14">
        <f ca="1">IFERROR(IF(0=LEN(ReferenceData!$Y$14),"",ReferenceData!$Y$14),"")</f>
        <v>3876.9679999999998</v>
      </c>
      <c r="Z14">
        <f ca="1">IFERROR(IF(0=LEN(ReferenceData!$Z$14),"",ReferenceData!$Z$14),"")</f>
        <v>3848.15</v>
      </c>
      <c r="AA14">
        <f ca="1">IFERROR(IF(0=LEN(ReferenceData!$AA$14),"",ReferenceData!$AA$14),"")</f>
        <v>3706.22</v>
      </c>
      <c r="AB14">
        <f ca="1">IFERROR(IF(0=LEN(ReferenceData!$AB$14),"",ReferenceData!$AB$14),"")</f>
        <v>5001.8739999999998</v>
      </c>
      <c r="AC14">
        <f ca="1">IFERROR(IF(0=LEN(ReferenceData!$AC$14),"",ReferenceData!$AC$14),"")</f>
        <v>5954.5020000000004</v>
      </c>
      <c r="AD14">
        <f ca="1">IFERROR(IF(0=LEN(ReferenceData!$AD$14),"",ReferenceData!$AD$14),"")</f>
        <v>5162.9080000000004</v>
      </c>
      <c r="AE14">
        <f ca="1">IFERROR(IF(0=LEN(ReferenceData!$AE$14),"",ReferenceData!$AE$14),"")</f>
        <v>4342.3689999999997</v>
      </c>
      <c r="AF14">
        <f ca="1">IFERROR(IF(0=LEN(ReferenceData!$AF$14),"",ReferenceData!$AF$14),"")</f>
        <v>4220.7929999999997</v>
      </c>
      <c r="AG14">
        <f ca="1">IFERROR(IF(0=LEN(ReferenceData!$AG$14),"",ReferenceData!$AG$14),"")</f>
        <v>2705.6930000000002</v>
      </c>
      <c r="AH14">
        <f ca="1">IFERROR(IF(0=LEN(ReferenceData!$AH$14),"",ReferenceData!$AH$14),"")</f>
        <v>2734.6990000000001</v>
      </c>
      <c r="AI14">
        <f ca="1">IFERROR(IF(0=LEN(ReferenceData!$AI$14),"",ReferenceData!$AI$14),"")</f>
        <v>2751.4319999999998</v>
      </c>
      <c r="AJ14">
        <f ca="1">IFERROR(IF(0=LEN(ReferenceData!$AJ$14),"",ReferenceData!$AJ$14),"")</f>
        <v>3063.0250000000001</v>
      </c>
      <c r="AK14">
        <f ca="1">IFERROR(IF(0=LEN(ReferenceData!$AK$14),"",ReferenceData!$AK$14),"")</f>
        <v>4105.1350000000002</v>
      </c>
      <c r="AL14">
        <f ca="1">IFERROR(IF(0=LEN(ReferenceData!$AL$14),"",ReferenceData!$AL$14),"")</f>
        <v>2676.7190000000001</v>
      </c>
      <c r="AM14">
        <f ca="1">IFERROR(IF(0=LEN(ReferenceData!$AM$14),"",ReferenceData!$AM$14),"")</f>
        <v>3236.8710000000001</v>
      </c>
      <c r="AN14">
        <f ca="1">IFERROR(IF(0=LEN(ReferenceData!$AN$14),"",ReferenceData!$AN$14),"")</f>
        <v>4218.893</v>
      </c>
      <c r="AO14">
        <f ca="1">IFERROR(IF(0=LEN(ReferenceData!$AO$14),"",ReferenceData!$AO$14),"")</f>
        <v>5308.0929999999998</v>
      </c>
      <c r="AP14">
        <f ca="1">IFERROR(IF(0=LEN(ReferenceData!$AP$14),"",ReferenceData!$AP$14),"")</f>
        <v>4473.6379999999999</v>
      </c>
      <c r="AQ14">
        <f ca="1">IFERROR(IF(0=LEN(ReferenceData!$AQ$14),"",ReferenceData!$AQ$14),"")</f>
        <v>4430.0720000000001</v>
      </c>
      <c r="AR14">
        <f ca="1">IFERROR(IF(0=LEN(ReferenceData!$AR$14),"",ReferenceData!$AR$14),"")</f>
        <v>2088.3240000000001</v>
      </c>
      <c r="AS14">
        <f ca="1">IFERROR(IF(0=LEN(ReferenceData!$AS$14),"",ReferenceData!$AS$14),"")</f>
        <v>4446.1040000000003</v>
      </c>
      <c r="AT14">
        <f ca="1">IFERROR(IF(0=LEN(ReferenceData!$AT$14),"",ReferenceData!$AT$14),"")</f>
        <v>2404.8159999999998</v>
      </c>
      <c r="AU14">
        <f ca="1">IFERROR(IF(0=LEN(ReferenceData!$AU$14),"",ReferenceData!$AU$14),"")</f>
        <v>5291.3490000000002</v>
      </c>
      <c r="AV14">
        <f ca="1">IFERROR(IF(0=LEN(ReferenceData!$AV$14),"",ReferenceData!$AV$14),"")</f>
        <v>3029.788</v>
      </c>
      <c r="AW14">
        <f ca="1">IFERROR(IF(0=LEN(ReferenceData!$AW$14),"",ReferenceData!$AW$14),"")</f>
        <v>5235.7389999999996</v>
      </c>
      <c r="AX14">
        <f ca="1">IFERROR(IF(0=LEN(ReferenceData!$AX$14),"",ReferenceData!$AX$14),"")</f>
        <v>1803.3330000000001</v>
      </c>
      <c r="AY14">
        <f ca="1">IFERROR(IF(0=LEN(ReferenceData!$AY$14),"",ReferenceData!$AY$14),"")</f>
        <v>3677.1309999999999</v>
      </c>
      <c r="AZ14">
        <f ca="1">IFERROR(IF(0=LEN(ReferenceData!$AZ$14),"",ReferenceData!$AZ$14),"")</f>
        <v>2589.4859999999999</v>
      </c>
      <c r="BA14">
        <f ca="1">IFERROR(IF(0=LEN(ReferenceData!$BA$14),"",ReferenceData!$BA$14),"")</f>
        <v>2751.355</v>
      </c>
      <c r="BB14">
        <f ca="1">IFERROR(IF(0=LEN(ReferenceData!$BB$14),"",ReferenceData!$BB$14),"")</f>
        <v>1452.7529999999999</v>
      </c>
      <c r="BC14">
        <f ca="1">IFERROR(IF(0=LEN(ReferenceData!$BC$14),"",ReferenceData!$BC$14),"")</f>
        <v>1676.165</v>
      </c>
      <c r="BD14">
        <f ca="1">IFERROR(IF(0=LEN(ReferenceData!$BD$14),"",ReferenceData!$BD$14),"")</f>
        <v>2082.2550000000001</v>
      </c>
      <c r="BE14">
        <f ca="1">IFERROR(IF(0=LEN(ReferenceData!$BE$14),"",ReferenceData!$BE$14),"")</f>
        <v>2051.6309999999999</v>
      </c>
      <c r="BF14" t="str">
        <f ca="1">IFERROR(IF(0=LEN(ReferenceData!$BF$14),"",ReferenceData!$BF$14),"")</f>
        <v/>
      </c>
      <c r="BG14">
        <f ca="1">IFERROR(IF(0=LEN(ReferenceData!$BG$14),"",ReferenceData!$BG$14),"")</f>
        <v>5030.665</v>
      </c>
      <c r="BH14">
        <f ca="1">IFERROR(IF(0=LEN(ReferenceData!$BH$14),"",ReferenceData!$BH$14),"")</f>
        <v>3371.973</v>
      </c>
      <c r="BI14">
        <f ca="1">IFERROR(IF(0=LEN(ReferenceData!$BI$14),"",ReferenceData!$BI$14),"")</f>
        <v>2419.3969999999999</v>
      </c>
      <c r="BJ14">
        <f ca="1">IFERROR(IF(0=LEN(ReferenceData!$BJ$14),"",ReferenceData!$BJ$14),"")</f>
        <v>1875.8340000000001</v>
      </c>
      <c r="BK14">
        <f ca="1">IFERROR(IF(0=LEN(ReferenceData!$BK$14),"",ReferenceData!$BK$14),"")</f>
        <v>1845.1179999999999</v>
      </c>
      <c r="BL14">
        <f ca="1">IFERROR(IF(0=LEN(ReferenceData!$BL$14),"",ReferenceData!$BL$14),"")</f>
        <v>2250.6080000000002</v>
      </c>
      <c r="BM14">
        <f ca="1">IFERROR(IF(0=LEN(ReferenceData!$BM$14),"",ReferenceData!$BM$14),"")</f>
        <v>3748.42</v>
      </c>
    </row>
    <row r="15" spans="1:65" x14ac:dyDescent="0.25">
      <c r="A15" t="str">
        <f>IFERROR(IF(0=LEN(ReferenceData!$A$15),"",ReferenceData!$A$15),"")</f>
        <v xml:space="preserve">    CaixaBank SA</v>
      </c>
      <c r="B15" t="str">
        <f>IFERROR(IF(0=LEN(ReferenceData!$B$15),"",ReferenceData!$B$15),"")</f>
        <v>CABK SM Equity</v>
      </c>
      <c r="C15" t="str">
        <f>IFERROR(IF(0=LEN(ReferenceData!$C$15),"",ReferenceData!$C$15),"")</f>
        <v>BM105</v>
      </c>
      <c r="D15" t="str">
        <f>IFERROR(IF(0=LEN(ReferenceData!$D$15),"",ReferenceData!$D$15),"")</f>
        <v>BS_TRADING_ASSETS</v>
      </c>
      <c r="E15" t="str">
        <f>IFERROR(IF(0=LEN(ReferenceData!$E$15),"",ReferenceData!$E$15),"")</f>
        <v>Dynamic</v>
      </c>
      <c r="F15">
        <f ca="1">IFERROR(IF(0=LEN(ReferenceData!$F$15),"",ReferenceData!$F$15),"")</f>
        <v>5688</v>
      </c>
      <c r="G15">
        <f ca="1">IFERROR(IF(0=LEN(ReferenceData!$G$15),"",ReferenceData!$G$15),"")</f>
        <v>6566</v>
      </c>
      <c r="H15">
        <f ca="1">IFERROR(IF(0=LEN(ReferenceData!$H$15),"",ReferenceData!$H$15),"")</f>
        <v>7064</v>
      </c>
      <c r="I15">
        <f ca="1">IFERROR(IF(0=LEN(ReferenceData!$I$15),"",ReferenceData!$I$15),"")</f>
        <v>6789</v>
      </c>
      <c r="J15">
        <f ca="1">IFERROR(IF(0=LEN(ReferenceData!$J$15),"",ReferenceData!$J$15),"")</f>
        <v>649</v>
      </c>
      <c r="K15">
        <f ca="1">IFERROR(IF(0=LEN(ReferenceData!$K$15),"",ReferenceData!$K$15),"")</f>
        <v>7772</v>
      </c>
      <c r="L15">
        <f ca="1">IFERROR(IF(0=LEN(ReferenceData!$L$15),"",ReferenceData!$L$15),"")</f>
        <v>1119</v>
      </c>
      <c r="M15">
        <f ca="1">IFERROR(IF(0=LEN(ReferenceData!$M$15),"",ReferenceData!$M$15),"")</f>
        <v>7647</v>
      </c>
      <c r="N15">
        <f ca="1">IFERROR(IF(0=LEN(ReferenceData!$N$15),"",ReferenceData!$N$15),"")</f>
        <v>419</v>
      </c>
      <c r="O15">
        <f ca="1">IFERROR(IF(0=LEN(ReferenceData!$O$15),"",ReferenceData!$O$15),"")</f>
        <v>9235</v>
      </c>
      <c r="P15">
        <f ca="1">IFERROR(IF(0=LEN(ReferenceData!$P$15),"",ReferenceData!$P$15),"")</f>
        <v>986</v>
      </c>
      <c r="Q15">
        <f ca="1">IFERROR(IF(0=LEN(ReferenceData!$Q$15),"",ReferenceData!$Q$15),"")</f>
        <v>9374</v>
      </c>
      <c r="R15">
        <f ca="1">IFERROR(IF(0=LEN(ReferenceData!$R$15),"",ReferenceData!$R$15),"")</f>
        <v>606</v>
      </c>
      <c r="S15">
        <f ca="1">IFERROR(IF(0=LEN(ReferenceData!$S$15),"",ReferenceData!$S$15),"")</f>
        <v>11852</v>
      </c>
      <c r="T15">
        <f ca="1">IFERROR(IF(0=LEN(ReferenceData!$T$15),"",ReferenceData!$T$15),"")</f>
        <v>860</v>
      </c>
      <c r="U15">
        <f ca="1">IFERROR(IF(0=LEN(ReferenceData!$U$15),"",ReferenceData!$U$15),"")</f>
        <v>12440</v>
      </c>
      <c r="V15">
        <f ca="1">IFERROR(IF(0=LEN(ReferenceData!$V$15),"",ReferenceData!$V$15),"")</f>
        <v>1056</v>
      </c>
      <c r="W15">
        <f ca="1">IFERROR(IF(0=LEN(ReferenceData!$W$15),"",ReferenceData!$W$15),"")</f>
        <v>8158</v>
      </c>
      <c r="X15">
        <f ca="1">IFERROR(IF(0=LEN(ReferenceData!$X$15),"",ReferenceData!$X$15),"")</f>
        <v>7774</v>
      </c>
      <c r="Y15">
        <f ca="1">IFERROR(IF(0=LEN(ReferenceData!$Y$15),"",ReferenceData!$Y$15),"")</f>
        <v>8778</v>
      </c>
      <c r="Z15">
        <f ca="1">IFERROR(IF(0=LEN(ReferenceData!$Z$15),"",ReferenceData!$Z$15),"")</f>
        <v>1177</v>
      </c>
      <c r="AA15">
        <f ca="1">IFERROR(IF(0=LEN(ReferenceData!$AA$15),"",ReferenceData!$AA$15),"")</f>
        <v>14392</v>
      </c>
      <c r="AB15">
        <f ca="1">IFERROR(IF(0=LEN(ReferenceData!$AB$15),"",ReferenceData!$AB$15),"")</f>
        <v>1986.6679999999999</v>
      </c>
      <c r="AC15">
        <f ca="1">IFERROR(IF(0=LEN(ReferenceData!$AC$15),"",ReferenceData!$AC$15),"")</f>
        <v>10434</v>
      </c>
      <c r="AD15">
        <f ca="1">IFERROR(IF(0=LEN(ReferenceData!$AD$15),"",ReferenceData!$AD$15),"")</f>
        <v>1103</v>
      </c>
      <c r="AE15">
        <f ca="1">IFERROR(IF(0=LEN(ReferenceData!$AE$15),"",ReferenceData!$AE$15),"")</f>
        <v>9068</v>
      </c>
      <c r="AF15">
        <f ca="1">IFERROR(IF(0=LEN(ReferenceData!$AF$15),"",ReferenceData!$AF$15),"")</f>
        <v>10077.237999999999</v>
      </c>
      <c r="AG15">
        <f ca="1">IFERROR(IF(0=LEN(ReferenceData!$AG$15),"",ReferenceData!$AG$15),"")</f>
        <v>10044</v>
      </c>
      <c r="AH15">
        <f ca="1">IFERROR(IF(0=LEN(ReferenceData!$AH$15),"",ReferenceData!$AH$15),"")</f>
        <v>8834.02</v>
      </c>
      <c r="AI15">
        <f ca="1">IFERROR(IF(0=LEN(ReferenceData!$AI$15),"",ReferenceData!$AI$15),"")</f>
        <v>11883</v>
      </c>
      <c r="AJ15">
        <f ca="1">IFERROR(IF(0=LEN(ReferenceData!$AJ$15),"",ReferenceData!$AJ$15),"")</f>
        <v>11975.873</v>
      </c>
      <c r="AK15">
        <f ca="1">IFERROR(IF(0=LEN(ReferenceData!$AK$15),"",ReferenceData!$AK$15),"")</f>
        <v>13311</v>
      </c>
      <c r="AL15">
        <f ca="1">IFERROR(IF(0=LEN(ReferenceData!$AL$15),"",ReferenceData!$AL$15),"")</f>
        <v>6844.8609999999999</v>
      </c>
      <c r="AM15">
        <f ca="1">IFERROR(IF(0=LEN(ReferenceData!$AM$15),"",ReferenceData!$AM$15),"")</f>
        <v>13418</v>
      </c>
      <c r="AN15">
        <f ca="1">IFERROR(IF(0=LEN(ReferenceData!$AN$15),"",ReferenceData!$AN$15),"")</f>
        <v>15977</v>
      </c>
      <c r="AO15">
        <f ca="1">IFERROR(IF(0=LEN(ReferenceData!$AO$15),"",ReferenceData!$AO$15),"")</f>
        <v>14769</v>
      </c>
      <c r="AP15">
        <f ca="1">IFERROR(IF(0=LEN(ReferenceData!$AP$15),"",ReferenceData!$AP$15),"")</f>
        <v>7702.03</v>
      </c>
      <c r="AQ15">
        <f ca="1">IFERROR(IF(0=LEN(ReferenceData!$AQ$15),"",ReferenceData!$AQ$15),"")</f>
        <v>15121</v>
      </c>
      <c r="AR15">
        <f ca="1">IFERROR(IF(0=LEN(ReferenceData!$AR$15),"",ReferenceData!$AR$15),"")</f>
        <v>13829</v>
      </c>
      <c r="AS15">
        <f ca="1">IFERROR(IF(0=LEN(ReferenceData!$AS$15),"",ReferenceData!$AS$15),"")</f>
        <v>14154</v>
      </c>
      <c r="AT15">
        <f ca="1">IFERROR(IF(0=LEN(ReferenceData!$AT$15),"",ReferenceData!$AT$15),"")</f>
        <v>12257</v>
      </c>
      <c r="AU15">
        <f ca="1">IFERROR(IF(0=LEN(ReferenceData!$AU$15),"",ReferenceData!$AU$15),"")</f>
        <v>9470</v>
      </c>
      <c r="AV15">
        <f ca="1">IFERROR(IF(0=LEN(ReferenceData!$AV$15),"",ReferenceData!$AV$15),"")</f>
        <v>10147</v>
      </c>
      <c r="AW15">
        <f ca="1">IFERROR(IF(0=LEN(ReferenceData!$AW$15),"",ReferenceData!$AW$15),"")</f>
        <v>8724</v>
      </c>
      <c r="AX15">
        <f ca="1">IFERROR(IF(0=LEN(ReferenceData!$AX$15),"",ReferenceData!$AX$15),"")</f>
        <v>10002</v>
      </c>
      <c r="AY15">
        <f ca="1">IFERROR(IF(0=LEN(ReferenceData!$AY$15),"",ReferenceData!$AY$15),"")</f>
        <v>8817</v>
      </c>
      <c r="AZ15">
        <f ca="1">IFERROR(IF(0=LEN(ReferenceData!$AZ$15),"",ReferenceData!$AZ$15),"")</f>
        <v>9634</v>
      </c>
      <c r="BA15">
        <f ca="1">IFERROR(IF(0=LEN(ReferenceData!$BA$15),"",ReferenceData!$BA$15),"")</f>
        <v>16705</v>
      </c>
      <c r="BB15">
        <f ca="1">IFERROR(IF(0=LEN(ReferenceData!$BB$15),"",ReferenceData!$BB$15),"")</f>
        <v>15925</v>
      </c>
      <c r="BC15">
        <f ca="1">IFERROR(IF(0=LEN(ReferenceData!$BC$15),"",ReferenceData!$BC$15),"")</f>
        <v>14937</v>
      </c>
      <c r="BD15">
        <f ca="1">IFERROR(IF(0=LEN(ReferenceData!$BD$15),"",ReferenceData!$BD$15),"")</f>
        <v>14483</v>
      </c>
      <c r="BE15">
        <f ca="1">IFERROR(IF(0=LEN(ReferenceData!$BE$15),"",ReferenceData!$BE$15),"")</f>
        <v>4356</v>
      </c>
      <c r="BF15">
        <f ca="1">IFERROR(IF(0=LEN(ReferenceData!$BF$15),"",ReferenceData!$BF$15),"")</f>
        <v>4184</v>
      </c>
      <c r="BG15">
        <f ca="1">IFERROR(IF(0=LEN(ReferenceData!$BG$15),"",ReferenceData!$BG$15),"")</f>
        <v>3742</v>
      </c>
      <c r="BH15" t="str">
        <f ca="1">IFERROR(IF(0=LEN(ReferenceData!$BH$15),"",ReferenceData!$BH$15),"")</f>
        <v/>
      </c>
      <c r="BI15" t="str">
        <f ca="1">IFERROR(IF(0=LEN(ReferenceData!$BI$15),"",ReferenceData!$BI$15),"")</f>
        <v/>
      </c>
      <c r="BJ15">
        <f ca="1">IFERROR(IF(0=LEN(ReferenceData!$BJ$15),"",ReferenceData!$BJ$15),"")</f>
        <v>3118</v>
      </c>
      <c r="BK15" t="str">
        <f ca="1">IFERROR(IF(0=LEN(ReferenceData!$BK$15),"",ReferenceData!$BK$15),"")</f>
        <v/>
      </c>
      <c r="BL15" t="str">
        <f ca="1">IFERROR(IF(0=LEN(ReferenceData!$BL$15),"",ReferenceData!$BL$15),"")</f>
        <v/>
      </c>
      <c r="BM15" t="str">
        <f ca="1">IFERROR(IF(0=LEN(ReferenceData!$BM$15),"",ReferenceData!$BM$15),"")</f>
        <v/>
      </c>
    </row>
    <row r="16" spans="1:65" x14ac:dyDescent="0.25">
      <c r="A16" t="str">
        <f>IFERROR(IF(0=LEN(ReferenceData!$A$16),"",ReferenceData!$A$16),"")</f>
        <v xml:space="preserve">    Commerzbank AG</v>
      </c>
      <c r="B16" t="str">
        <f>IFERROR(IF(0=LEN(ReferenceData!$B$16),"",ReferenceData!$B$16),"")</f>
        <v>CBK GR Equity</v>
      </c>
      <c r="C16" t="str">
        <f>IFERROR(IF(0=LEN(ReferenceData!$C$16),"",ReferenceData!$C$16),"")</f>
        <v>BM105</v>
      </c>
      <c r="D16" t="str">
        <f>IFERROR(IF(0=LEN(ReferenceData!$D$16),"",ReferenceData!$D$16),"")</f>
        <v>BS_TRADING_ASSETS</v>
      </c>
      <c r="E16" t="str">
        <f>IFERROR(IF(0=LEN(ReferenceData!$E$16),"",ReferenceData!$E$16),"")</f>
        <v>Dynamic</v>
      </c>
      <c r="F16" t="str">
        <f ca="1">IFERROR(IF(0=LEN(ReferenceData!$F$16),"",ReferenceData!$F$16),"")</f>
        <v/>
      </c>
      <c r="G16">
        <f ca="1">IFERROR(IF(0=LEN(ReferenceData!$G$16),"",ReferenceData!$G$16),"")</f>
        <v>31702</v>
      </c>
      <c r="H16">
        <f ca="1">IFERROR(IF(0=LEN(ReferenceData!$H$16),"",ReferenceData!$H$16),"")</f>
        <v>29931</v>
      </c>
      <c r="I16">
        <f ca="1">IFERROR(IF(0=LEN(ReferenceData!$I$16),"",ReferenceData!$I$16),"")</f>
        <v>27389</v>
      </c>
      <c r="J16">
        <f ca="1">IFERROR(IF(0=LEN(ReferenceData!$J$16),"",ReferenceData!$J$16),"")</f>
        <v>28334</v>
      </c>
      <c r="K16">
        <f ca="1">IFERROR(IF(0=LEN(ReferenceData!$K$16),"",ReferenceData!$K$16),"")</f>
        <v>31631</v>
      </c>
      <c r="L16">
        <f ca="1">IFERROR(IF(0=LEN(ReferenceData!$L$16),"",ReferenceData!$L$16),"")</f>
        <v>30750</v>
      </c>
      <c r="M16">
        <f ca="1">IFERROR(IF(0=LEN(ReferenceData!$M$16),"",ReferenceData!$M$16),"")</f>
        <v>30049</v>
      </c>
      <c r="N16">
        <f ca="1">IFERROR(IF(0=LEN(ReferenceData!$N$16),"",ReferenceData!$N$16),"")</f>
        <v>33573</v>
      </c>
      <c r="O16">
        <f ca="1">IFERROR(IF(0=LEN(ReferenceData!$O$16),"",ReferenceData!$O$16),"")</f>
        <v>44903</v>
      </c>
      <c r="P16">
        <f ca="1">IFERROR(IF(0=LEN(ReferenceData!$P$16),"",ReferenceData!$P$16),"")</f>
        <v>43677</v>
      </c>
      <c r="Q16">
        <f ca="1">IFERROR(IF(0=LEN(ReferenceData!$Q$16),"",ReferenceData!$Q$16),"")</f>
        <v>40434</v>
      </c>
      <c r="R16">
        <f ca="1">IFERROR(IF(0=LEN(ReferenceData!$R$16),"",ReferenceData!$R$16),"")</f>
        <v>38155</v>
      </c>
      <c r="S16">
        <f ca="1">IFERROR(IF(0=LEN(ReferenceData!$S$16),"",ReferenceData!$S$16),"")</f>
        <v>48587</v>
      </c>
      <c r="T16">
        <f ca="1">IFERROR(IF(0=LEN(ReferenceData!$T$16),"",ReferenceData!$T$16),"")</f>
        <v>49250</v>
      </c>
      <c r="U16">
        <f ca="1">IFERROR(IF(0=LEN(ReferenceData!$U$16),"",ReferenceData!$U$16),"")</f>
        <v>50514</v>
      </c>
      <c r="V16">
        <f ca="1">IFERROR(IF(0=LEN(ReferenceData!$V$16),"",ReferenceData!$V$16),"")</f>
        <v>52176</v>
      </c>
      <c r="W16">
        <f ca="1">IFERROR(IF(0=LEN(ReferenceData!$W$16),"",ReferenceData!$W$16),"")</f>
        <v>52600</v>
      </c>
      <c r="X16">
        <f ca="1">IFERROR(IF(0=LEN(ReferenceData!$X$16),"",ReferenceData!$X$16),"")</f>
        <v>55414</v>
      </c>
      <c r="Y16">
        <f ca="1">IFERROR(IF(0=LEN(ReferenceData!$Y$16),"",ReferenceData!$Y$16),"")</f>
        <v>55688</v>
      </c>
      <c r="Z16">
        <f ca="1">IFERROR(IF(0=LEN(ReferenceData!$Z$16),"",ReferenceData!$Z$16),"")</f>
        <v>44840</v>
      </c>
      <c r="AA16">
        <f ca="1">IFERROR(IF(0=LEN(ReferenceData!$AA$16),"",ReferenceData!$AA$16),"")</f>
        <v>54660</v>
      </c>
      <c r="AB16">
        <f ca="1">IFERROR(IF(0=LEN(ReferenceData!$AB$16),"",ReferenceData!$AB$16),"")</f>
        <v>47698</v>
      </c>
      <c r="AC16">
        <f ca="1">IFERROR(IF(0=LEN(ReferenceData!$AC$16),"",ReferenceData!$AC$16),"")</f>
        <v>46705</v>
      </c>
      <c r="AD16">
        <f ca="1">IFERROR(IF(0=LEN(ReferenceData!$AD$16),"",ReferenceData!$AD$16),"")</f>
        <v>42501</v>
      </c>
      <c r="AE16">
        <f ca="1">IFERROR(IF(0=LEN(ReferenceData!$AE$16),"",ReferenceData!$AE$16),"")</f>
        <v>60191</v>
      </c>
      <c r="AF16">
        <f ca="1">IFERROR(IF(0=LEN(ReferenceData!$AF$16),"",ReferenceData!$AF$16),"")</f>
        <v>60790</v>
      </c>
      <c r="AG16">
        <f ca="1">IFERROR(IF(0=LEN(ReferenceData!$AG$16),"",ReferenceData!$AG$16),"")</f>
        <v>60125</v>
      </c>
      <c r="AH16">
        <f ca="1">IFERROR(IF(0=LEN(ReferenceData!$AH$16),"",ReferenceData!$AH$16),"")</f>
        <v>60716</v>
      </c>
      <c r="AI16">
        <f ca="1">IFERROR(IF(0=LEN(ReferenceData!$AI$16),"",ReferenceData!$AI$16),"")</f>
        <v>70011</v>
      </c>
      <c r="AJ16">
        <f ca="1">IFERROR(IF(0=LEN(ReferenceData!$AJ$16),"",ReferenceData!$AJ$16),"")</f>
        <v>77505</v>
      </c>
      <c r="AK16">
        <f ca="1">IFERROR(IF(0=LEN(ReferenceData!$AK$16),"",ReferenceData!$AK$16),"")</f>
        <v>84975</v>
      </c>
      <c r="AL16">
        <f ca="1">IFERROR(IF(0=LEN(ReferenceData!$AL$16),"",ReferenceData!$AL$16),"")</f>
        <v>88862</v>
      </c>
      <c r="AM16">
        <f ca="1">IFERROR(IF(0=LEN(ReferenceData!$AM$16),"",ReferenceData!$AM$16),"")</f>
        <v>104475</v>
      </c>
      <c r="AN16">
        <f ca="1">IFERROR(IF(0=LEN(ReferenceData!$AN$16),"",ReferenceData!$AN$16),"")</f>
        <v>122464</v>
      </c>
      <c r="AO16">
        <f ca="1">IFERROR(IF(0=LEN(ReferenceData!$AO$16),"",ReferenceData!$AO$16),"")</f>
        <v>118307</v>
      </c>
      <c r="AP16">
        <f ca="1">IFERROR(IF(0=LEN(ReferenceData!$AP$16),"",ReferenceData!$AP$16),"")</f>
        <v>114824</v>
      </c>
      <c r="AQ16">
        <f ca="1">IFERROR(IF(0=LEN(ReferenceData!$AQ$16),"",ReferenceData!$AQ$16),"")</f>
        <v>125980</v>
      </c>
      <c r="AR16">
        <f ca="1">IFERROR(IF(0=LEN(ReferenceData!$AR$16),"",ReferenceData!$AR$16),"")</f>
        <v>129048</v>
      </c>
      <c r="AS16">
        <f ca="1">IFERROR(IF(0=LEN(ReferenceData!$AS$16),"",ReferenceData!$AS$16),"")</f>
        <v>165559</v>
      </c>
      <c r="AT16">
        <f ca="1">IFERROR(IF(0=LEN(ReferenceData!$AT$16),"",ReferenceData!$AT$16),"")</f>
        <v>130343</v>
      </c>
      <c r="AU16">
        <f ca="1">IFERROR(IF(0=LEN(ReferenceData!$AU$16),"",ReferenceData!$AU$16),"")</f>
        <v>136593</v>
      </c>
      <c r="AV16">
        <f ca="1">IFERROR(IF(0=LEN(ReferenceData!$AV$16),"",ReferenceData!$AV$16),"")</f>
        <v>121677</v>
      </c>
      <c r="AW16">
        <f ca="1">IFERROR(IF(0=LEN(ReferenceData!$AW$16),"",ReferenceData!$AW$16),"")</f>
        <v>114491</v>
      </c>
      <c r="AX16">
        <f ca="1">IFERROR(IF(0=LEN(ReferenceData!$AX$16),"",ReferenceData!$AX$16),"")</f>
        <v>103616</v>
      </c>
      <c r="AY16">
        <f ca="1">IFERROR(IF(0=LEN(ReferenceData!$AY$16),"",ReferenceData!$AY$16),"")</f>
        <v>119472</v>
      </c>
      <c r="AZ16">
        <f ca="1">IFERROR(IF(0=LEN(ReferenceData!$AZ$16),"",ReferenceData!$AZ$16),"")</f>
        <v>124540</v>
      </c>
      <c r="BA16">
        <f ca="1">IFERROR(IF(0=LEN(ReferenceData!$BA$16),"",ReferenceData!$BA$16),"")</f>
        <v>144091</v>
      </c>
      <c r="BB16">
        <f ca="1">IFERROR(IF(0=LEN(ReferenceData!$BB$16),"",ReferenceData!$BB$16),"")</f>
        <v>144144</v>
      </c>
      <c r="BC16">
        <f ca="1">IFERROR(IF(0=LEN(ReferenceData!$BC$16),"",ReferenceData!$BC$16),"")</f>
        <v>149983</v>
      </c>
      <c r="BD16">
        <f ca="1">IFERROR(IF(0=LEN(ReferenceData!$BD$16),"",ReferenceData!$BD$16),"")</f>
        <v>143255</v>
      </c>
      <c r="BE16">
        <f ca="1">IFERROR(IF(0=LEN(ReferenceData!$BE$16),"",ReferenceData!$BE$16),"")</f>
        <v>153975</v>
      </c>
      <c r="BF16">
        <f ca="1">IFERROR(IF(0=LEN(ReferenceData!$BF$16),"",ReferenceData!$BF$16),"")</f>
        <v>155700</v>
      </c>
      <c r="BG16">
        <f ca="1">IFERROR(IF(0=LEN(ReferenceData!$BG$16),"",ReferenceData!$BG$16),"")</f>
        <v>181859</v>
      </c>
      <c r="BH16">
        <f ca="1">IFERROR(IF(0=LEN(ReferenceData!$BH$16),"",ReferenceData!$BH$16),"")</f>
        <v>139579</v>
      </c>
      <c r="BI16" t="str">
        <f ca="1">IFERROR(IF(0=LEN(ReferenceData!$BI$16),"",ReferenceData!$BI$16),"")</f>
        <v/>
      </c>
      <c r="BJ16">
        <f ca="1">IFERROR(IF(0=LEN(ReferenceData!$BJ$16),"",ReferenceData!$BJ$16),"")</f>
        <v>167825</v>
      </c>
      <c r="BK16">
        <f ca="1">IFERROR(IF(0=LEN(ReferenceData!$BK$16),"",ReferenceData!$BK$16),"")</f>
        <v>255218</v>
      </c>
      <c r="BL16">
        <f ca="1">IFERROR(IF(0=LEN(ReferenceData!$BL$16),"",ReferenceData!$BL$16),"")</f>
        <v>264023</v>
      </c>
      <c r="BM16">
        <f ca="1">IFERROR(IF(0=LEN(ReferenceData!$BM$16),"",ReferenceData!$BM$16),"")</f>
        <v>184839</v>
      </c>
    </row>
    <row r="17" spans="1:65" x14ac:dyDescent="0.25">
      <c r="A17" t="str">
        <f>IFERROR(IF(0=LEN(ReferenceData!$A$17),"",ReferenceData!$A$17),"")</f>
        <v xml:space="preserve">    Credit Agricole SA</v>
      </c>
      <c r="B17" t="str">
        <f>IFERROR(IF(0=LEN(ReferenceData!$B$17),"",ReferenceData!$B$17),"")</f>
        <v>ACA FP Equity</v>
      </c>
      <c r="C17" t="str">
        <f>IFERROR(IF(0=LEN(ReferenceData!$C$17),"",ReferenceData!$C$17),"")</f>
        <v>BM105</v>
      </c>
      <c r="D17" t="str">
        <f>IFERROR(IF(0=LEN(ReferenceData!$D$17),"",ReferenceData!$D$17),"")</f>
        <v>BS_TRADING_ASSETS</v>
      </c>
      <c r="E17" t="str">
        <f>IFERROR(IF(0=LEN(ReferenceData!$E$17),"",ReferenceData!$E$17),"")</f>
        <v>Dynamic</v>
      </c>
      <c r="F17">
        <f ca="1">IFERROR(IF(0=LEN(ReferenceData!$F$17),"",ReferenceData!$F$17),"")</f>
        <v>371156</v>
      </c>
      <c r="G17" t="str">
        <f ca="1">IFERROR(IF(0=LEN(ReferenceData!$G$17),"",ReferenceData!$G$17),"")</f>
        <v/>
      </c>
      <c r="H17">
        <f ca="1">IFERROR(IF(0=LEN(ReferenceData!$H$17),"",ReferenceData!$H$17),"")</f>
        <v>329837</v>
      </c>
      <c r="I17" t="str">
        <f ca="1">IFERROR(IF(0=LEN(ReferenceData!$I$17),"",ReferenceData!$I$17),"")</f>
        <v/>
      </c>
      <c r="J17">
        <f ca="1">IFERROR(IF(0=LEN(ReferenceData!$J$17),"",ReferenceData!$J$17),"")</f>
        <v>301925</v>
      </c>
      <c r="K17" t="str">
        <f ca="1">IFERROR(IF(0=LEN(ReferenceData!$K$17),"",ReferenceData!$K$17),"")</f>
        <v/>
      </c>
      <c r="L17">
        <f ca="1">IFERROR(IF(0=LEN(ReferenceData!$L$17),"",ReferenceData!$L$17),"")</f>
        <v>291764</v>
      </c>
      <c r="M17" t="str">
        <f ca="1">IFERROR(IF(0=LEN(ReferenceData!$M$17),"",ReferenceData!$M$17),"")</f>
        <v/>
      </c>
      <c r="N17">
        <f ca="1">IFERROR(IF(0=LEN(ReferenceData!$N$17),"",ReferenceData!$N$17),"")</f>
        <v>249249</v>
      </c>
      <c r="O17" t="str">
        <f ca="1">IFERROR(IF(0=LEN(ReferenceData!$O$17),"",ReferenceData!$O$17),"")</f>
        <v/>
      </c>
      <c r="P17">
        <f ca="1">IFERROR(IF(0=LEN(ReferenceData!$P$17),"",ReferenceData!$P$17),"")</f>
        <v>263596</v>
      </c>
      <c r="Q17" t="str">
        <f ca="1">IFERROR(IF(0=LEN(ReferenceData!$Q$17),"",ReferenceData!$Q$17),"")</f>
        <v/>
      </c>
      <c r="R17">
        <f ca="1">IFERROR(IF(0=LEN(ReferenceData!$R$17),"",ReferenceData!$R$17),"")</f>
        <v>237341</v>
      </c>
      <c r="S17" t="str">
        <f ca="1">IFERROR(IF(0=LEN(ReferenceData!$S$17),"",ReferenceData!$S$17),"")</f>
        <v/>
      </c>
      <c r="T17">
        <f ca="1">IFERROR(IF(0=LEN(ReferenceData!$T$17),"",ReferenceData!$T$17),"")</f>
        <v>261235</v>
      </c>
      <c r="U17" t="str">
        <f ca="1">IFERROR(IF(0=LEN(ReferenceData!$U$17),"",ReferenceData!$U$17),"")</f>
        <v/>
      </c>
      <c r="V17">
        <f ca="1">IFERROR(IF(0=LEN(ReferenceData!$V$17),"",ReferenceData!$V$17),"")</f>
        <v>261968</v>
      </c>
      <c r="W17" t="str">
        <f ca="1">IFERROR(IF(0=LEN(ReferenceData!$W$17),"",ReferenceData!$W$17),"")</f>
        <v/>
      </c>
      <c r="X17">
        <f ca="1">IFERROR(IF(0=LEN(ReferenceData!$X$17),"",ReferenceData!$X$17),"")</f>
        <v>267004</v>
      </c>
      <c r="Y17" t="str">
        <f ca="1">IFERROR(IF(0=LEN(ReferenceData!$Y$17),"",ReferenceData!$Y$17),"")</f>
        <v/>
      </c>
      <c r="Z17">
        <f ca="1">IFERROR(IF(0=LEN(ReferenceData!$Z$17),"",ReferenceData!$Z$17),"")</f>
        <v>230721</v>
      </c>
      <c r="AA17" t="str">
        <f ca="1">IFERROR(IF(0=LEN(ReferenceData!$AA$17),"",ReferenceData!$AA$17),"")</f>
        <v/>
      </c>
      <c r="AB17">
        <f ca="1">IFERROR(IF(0=LEN(ReferenceData!$AB$17),"",ReferenceData!$AB$17),"")</f>
        <v>246898</v>
      </c>
      <c r="AC17" t="str">
        <f ca="1">IFERROR(IF(0=LEN(ReferenceData!$AC$17),"",ReferenceData!$AC$17),"")</f>
        <v/>
      </c>
      <c r="AD17">
        <f ca="1">IFERROR(IF(0=LEN(ReferenceData!$AD$17),"",ReferenceData!$AD$17),"")</f>
        <v>225605</v>
      </c>
      <c r="AE17" t="str">
        <f ca="1">IFERROR(IF(0=LEN(ReferenceData!$AE$17),"",ReferenceData!$AE$17),"")</f>
        <v/>
      </c>
      <c r="AF17">
        <f ca="1">IFERROR(IF(0=LEN(ReferenceData!$AF$17),"",ReferenceData!$AF$17),"")</f>
        <v>233279</v>
      </c>
      <c r="AG17" t="str">
        <f ca="1">IFERROR(IF(0=LEN(ReferenceData!$AG$17),"",ReferenceData!$AG$17),"")</f>
        <v/>
      </c>
      <c r="AH17">
        <f ca="1">IFERROR(IF(0=LEN(ReferenceData!$AH$17),"",ReferenceData!$AH$17),"")</f>
        <v>321404</v>
      </c>
      <c r="AI17" t="str">
        <f ca="1">IFERROR(IF(0=LEN(ReferenceData!$AI$17),"",ReferenceData!$AI$17),"")</f>
        <v/>
      </c>
      <c r="AJ17">
        <f ca="1">IFERROR(IF(0=LEN(ReferenceData!$AJ$17),"",ReferenceData!$AJ$17),"")</f>
        <v>334250</v>
      </c>
      <c r="AK17" t="str">
        <f ca="1">IFERROR(IF(0=LEN(ReferenceData!$AK$17),"",ReferenceData!$AK$17),"")</f>
        <v/>
      </c>
      <c r="AL17">
        <f ca="1">IFERROR(IF(0=LEN(ReferenceData!$AL$17),"",ReferenceData!$AL$17),"")</f>
        <v>326279</v>
      </c>
      <c r="AM17" t="str">
        <f ca="1">IFERROR(IF(0=LEN(ReferenceData!$AM$17),"",ReferenceData!$AM$17),"")</f>
        <v/>
      </c>
      <c r="AN17">
        <f ca="1">IFERROR(IF(0=LEN(ReferenceData!$AN$17),"",ReferenceData!$AN$17),"")</f>
        <v>378584</v>
      </c>
      <c r="AO17" t="str">
        <f ca="1">IFERROR(IF(0=LEN(ReferenceData!$AO$17),"",ReferenceData!$AO$17),"")</f>
        <v/>
      </c>
      <c r="AP17">
        <f ca="1">IFERROR(IF(0=LEN(ReferenceData!$AP$17),"",ReferenceData!$AP$17),"")</f>
        <v>348320</v>
      </c>
      <c r="AQ17" t="str">
        <f ca="1">IFERROR(IF(0=LEN(ReferenceData!$AQ$17),"",ReferenceData!$AQ$17),"")</f>
        <v/>
      </c>
      <c r="AR17">
        <f ca="1">IFERROR(IF(0=LEN(ReferenceData!$AR$17),"",ReferenceData!$AR$17),"")</f>
        <v>279495</v>
      </c>
      <c r="AS17" t="str">
        <f ca="1">IFERROR(IF(0=LEN(ReferenceData!$AS$17),"",ReferenceData!$AS$17),"")</f>
        <v/>
      </c>
      <c r="AT17">
        <f ca="1">IFERROR(IF(0=LEN(ReferenceData!$AT$17),"",ReferenceData!$AT$17),"")</f>
        <v>405572</v>
      </c>
      <c r="AU17" t="str">
        <f ca="1">IFERROR(IF(0=LEN(ReferenceData!$AU$17),"",ReferenceData!$AU$17),"")</f>
        <v/>
      </c>
      <c r="AV17">
        <f ca="1">IFERROR(IF(0=LEN(ReferenceData!$AV$17),"",ReferenceData!$AV$17),"")</f>
        <v>258916</v>
      </c>
      <c r="AW17" t="str">
        <f ca="1">IFERROR(IF(0=LEN(ReferenceData!$AW$17),"",ReferenceData!$AW$17),"")</f>
        <v/>
      </c>
      <c r="AX17">
        <f ca="1">IFERROR(IF(0=LEN(ReferenceData!$AX$17),"",ReferenceData!$AX$17),"")</f>
        <v>281371</v>
      </c>
      <c r="AY17" t="str">
        <f ca="1">IFERROR(IF(0=LEN(ReferenceData!$AY$17),"",ReferenceData!$AY$17),"")</f>
        <v/>
      </c>
      <c r="AZ17">
        <f ca="1">IFERROR(IF(0=LEN(ReferenceData!$AZ$17),"",ReferenceData!$AZ$17),"")</f>
        <v>484435</v>
      </c>
      <c r="BA17" t="str">
        <f ca="1">IFERROR(IF(0=LEN(ReferenceData!$BA$17),"",ReferenceData!$BA$17),"")</f>
        <v/>
      </c>
      <c r="BB17">
        <f ca="1">IFERROR(IF(0=LEN(ReferenceData!$BB$17),"",ReferenceData!$BB$17),"")</f>
        <v>330102</v>
      </c>
      <c r="BC17" t="str">
        <f ca="1">IFERROR(IF(0=LEN(ReferenceData!$BC$17),"",ReferenceData!$BC$17),"")</f>
        <v/>
      </c>
      <c r="BD17">
        <f ca="1">IFERROR(IF(0=LEN(ReferenceData!$BD$17),"",ReferenceData!$BD$17),"")</f>
        <v>498422</v>
      </c>
      <c r="BE17" t="str">
        <f ca="1">IFERROR(IF(0=LEN(ReferenceData!$BE$17),"",ReferenceData!$BE$17),"")</f>
        <v/>
      </c>
      <c r="BF17">
        <f ca="1">IFERROR(IF(0=LEN(ReferenceData!$BF$17),"",ReferenceData!$BF$17),"")</f>
        <v>447075</v>
      </c>
      <c r="BG17" t="str">
        <f ca="1">IFERROR(IF(0=LEN(ReferenceData!$BG$17),"",ReferenceData!$BG$17),"")</f>
        <v/>
      </c>
      <c r="BH17" t="str">
        <f ca="1">IFERROR(IF(0=LEN(ReferenceData!$BH$17),"",ReferenceData!$BH$17),"")</f>
        <v/>
      </c>
      <c r="BI17" t="str">
        <f ca="1">IFERROR(IF(0=LEN(ReferenceData!$BI$17),"",ReferenceData!$BI$17),"")</f>
        <v/>
      </c>
      <c r="BJ17" t="str">
        <f ca="1">IFERROR(IF(0=LEN(ReferenceData!$BJ$17),"",ReferenceData!$BJ$17),"")</f>
        <v/>
      </c>
      <c r="BK17" t="str">
        <f ca="1">IFERROR(IF(0=LEN(ReferenceData!$BK$17),"",ReferenceData!$BK$17),"")</f>
        <v/>
      </c>
      <c r="BL17" t="str">
        <f ca="1">IFERROR(IF(0=LEN(ReferenceData!$BL$17),"",ReferenceData!$BL$17),"")</f>
        <v/>
      </c>
      <c r="BM17" t="str">
        <f ca="1">IFERROR(IF(0=LEN(ReferenceData!$BM$17),"",ReferenceData!$BM$17),"")</f>
        <v/>
      </c>
    </row>
    <row r="18" spans="1:65" x14ac:dyDescent="0.25">
      <c r="A18" t="str">
        <f>IFERROR(IF(0=LEN(ReferenceData!$A$18),"",ReferenceData!$A$18),"")</f>
        <v xml:space="preserve">    Deutsche Bank AG</v>
      </c>
      <c r="B18" t="str">
        <f>IFERROR(IF(0=LEN(ReferenceData!$B$18),"",ReferenceData!$B$18),"")</f>
        <v>DBK GR Equity</v>
      </c>
      <c r="C18" t="str">
        <f>IFERROR(IF(0=LEN(ReferenceData!$C$18),"",ReferenceData!$C$18),"")</f>
        <v>BM105</v>
      </c>
      <c r="D18" t="str">
        <f>IFERROR(IF(0=LEN(ReferenceData!$D$18),"",ReferenceData!$D$18),"")</f>
        <v>BS_TRADING_ASSETS</v>
      </c>
      <c r="E18" t="str">
        <f>IFERROR(IF(0=LEN(ReferenceData!$E$18),"",ReferenceData!$E$18),"")</f>
        <v>Dynamic</v>
      </c>
      <c r="F18">
        <f ca="1">IFERROR(IF(0=LEN(ReferenceData!$F$18),"",ReferenceData!$F$18),"")</f>
        <v>139772</v>
      </c>
      <c r="G18">
        <f ca="1">IFERROR(IF(0=LEN(ReferenceData!$G$18),"",ReferenceData!$G$18),"")</f>
        <v>153664</v>
      </c>
      <c r="H18">
        <f ca="1">IFERROR(IF(0=LEN(ReferenceData!$H$18),"",ReferenceData!$H$18),"")</f>
        <v>134894</v>
      </c>
      <c r="I18">
        <f ca="1">IFERROR(IF(0=LEN(ReferenceData!$I$18),"",ReferenceData!$I$18),"")</f>
        <v>136599</v>
      </c>
      <c r="J18">
        <f ca="1">IFERROR(IF(0=LEN(ReferenceData!$J$18),"",ReferenceData!$J$18),"")</f>
        <v>125275</v>
      </c>
      <c r="K18">
        <f ca="1">IFERROR(IF(0=LEN(ReferenceData!$K$18),"",ReferenceData!$K$18),"")</f>
        <v>112602</v>
      </c>
      <c r="L18">
        <f ca="1">IFERROR(IF(0=LEN(ReferenceData!$L$18),"",ReferenceData!$L$18),"")</f>
        <v>108465</v>
      </c>
      <c r="M18">
        <f ca="1">IFERROR(IF(0=LEN(ReferenceData!$M$18),"",ReferenceData!$M$18),"")</f>
        <v>110901</v>
      </c>
      <c r="N18">
        <f ca="1">IFERROR(IF(0=LEN(ReferenceData!$N$18),"",ReferenceData!$N$18),"")</f>
        <v>92867</v>
      </c>
      <c r="O18">
        <f ca="1">IFERROR(IF(0=LEN(ReferenceData!$O$18),"",ReferenceData!$O$18),"")</f>
        <v>108509</v>
      </c>
      <c r="P18">
        <f ca="1">IFERROR(IF(0=LEN(ReferenceData!$P$18),"",ReferenceData!$P$18),"")</f>
        <v>103953</v>
      </c>
      <c r="Q18">
        <f ca="1">IFERROR(IF(0=LEN(ReferenceData!$Q$18),"",ReferenceData!$Q$18),"")</f>
        <v>112493</v>
      </c>
      <c r="R18">
        <f ca="1">IFERROR(IF(0=LEN(ReferenceData!$R$18),"",ReferenceData!$R$18),"")</f>
        <v>102396</v>
      </c>
      <c r="S18">
        <f ca="1">IFERROR(IF(0=LEN(ReferenceData!$S$18),"",ReferenceData!$S$18),"")</f>
        <v>121016</v>
      </c>
      <c r="T18">
        <f ca="1">IFERROR(IF(0=LEN(ReferenceData!$T$18),"",ReferenceData!$T$18),"")</f>
        <v>112120</v>
      </c>
      <c r="U18">
        <f ca="1">IFERROR(IF(0=LEN(ReferenceData!$U$18),"",ReferenceData!$U$18),"")</f>
        <v>109830</v>
      </c>
      <c r="V18">
        <f ca="1">IFERROR(IF(0=LEN(ReferenceData!$V$18),"",ReferenceData!$V$18),"")</f>
        <v>107929</v>
      </c>
      <c r="W18">
        <f ca="1">IFERROR(IF(0=LEN(ReferenceData!$W$18),"",ReferenceData!$W$18),"")</f>
        <v>119587</v>
      </c>
      <c r="X18">
        <f ca="1">IFERROR(IF(0=LEN(ReferenceData!$X$18),"",ReferenceData!$X$18),"")</f>
        <v>116959</v>
      </c>
      <c r="Y18">
        <f ca="1">IFERROR(IF(0=LEN(ReferenceData!$Y$18),"",ReferenceData!$Y$18),"")</f>
        <v>116812</v>
      </c>
      <c r="Z18">
        <f ca="1">IFERROR(IF(0=LEN(ReferenceData!$Z$18),"",ReferenceData!$Z$18),"")</f>
        <v>110875</v>
      </c>
      <c r="AA18">
        <f ca="1">IFERROR(IF(0=LEN(ReferenceData!$AA$18),"",ReferenceData!$AA$18),"")</f>
        <v>138786</v>
      </c>
      <c r="AB18">
        <f ca="1">IFERROR(IF(0=LEN(ReferenceData!$AB$18),"",ReferenceData!$AB$18),"")</f>
        <v>162608</v>
      </c>
      <c r="AC18">
        <f ca="1">IFERROR(IF(0=LEN(ReferenceData!$AC$18),"",ReferenceData!$AC$18),"")</f>
        <v>164840</v>
      </c>
      <c r="AD18">
        <f ca="1">IFERROR(IF(0=LEN(ReferenceData!$AD$18),"",ReferenceData!$AD$18),"")</f>
        <v>152738</v>
      </c>
      <c r="AE18">
        <f ca="1">IFERROR(IF(0=LEN(ReferenceData!$AE$18),"",ReferenceData!$AE$18),"")</f>
        <v>156295</v>
      </c>
      <c r="AF18">
        <f ca="1">IFERROR(IF(0=LEN(ReferenceData!$AF$18),"",ReferenceData!$AF$18),"")</f>
        <v>160646</v>
      </c>
      <c r="AG18">
        <f ca="1">IFERROR(IF(0=LEN(ReferenceData!$AG$18),"",ReferenceData!$AG$18),"")</f>
        <v>173014</v>
      </c>
      <c r="AH18">
        <f ca="1">IFERROR(IF(0=LEN(ReferenceData!$AH$18),"",ReferenceData!$AH$18),"")</f>
        <v>184661</v>
      </c>
      <c r="AI18">
        <f ca="1">IFERROR(IF(0=LEN(ReferenceData!$AI$18),"",ReferenceData!$AI$18),"")</f>
        <v>186716</v>
      </c>
      <c r="AJ18">
        <f ca="1">IFERROR(IF(0=LEN(ReferenceData!$AJ$18),"",ReferenceData!$AJ$18),"")</f>
        <v>188192</v>
      </c>
      <c r="AK18">
        <f ca="1">IFERROR(IF(0=LEN(ReferenceData!$AK$18),"",ReferenceData!$AK$18),"")</f>
        <v>189926</v>
      </c>
      <c r="AL18">
        <f ca="1">IFERROR(IF(0=LEN(ReferenceData!$AL$18),"",ReferenceData!$AL$18),"")</f>
        <v>171044</v>
      </c>
      <c r="AM18">
        <f ca="1">IFERROR(IF(0=LEN(ReferenceData!$AM$18),"",ReferenceData!$AM$18),"")</f>
        <v>176456</v>
      </c>
      <c r="AN18">
        <f ca="1">IFERROR(IF(0=LEN(ReferenceData!$AN$18),"",ReferenceData!$AN$18),"")</f>
        <v>178559</v>
      </c>
      <c r="AO18">
        <f ca="1">IFERROR(IF(0=LEN(ReferenceData!$AO$18),"",ReferenceData!$AO$18),"")</f>
        <v>174947</v>
      </c>
      <c r="AP18">
        <f ca="1">IFERROR(IF(0=LEN(ReferenceData!$AP$18),"",ReferenceData!$AP$18),"")</f>
        <v>196035</v>
      </c>
      <c r="AQ18">
        <f ca="1">IFERROR(IF(0=LEN(ReferenceData!$AQ$18),"",ReferenceData!$AQ$18),"")</f>
        <v>196998</v>
      </c>
      <c r="AR18">
        <f ca="1">IFERROR(IF(0=LEN(ReferenceData!$AR$18),"",ReferenceData!$AR$18),"")</f>
        <v>206382</v>
      </c>
      <c r="AS18">
        <f ca="1">IFERROR(IF(0=LEN(ReferenceData!$AS$18),"",ReferenceData!$AS$18),"")</f>
        <v>212185</v>
      </c>
      <c r="AT18">
        <f ca="1">IFERROR(IF(0=LEN(ReferenceData!$AT$18),"",ReferenceData!$AT$18),"")</f>
        <v>195681</v>
      </c>
      <c r="AU18">
        <f ca="1">IFERROR(IF(0=LEN(ReferenceData!$AU$18),"",ReferenceData!$AU$18),"")</f>
        <v>196360</v>
      </c>
      <c r="AV18">
        <f ca="1">IFERROR(IF(0=LEN(ReferenceData!$AV$18),"",ReferenceData!$AV$18),"")</f>
        <v>210991</v>
      </c>
      <c r="AW18">
        <f ca="1">IFERROR(IF(0=LEN(ReferenceData!$AW$18),"",ReferenceData!$AW$18),"")</f>
        <v>199842</v>
      </c>
      <c r="AX18">
        <f ca="1">IFERROR(IF(0=LEN(ReferenceData!$AX$18),"",ReferenceData!$AX$18),"")</f>
        <v>210070</v>
      </c>
      <c r="AY18">
        <f ca="1">IFERROR(IF(0=LEN(ReferenceData!$AY$18),"",ReferenceData!$AY$18),"")</f>
        <v>219247</v>
      </c>
      <c r="AZ18">
        <f ca="1">IFERROR(IF(0=LEN(ReferenceData!$AZ$18),"",ReferenceData!$AZ$18),"")</f>
        <v>237051</v>
      </c>
      <c r="BA18">
        <f ca="1">IFERROR(IF(0=LEN(ReferenceData!$BA$18),"",ReferenceData!$BA$18),"")</f>
        <v>251014</v>
      </c>
      <c r="BB18">
        <f ca="1">IFERROR(IF(0=LEN(ReferenceData!$BB$18),"",ReferenceData!$BB$18),"")</f>
        <v>254459</v>
      </c>
      <c r="BC18">
        <f ca="1">IFERROR(IF(0=LEN(ReferenceData!$BC$18),"",ReferenceData!$BC$18),"")</f>
        <v>256278</v>
      </c>
      <c r="BD18">
        <f ca="1">IFERROR(IF(0=LEN(ReferenceData!$BD$18),"",ReferenceData!$BD$18),"")</f>
        <v>247848</v>
      </c>
      <c r="BE18">
        <f ca="1">IFERROR(IF(0=LEN(ReferenceData!$BE$18),"",ReferenceData!$BE$18),"")</f>
        <v>258504</v>
      </c>
      <c r="BF18">
        <f ca="1">IFERROR(IF(0=LEN(ReferenceData!$BF$18),"",ReferenceData!$BF$18),"")</f>
        <v>240924</v>
      </c>
      <c r="BG18">
        <f ca="1">IFERROR(IF(0=LEN(ReferenceData!$BG$18),"",ReferenceData!$BG$18),"")</f>
        <v>267219</v>
      </c>
      <c r="BH18">
        <f ca="1">IFERROR(IF(0=LEN(ReferenceData!$BH$18),"",ReferenceData!$BH$18),"")</f>
        <v>289623</v>
      </c>
      <c r="BI18">
        <f ca="1">IFERROR(IF(0=LEN(ReferenceData!$BI$18),"",ReferenceData!$BI$18),"")</f>
        <v>460564</v>
      </c>
      <c r="BJ18">
        <f ca="1">IFERROR(IF(0=LEN(ReferenceData!$BJ$18),"",ReferenceData!$BJ$18),"")</f>
        <v>443217</v>
      </c>
      <c r="BK18">
        <f ca="1">IFERROR(IF(0=LEN(ReferenceData!$BK$18),"",ReferenceData!$BK$18),"")</f>
        <v>274560</v>
      </c>
      <c r="BL18">
        <f ca="1">IFERROR(IF(0=LEN(ReferenceData!$BL$18),"",ReferenceData!$BL$18),"")</f>
        <v>272874</v>
      </c>
      <c r="BM18" t="str">
        <f ca="1">IFERROR(IF(0=LEN(ReferenceData!$BM$18),"",ReferenceData!$BM$18),"")</f>
        <v/>
      </c>
    </row>
    <row r="19" spans="1:65" x14ac:dyDescent="0.25">
      <c r="A19" t="str">
        <f>IFERROR(IF(0=LEN(ReferenceData!$A$19),"",ReferenceData!$A$19),"")</f>
        <v xml:space="preserve">    DNB Bank ASA</v>
      </c>
      <c r="B19" t="str">
        <f>IFERROR(IF(0=LEN(ReferenceData!$B$19),"",ReferenceData!$B$19),"")</f>
        <v>DNB NO Equity</v>
      </c>
      <c r="C19" t="str">
        <f>IFERROR(IF(0=LEN(ReferenceData!$C$19),"",ReferenceData!$C$19),"")</f>
        <v>BM105</v>
      </c>
      <c r="D19" t="str">
        <f>IFERROR(IF(0=LEN(ReferenceData!$D$19),"",ReferenceData!$D$19),"")</f>
        <v>BS_TRADING_ASSETS</v>
      </c>
      <c r="E19" t="str">
        <f>IFERROR(IF(0=LEN(ReferenceData!$E$19),"",ReferenceData!$E$19),"")</f>
        <v>Dynamic</v>
      </c>
      <c r="F19" t="str">
        <f ca="1">IFERROR(IF(0=LEN(ReferenceData!$F$19),"",ReferenceData!$F$19),"")</f>
        <v/>
      </c>
      <c r="G19" t="str">
        <f ca="1">IFERROR(IF(0=LEN(ReferenceData!$G$19),"",ReferenceData!$G$19),"")</f>
        <v/>
      </c>
      <c r="H19" t="str">
        <f ca="1">IFERROR(IF(0=LEN(ReferenceData!$H$19),"",ReferenceData!$H$19),"")</f>
        <v/>
      </c>
      <c r="I19" t="str">
        <f ca="1">IFERROR(IF(0=LEN(ReferenceData!$I$19),"",ReferenceData!$I$19),"")</f>
        <v/>
      </c>
      <c r="J19" t="str">
        <f ca="1">IFERROR(IF(0=LEN(ReferenceData!$J$19),"",ReferenceData!$J$19),"")</f>
        <v/>
      </c>
      <c r="K19" t="str">
        <f ca="1">IFERROR(IF(0=LEN(ReferenceData!$K$19),"",ReferenceData!$K$19),"")</f>
        <v/>
      </c>
      <c r="L19" t="str">
        <f ca="1">IFERROR(IF(0=LEN(ReferenceData!$L$19),"",ReferenceData!$L$19),"")</f>
        <v/>
      </c>
      <c r="M19" t="str">
        <f ca="1">IFERROR(IF(0=LEN(ReferenceData!$M$19),"",ReferenceData!$M$19),"")</f>
        <v/>
      </c>
      <c r="N19" t="str">
        <f ca="1">IFERROR(IF(0=LEN(ReferenceData!$N$19),"",ReferenceData!$N$19),"")</f>
        <v/>
      </c>
      <c r="O19" t="str">
        <f ca="1">IFERROR(IF(0=LEN(ReferenceData!$O$19),"",ReferenceData!$O$19),"")</f>
        <v/>
      </c>
      <c r="P19" t="str">
        <f ca="1">IFERROR(IF(0=LEN(ReferenceData!$P$19),"",ReferenceData!$P$19),"")</f>
        <v/>
      </c>
      <c r="Q19" t="str">
        <f ca="1">IFERROR(IF(0=LEN(ReferenceData!$Q$19),"",ReferenceData!$Q$19),"")</f>
        <v/>
      </c>
      <c r="R19" t="str">
        <f ca="1">IFERROR(IF(0=LEN(ReferenceData!$R$19),"",ReferenceData!$R$19),"")</f>
        <v/>
      </c>
      <c r="S19" t="str">
        <f ca="1">IFERROR(IF(0=LEN(ReferenceData!$S$19),"",ReferenceData!$S$19),"")</f>
        <v/>
      </c>
      <c r="T19" t="str">
        <f ca="1">IFERROR(IF(0=LEN(ReferenceData!$T$19),"",ReferenceData!$T$19),"")</f>
        <v/>
      </c>
      <c r="U19" t="str">
        <f ca="1">IFERROR(IF(0=LEN(ReferenceData!$U$19),"",ReferenceData!$U$19),"")</f>
        <v/>
      </c>
      <c r="V19" t="str">
        <f ca="1">IFERROR(IF(0=LEN(ReferenceData!$V$19),"",ReferenceData!$V$19),"")</f>
        <v/>
      </c>
      <c r="W19" t="str">
        <f ca="1">IFERROR(IF(0=LEN(ReferenceData!$W$19),"",ReferenceData!$W$19),"")</f>
        <v/>
      </c>
      <c r="X19" t="str">
        <f ca="1">IFERROR(IF(0=LEN(ReferenceData!$X$19),"",ReferenceData!$X$19),"")</f>
        <v/>
      </c>
      <c r="Y19" t="str">
        <f ca="1">IFERROR(IF(0=LEN(ReferenceData!$Y$19),"",ReferenceData!$Y$19),"")</f>
        <v/>
      </c>
      <c r="Z19" t="str">
        <f ca="1">IFERROR(IF(0=LEN(ReferenceData!$Z$19),"",ReferenceData!$Z$19),"")</f>
        <v/>
      </c>
      <c r="AA19" t="str">
        <f ca="1">IFERROR(IF(0=LEN(ReferenceData!$AA$19),"",ReferenceData!$AA$19),"")</f>
        <v/>
      </c>
      <c r="AB19" t="str">
        <f ca="1">IFERROR(IF(0=LEN(ReferenceData!$AB$19),"",ReferenceData!$AB$19),"")</f>
        <v/>
      </c>
      <c r="AC19" t="str">
        <f ca="1">IFERROR(IF(0=LEN(ReferenceData!$AC$19),"",ReferenceData!$AC$19),"")</f>
        <v/>
      </c>
      <c r="AD19" t="str">
        <f ca="1">IFERROR(IF(0=LEN(ReferenceData!$AD$19),"",ReferenceData!$AD$19),"")</f>
        <v/>
      </c>
      <c r="AE19" t="str">
        <f ca="1">IFERROR(IF(0=LEN(ReferenceData!$AE$19),"",ReferenceData!$AE$19),"")</f>
        <v/>
      </c>
      <c r="AF19" t="str">
        <f ca="1">IFERROR(IF(0=LEN(ReferenceData!$AF$19),"",ReferenceData!$AF$19),"")</f>
        <v/>
      </c>
      <c r="AG19" t="str">
        <f ca="1">IFERROR(IF(0=LEN(ReferenceData!$AG$19),"",ReferenceData!$AG$19),"")</f>
        <v/>
      </c>
      <c r="AH19" t="str">
        <f ca="1">IFERROR(IF(0=LEN(ReferenceData!$AH$19),"",ReferenceData!$AH$19),"")</f>
        <v/>
      </c>
      <c r="AI19" t="str">
        <f ca="1">IFERROR(IF(0=LEN(ReferenceData!$AI$19),"",ReferenceData!$AI$19),"")</f>
        <v/>
      </c>
      <c r="AJ19" t="str">
        <f ca="1">IFERROR(IF(0=LEN(ReferenceData!$AJ$19),"",ReferenceData!$AJ$19),"")</f>
        <v/>
      </c>
      <c r="AK19" t="str">
        <f ca="1">IFERROR(IF(0=LEN(ReferenceData!$AK$19),"",ReferenceData!$AK$19),"")</f>
        <v/>
      </c>
      <c r="AL19" t="str">
        <f ca="1">IFERROR(IF(0=LEN(ReferenceData!$AL$19),"",ReferenceData!$AL$19),"")</f>
        <v/>
      </c>
      <c r="AM19" t="str">
        <f ca="1">IFERROR(IF(0=LEN(ReferenceData!$AM$19),"",ReferenceData!$AM$19),"")</f>
        <v/>
      </c>
      <c r="AN19" t="str">
        <f ca="1">IFERROR(IF(0=LEN(ReferenceData!$AN$19),"",ReferenceData!$AN$19),"")</f>
        <v/>
      </c>
      <c r="AO19" t="str">
        <f ca="1">IFERROR(IF(0=LEN(ReferenceData!$AO$19),"",ReferenceData!$AO$19),"")</f>
        <v/>
      </c>
      <c r="AP19" t="str">
        <f ca="1">IFERROR(IF(0=LEN(ReferenceData!$AP$19),"",ReferenceData!$AP$19),"")</f>
        <v/>
      </c>
      <c r="AQ19" t="str">
        <f ca="1">IFERROR(IF(0=LEN(ReferenceData!$AQ$19),"",ReferenceData!$AQ$19),"")</f>
        <v/>
      </c>
      <c r="AR19" t="str">
        <f ca="1">IFERROR(IF(0=LEN(ReferenceData!$AR$19),"",ReferenceData!$AR$19),"")</f>
        <v/>
      </c>
      <c r="AS19" t="str">
        <f ca="1">IFERROR(IF(0=LEN(ReferenceData!$AS$19),"",ReferenceData!$AS$19),"")</f>
        <v/>
      </c>
      <c r="AT19" t="str">
        <f ca="1">IFERROR(IF(0=LEN(ReferenceData!$AT$19),"",ReferenceData!$AT$19),"")</f>
        <v/>
      </c>
      <c r="AU19" t="str">
        <f ca="1">IFERROR(IF(0=LEN(ReferenceData!$AU$19),"",ReferenceData!$AU$19),"")</f>
        <v/>
      </c>
      <c r="AV19" t="str">
        <f ca="1">IFERROR(IF(0=LEN(ReferenceData!$AV$19),"",ReferenceData!$AV$19),"")</f>
        <v/>
      </c>
      <c r="AW19" t="str">
        <f ca="1">IFERROR(IF(0=LEN(ReferenceData!$AW$19),"",ReferenceData!$AW$19),"")</f>
        <v/>
      </c>
      <c r="AX19" t="str">
        <f ca="1">IFERROR(IF(0=LEN(ReferenceData!$AX$19),"",ReferenceData!$AX$19),"")</f>
        <v/>
      </c>
      <c r="AY19" t="str">
        <f ca="1">IFERROR(IF(0=LEN(ReferenceData!$AY$19),"",ReferenceData!$AY$19),"")</f>
        <v/>
      </c>
      <c r="AZ19" t="str">
        <f ca="1">IFERROR(IF(0=LEN(ReferenceData!$AZ$19),"",ReferenceData!$AZ$19),"")</f>
        <v/>
      </c>
      <c r="BA19" t="str">
        <f ca="1">IFERROR(IF(0=LEN(ReferenceData!$BA$19),"",ReferenceData!$BA$19),"")</f>
        <v/>
      </c>
      <c r="BB19" t="str">
        <f ca="1">IFERROR(IF(0=LEN(ReferenceData!$BB$19),"",ReferenceData!$BB$19),"")</f>
        <v/>
      </c>
      <c r="BC19" t="str">
        <f ca="1">IFERROR(IF(0=LEN(ReferenceData!$BC$19),"",ReferenceData!$BC$19),"")</f>
        <v/>
      </c>
      <c r="BD19" t="str">
        <f ca="1">IFERROR(IF(0=LEN(ReferenceData!$BD$19),"",ReferenceData!$BD$19),"")</f>
        <v/>
      </c>
      <c r="BE19" t="str">
        <f ca="1">IFERROR(IF(0=LEN(ReferenceData!$BE$19),"",ReferenceData!$BE$19),"")</f>
        <v/>
      </c>
      <c r="BF19" t="str">
        <f ca="1">IFERROR(IF(0=LEN(ReferenceData!$BF$19),"",ReferenceData!$BF$19),"")</f>
        <v/>
      </c>
      <c r="BG19" t="str">
        <f ca="1">IFERROR(IF(0=LEN(ReferenceData!$BG$19),"",ReferenceData!$BG$19),"")</f>
        <v/>
      </c>
      <c r="BH19" t="str">
        <f ca="1">IFERROR(IF(0=LEN(ReferenceData!$BH$19),"",ReferenceData!$BH$19),"")</f>
        <v/>
      </c>
      <c r="BI19" t="str">
        <f ca="1">IFERROR(IF(0=LEN(ReferenceData!$BI$19),"",ReferenceData!$BI$19),"")</f>
        <v/>
      </c>
      <c r="BJ19" t="str">
        <f ca="1">IFERROR(IF(0=LEN(ReferenceData!$BJ$19),"",ReferenceData!$BJ$19),"")</f>
        <v/>
      </c>
      <c r="BK19" t="str">
        <f ca="1">IFERROR(IF(0=LEN(ReferenceData!$BK$19),"",ReferenceData!$BK$19),"")</f>
        <v/>
      </c>
      <c r="BL19" t="str">
        <f ca="1">IFERROR(IF(0=LEN(ReferenceData!$BL$19),"",ReferenceData!$BL$19),"")</f>
        <v/>
      </c>
      <c r="BM19" t="str">
        <f ca="1">IFERROR(IF(0=LEN(ReferenceData!$BM$19),"",ReferenceData!$BM$19),"")</f>
        <v/>
      </c>
    </row>
    <row r="20" spans="1:65" x14ac:dyDescent="0.25">
      <c r="A20" t="str">
        <f>IFERROR(IF(0=LEN(ReferenceData!$A$20),"",ReferenceData!$A$20),"")</f>
        <v xml:space="preserve">    Danske Bank A/S</v>
      </c>
      <c r="B20" t="str">
        <f>IFERROR(IF(0=LEN(ReferenceData!$B$20),"",ReferenceData!$B$20),"")</f>
        <v>DANSKE DC Equity</v>
      </c>
      <c r="C20" t="str">
        <f>IFERROR(IF(0=LEN(ReferenceData!$C$20),"",ReferenceData!$C$20),"")</f>
        <v>BM105</v>
      </c>
      <c r="D20" t="str">
        <f>IFERROR(IF(0=LEN(ReferenceData!$D$20),"",ReferenceData!$D$20),"")</f>
        <v>BS_TRADING_ASSETS</v>
      </c>
      <c r="E20" t="str">
        <f>IFERROR(IF(0=LEN(ReferenceData!$E$20),"",ReferenceData!$E$20),"")</f>
        <v>Dynamic</v>
      </c>
      <c r="F20">
        <f ca="1">IFERROR(IF(0=LEN(ReferenceData!$F$20),"",ReferenceData!$F$20),"")</f>
        <v>71315.019230000005</v>
      </c>
      <c r="G20">
        <f ca="1">IFERROR(IF(0=LEN(ReferenceData!$G$20),"",ReferenceData!$G$20),"")</f>
        <v>68997.153219999993</v>
      </c>
      <c r="H20">
        <f ca="1">IFERROR(IF(0=LEN(ReferenceData!$H$20),"",ReferenceData!$H$20),"")</f>
        <v>66700.062290000002</v>
      </c>
      <c r="I20">
        <f ca="1">IFERROR(IF(0=LEN(ReferenceData!$I$20),"",ReferenceData!$I$20),"")</f>
        <v>65289.502890000003</v>
      </c>
      <c r="J20">
        <f ca="1">IFERROR(IF(0=LEN(ReferenceData!$J$20),"",ReferenceData!$J$20),"")</f>
        <v>73541.46269</v>
      </c>
      <c r="K20">
        <f ca="1">IFERROR(IF(0=LEN(ReferenceData!$K$20),"",ReferenceData!$K$20),"")</f>
        <v>80842.320139999996</v>
      </c>
      <c r="L20">
        <f ca="1">IFERROR(IF(0=LEN(ReferenceData!$L$20),"",ReferenceData!$L$20),"")</f>
        <v>75118.465849999993</v>
      </c>
      <c r="M20">
        <f ca="1">IFERROR(IF(0=LEN(ReferenceData!$M$20),"",ReferenceData!$M$20),"")</f>
        <v>76469.402719999998</v>
      </c>
      <c r="N20">
        <f ca="1">IFERROR(IF(0=LEN(ReferenceData!$N$20),"",ReferenceData!$N$20),"")</f>
        <v>85903.738450000004</v>
      </c>
      <c r="O20">
        <f ca="1">IFERROR(IF(0=LEN(ReferenceData!$O$20),"",ReferenceData!$O$20),"")</f>
        <v>105514.6893</v>
      </c>
      <c r="P20">
        <f ca="1">IFERROR(IF(0=LEN(ReferenceData!$P$20),"",ReferenceData!$P$20),"")</f>
        <v>88910.149969999999</v>
      </c>
      <c r="Q20">
        <f ca="1">IFERROR(IF(0=LEN(ReferenceData!$Q$20),"",ReferenceData!$Q$20),"")</f>
        <v>82891.266300000003</v>
      </c>
      <c r="R20">
        <f ca="1">IFERROR(IF(0=LEN(ReferenceData!$R$20),"",ReferenceData!$R$20),"")</f>
        <v>68525.164220000006</v>
      </c>
      <c r="S20">
        <f ca="1">IFERROR(IF(0=LEN(ReferenceData!$S$20),"",ReferenceData!$S$20),"")</f>
        <v>81791.318299999999</v>
      </c>
      <c r="T20">
        <f ca="1">IFERROR(IF(0=LEN(ReferenceData!$T$20),"",ReferenceData!$T$20),"")</f>
        <v>82368.663769999999</v>
      </c>
      <c r="U20">
        <f ca="1">IFERROR(IF(0=LEN(ReferenceData!$U$20),"",ReferenceData!$U$20),"")</f>
        <v>87732.673379999993</v>
      </c>
      <c r="V20">
        <f ca="1">IFERROR(IF(0=LEN(ReferenceData!$V$20),"",ReferenceData!$V$20),"")</f>
        <v>91775.832620000001</v>
      </c>
      <c r="W20">
        <f ca="1">IFERROR(IF(0=LEN(ReferenceData!$W$20),"",ReferenceData!$W$20),"")</f>
        <v>90587.851739999998</v>
      </c>
      <c r="X20">
        <f ca="1">IFERROR(IF(0=LEN(ReferenceData!$X$20),"",ReferenceData!$X$20),"")</f>
        <v>87973.094389999998</v>
      </c>
      <c r="Y20">
        <f ca="1">IFERROR(IF(0=LEN(ReferenceData!$Y$20),"",ReferenceData!$Y$20),"")</f>
        <v>94663.15797</v>
      </c>
      <c r="Z20">
        <f ca="1">IFERROR(IF(0=LEN(ReferenceData!$Z$20),"",ReferenceData!$Z$20),"")</f>
        <v>66288.280880000006</v>
      </c>
      <c r="AA20">
        <f ca="1">IFERROR(IF(0=LEN(ReferenceData!$AA$20),"",ReferenceData!$AA$20),"")</f>
        <v>81982.352580000006</v>
      </c>
      <c r="AB20">
        <f ca="1">IFERROR(IF(0=LEN(ReferenceData!$AB$20),"",ReferenceData!$AB$20),"")</f>
        <v>71555.662209999995</v>
      </c>
      <c r="AC20">
        <f ca="1">IFERROR(IF(0=LEN(ReferenceData!$AC$20),"",ReferenceData!$AC$20),"")</f>
        <v>62751.14443</v>
      </c>
      <c r="AD20">
        <f ca="1">IFERROR(IF(0=LEN(ReferenceData!$AD$20),"",ReferenceData!$AD$20),"")</f>
        <v>55692.194790000001</v>
      </c>
      <c r="AE20">
        <f ca="1">IFERROR(IF(0=LEN(ReferenceData!$AE$20),"",ReferenceData!$AE$20),"")</f>
        <v>59506.409729999999</v>
      </c>
      <c r="AF20">
        <f ca="1">IFERROR(IF(0=LEN(ReferenceData!$AF$20),"",ReferenceData!$AF$20),"")</f>
        <v>70259.380189999996</v>
      </c>
      <c r="AG20">
        <f ca="1">IFERROR(IF(0=LEN(ReferenceData!$AG$20),"",ReferenceData!$AG$20),"")</f>
        <v>62608.548750000002</v>
      </c>
      <c r="AH20">
        <f ca="1">IFERROR(IF(0=LEN(ReferenceData!$AH$20),"",ReferenceData!$AH$20),"")</f>
        <v>60354.129029999996</v>
      </c>
      <c r="AI20">
        <f ca="1">IFERROR(IF(0=LEN(ReferenceData!$AI$20),"",ReferenceData!$AI$20),"")</f>
        <v>62838.262860000003</v>
      </c>
      <c r="AJ20">
        <f ca="1">IFERROR(IF(0=LEN(ReferenceData!$AJ$20),"",ReferenceData!$AJ$20),"")</f>
        <v>65826.227199999994</v>
      </c>
      <c r="AK20">
        <f ca="1">IFERROR(IF(0=LEN(ReferenceData!$AK$20),"",ReferenceData!$AK$20),"")</f>
        <v>62356.653850000002</v>
      </c>
      <c r="AL20">
        <f ca="1">IFERROR(IF(0=LEN(ReferenceData!$AL$20),"",ReferenceData!$AL$20),"")</f>
        <v>68549.346439999994</v>
      </c>
      <c r="AM20">
        <f ca="1">IFERROR(IF(0=LEN(ReferenceData!$AM$20),"",ReferenceData!$AM$20),"")</f>
        <v>74253.369030000002</v>
      </c>
      <c r="AN20">
        <f ca="1">IFERROR(IF(0=LEN(ReferenceData!$AN$20),"",ReferenceData!$AN$20),"")</f>
        <v>77623.941630000001</v>
      </c>
      <c r="AO20">
        <f ca="1">IFERROR(IF(0=LEN(ReferenceData!$AO$20),"",ReferenceData!$AO$20),"")</f>
        <v>75997.49123</v>
      </c>
      <c r="AP20">
        <f ca="1">IFERROR(IF(0=LEN(ReferenceData!$AP$20),"",ReferenceData!$AP$20),"")</f>
        <v>73296.536640000006</v>
      </c>
      <c r="AQ20">
        <f ca="1">IFERROR(IF(0=LEN(ReferenceData!$AQ$20),"",ReferenceData!$AQ$20),"")</f>
        <v>75004.022630000007</v>
      </c>
      <c r="AR20">
        <f ca="1">IFERROR(IF(0=LEN(ReferenceData!$AR$20),"",ReferenceData!$AR$20),"")</f>
        <v>79989.365489999996</v>
      </c>
      <c r="AS20">
        <f ca="1">IFERROR(IF(0=LEN(ReferenceData!$AS$20),"",ReferenceData!$AS$20),"")</f>
        <v>107093.857</v>
      </c>
      <c r="AT20">
        <f ca="1">IFERROR(IF(0=LEN(ReferenceData!$AT$20),"",ReferenceData!$AT$20),"")</f>
        <v>44734.579700000002</v>
      </c>
      <c r="AU20">
        <f ca="1">IFERROR(IF(0=LEN(ReferenceData!$AU$20),"",ReferenceData!$AU$20),"")</f>
        <v>100901.35739999999</v>
      </c>
      <c r="AV20">
        <f ca="1">IFERROR(IF(0=LEN(ReferenceData!$AV$20),"",ReferenceData!$AV$20),"")</f>
        <v>93421.886689999999</v>
      </c>
      <c r="AW20">
        <f ca="1">IFERROR(IF(0=LEN(ReferenceData!$AW$20),"",ReferenceData!$AW$20),"")</f>
        <v>94687.766449999996</v>
      </c>
      <c r="AX20">
        <f ca="1">IFERROR(IF(0=LEN(ReferenceData!$AX$20),"",ReferenceData!$AX$20),"")</f>
        <v>59810.828970000002</v>
      </c>
      <c r="AY20">
        <f ca="1">IFERROR(IF(0=LEN(ReferenceData!$AY$20),"",ReferenceData!$AY$20),"")</f>
        <v>94865.278359999997</v>
      </c>
      <c r="AZ20">
        <f ca="1">IFERROR(IF(0=LEN(ReferenceData!$AZ$20),"",ReferenceData!$AZ$20),"")</f>
        <v>96722.810129999998</v>
      </c>
      <c r="BA20">
        <f ca="1">IFERROR(IF(0=LEN(ReferenceData!$BA$20),"",ReferenceData!$BA$20),"")</f>
        <v>111558.2873</v>
      </c>
      <c r="BB20">
        <f ca="1">IFERROR(IF(0=LEN(ReferenceData!$BB$20),"",ReferenceData!$BB$20),"")</f>
        <v>54143.218529999998</v>
      </c>
      <c r="BC20">
        <f ca="1">IFERROR(IF(0=LEN(ReferenceData!$BC$20),"",ReferenceData!$BC$20),"")</f>
        <v>124061.66220000001</v>
      </c>
      <c r="BD20">
        <f ca="1">IFERROR(IF(0=LEN(ReferenceData!$BD$20),"",ReferenceData!$BD$20),"")</f>
        <v>116072.3046</v>
      </c>
      <c r="BE20">
        <f ca="1">IFERROR(IF(0=LEN(ReferenceData!$BE$20),"",ReferenceData!$BE$20),"")</f>
        <v>116804.4215</v>
      </c>
      <c r="BF20">
        <f ca="1">IFERROR(IF(0=LEN(ReferenceData!$BF$20),"",ReferenceData!$BF$20),"")</f>
        <v>122388.4948</v>
      </c>
      <c r="BG20">
        <f ca="1">IFERROR(IF(0=LEN(ReferenceData!$BG$20),"",ReferenceData!$BG$20),"")</f>
        <v>122493.94869999999</v>
      </c>
      <c r="BH20">
        <f ca="1">IFERROR(IF(0=LEN(ReferenceData!$BH$20),"",ReferenceData!$BH$20),"")</f>
        <v>86479.704190000004</v>
      </c>
      <c r="BI20">
        <f ca="1">IFERROR(IF(0=LEN(ReferenceData!$BI$20),"",ReferenceData!$BI$20),"")</f>
        <v>84607.234639999995</v>
      </c>
      <c r="BJ20" t="str">
        <f ca="1">IFERROR(IF(0=LEN(ReferenceData!$BJ$20),"",ReferenceData!$BJ$20),"")</f>
        <v/>
      </c>
      <c r="BK20">
        <f ca="1">IFERROR(IF(0=LEN(ReferenceData!$BK$20),"",ReferenceData!$BK$20),"")</f>
        <v>108715.8257</v>
      </c>
      <c r="BL20">
        <f ca="1">IFERROR(IF(0=LEN(ReferenceData!$BL$20),"",ReferenceData!$BL$20),"")</f>
        <v>104170.7743</v>
      </c>
      <c r="BM20">
        <f ca="1">IFERROR(IF(0=LEN(ReferenceData!$BM$20),"",ReferenceData!$BM$20),"")</f>
        <v>89418.470809999999</v>
      </c>
    </row>
    <row r="21" spans="1:65" x14ac:dyDescent="0.25">
      <c r="A21" t="str">
        <f>IFERROR(IF(0=LEN(ReferenceData!$A$21),"",ReferenceData!$A$21),"")</f>
        <v xml:space="preserve">    Erste Group Bank AG</v>
      </c>
      <c r="B21" t="str">
        <f>IFERROR(IF(0=LEN(ReferenceData!$B$21),"",ReferenceData!$B$21),"")</f>
        <v>EBS AV Equity</v>
      </c>
      <c r="C21" t="str">
        <f>IFERROR(IF(0=LEN(ReferenceData!$C$21),"",ReferenceData!$C$21),"")</f>
        <v>BM105</v>
      </c>
      <c r="D21" t="str">
        <f>IFERROR(IF(0=LEN(ReferenceData!$D$21),"",ReferenceData!$D$21),"")</f>
        <v>BS_TRADING_ASSETS</v>
      </c>
      <c r="E21" t="str">
        <f>IFERROR(IF(0=LEN(ReferenceData!$E$21),"",ReferenceData!$E$21),"")</f>
        <v>Dynamic</v>
      </c>
      <c r="F21" t="str">
        <f ca="1">IFERROR(IF(0=LEN(ReferenceData!$F$21),"",ReferenceData!$F$21),"")</f>
        <v/>
      </c>
      <c r="G21" t="str">
        <f ca="1">IFERROR(IF(0=LEN(ReferenceData!$G$21),"",ReferenceData!$G$21),"")</f>
        <v/>
      </c>
      <c r="H21" t="str">
        <f ca="1">IFERROR(IF(0=LEN(ReferenceData!$H$21),"",ReferenceData!$H$21),"")</f>
        <v/>
      </c>
      <c r="I21" t="str">
        <f ca="1">IFERROR(IF(0=LEN(ReferenceData!$I$21),"",ReferenceData!$I$21),"")</f>
        <v/>
      </c>
      <c r="J21" t="str">
        <f ca="1">IFERROR(IF(0=LEN(ReferenceData!$J$21),"",ReferenceData!$J$21),"")</f>
        <v/>
      </c>
      <c r="K21" t="str">
        <f ca="1">IFERROR(IF(0=LEN(ReferenceData!$K$21),"",ReferenceData!$K$21),"")</f>
        <v/>
      </c>
      <c r="L21" t="str">
        <f ca="1">IFERROR(IF(0=LEN(ReferenceData!$L$21),"",ReferenceData!$L$21),"")</f>
        <v/>
      </c>
      <c r="M21" t="str">
        <f ca="1">IFERROR(IF(0=LEN(ReferenceData!$M$21),"",ReferenceData!$M$21),"")</f>
        <v/>
      </c>
      <c r="N21">
        <f ca="1">IFERROR(IF(0=LEN(ReferenceData!$N$21),"",ReferenceData!$N$21),"")</f>
        <v>3002.6</v>
      </c>
      <c r="O21" t="str">
        <f ca="1">IFERROR(IF(0=LEN(ReferenceData!$O$21),"",ReferenceData!$O$21),"")</f>
        <v/>
      </c>
      <c r="P21">
        <f ca="1">IFERROR(IF(0=LEN(ReferenceData!$P$21),"",ReferenceData!$P$21),"")</f>
        <v>4176</v>
      </c>
      <c r="Q21">
        <f ca="1">IFERROR(IF(0=LEN(ReferenceData!$Q$21),"",ReferenceData!$Q$21),"")</f>
        <v>4649.9750000000004</v>
      </c>
      <c r="R21" t="str">
        <f ca="1">IFERROR(IF(0=LEN(ReferenceData!$R$21),"",ReferenceData!$R$21),"")</f>
        <v/>
      </c>
      <c r="S21" t="str">
        <f ca="1">IFERROR(IF(0=LEN(ReferenceData!$S$21),"",ReferenceData!$S$21),"")</f>
        <v/>
      </c>
      <c r="T21" t="str">
        <f ca="1">IFERROR(IF(0=LEN(ReferenceData!$T$21),"",ReferenceData!$T$21),"")</f>
        <v/>
      </c>
      <c r="U21" t="str">
        <f ca="1">IFERROR(IF(0=LEN(ReferenceData!$U$21),"",ReferenceData!$U$21),"")</f>
        <v/>
      </c>
      <c r="V21">
        <f ca="1">IFERROR(IF(0=LEN(ReferenceData!$V$21),"",ReferenceData!$V$21),"")</f>
        <v>3401.7</v>
      </c>
      <c r="W21">
        <f ca="1">IFERROR(IF(0=LEN(ReferenceData!$W$21),"",ReferenceData!$W$21),"")</f>
        <v>3394.4479999999999</v>
      </c>
      <c r="X21">
        <f ca="1">IFERROR(IF(0=LEN(ReferenceData!$X$21),"",ReferenceData!$X$21),"")</f>
        <v>3750.8960000000002</v>
      </c>
      <c r="Y21">
        <f ca="1">IFERROR(IF(0=LEN(ReferenceData!$Y$21),"",ReferenceData!$Y$21),"")</f>
        <v>3671.9369999999999</v>
      </c>
      <c r="Z21">
        <f ca="1">IFERROR(IF(0=LEN(ReferenceData!$Z$21),"",ReferenceData!$Z$21),"")</f>
        <v>2954.1550000000002</v>
      </c>
      <c r="AA21">
        <f ca="1">IFERROR(IF(0=LEN(ReferenceData!$AA$21),"",ReferenceData!$AA$21),"")</f>
        <v>3663.74</v>
      </c>
      <c r="AB21">
        <f ca="1">IFERROR(IF(0=LEN(ReferenceData!$AB$21),"",ReferenceData!$AB$21),"")</f>
        <v>3363.37</v>
      </c>
      <c r="AC21" t="str">
        <f ca="1">IFERROR(IF(0=LEN(ReferenceData!$AC$21),"",ReferenceData!$AC$21),"")</f>
        <v/>
      </c>
      <c r="AD21">
        <f ca="1">IFERROR(IF(0=LEN(ReferenceData!$AD$21),"",ReferenceData!$AD$21),"")</f>
        <v>2547.047</v>
      </c>
      <c r="AE21" t="str">
        <f ca="1">IFERROR(IF(0=LEN(ReferenceData!$AE$21),"",ReferenceData!$AE$21),"")</f>
        <v/>
      </c>
      <c r="AF21" t="str">
        <f ca="1">IFERROR(IF(0=LEN(ReferenceData!$AF$21),"",ReferenceData!$AF$21),"")</f>
        <v/>
      </c>
      <c r="AG21" t="str">
        <f ca="1">IFERROR(IF(0=LEN(ReferenceData!$AG$21),"",ReferenceData!$AG$21),"")</f>
        <v/>
      </c>
      <c r="AH21">
        <f ca="1">IFERROR(IF(0=LEN(ReferenceData!$AH$21),"",ReferenceData!$AH$21),"")</f>
        <v>3016.047</v>
      </c>
      <c r="AI21">
        <f ca="1">IFERROR(IF(0=LEN(ReferenceData!$AI$21),"",ReferenceData!$AI$21),"")</f>
        <v>3210.59</v>
      </c>
      <c r="AJ21">
        <f ca="1">IFERROR(IF(0=LEN(ReferenceData!$AJ$21),"",ReferenceData!$AJ$21),"")</f>
        <v>3215.84</v>
      </c>
      <c r="AK21">
        <f ca="1">IFERROR(IF(0=LEN(ReferenceData!$AK$21),"",ReferenceData!$AK$21),"")</f>
        <v>3725.8209999999999</v>
      </c>
      <c r="AL21">
        <f ca="1">IFERROR(IF(0=LEN(ReferenceData!$AL$21),"",ReferenceData!$AL$21),"")</f>
        <v>3475.6179999999999</v>
      </c>
      <c r="AM21">
        <f ca="1">IFERROR(IF(0=LEN(ReferenceData!$AM$21),"",ReferenceData!$AM$21),"")</f>
        <v>4433.2759999999998</v>
      </c>
      <c r="AN21">
        <f ca="1">IFERROR(IF(0=LEN(ReferenceData!$AN$21),"",ReferenceData!$AN$21),"")</f>
        <v>4763.1620000000003</v>
      </c>
      <c r="AO21">
        <f ca="1">IFERROR(IF(0=LEN(ReferenceData!$AO$21),"",ReferenceData!$AO$21),"")</f>
        <v>4291.7659999999996</v>
      </c>
      <c r="AP21">
        <f ca="1">IFERROR(IF(0=LEN(ReferenceData!$AP$21),"",ReferenceData!$AP$21),"")</f>
        <v>3416.2429999999999</v>
      </c>
      <c r="AQ21">
        <f ca="1">IFERROR(IF(0=LEN(ReferenceData!$AQ$21),"",ReferenceData!$AQ$21),"")</f>
        <v>3171.915</v>
      </c>
      <c r="AR21">
        <f ca="1">IFERROR(IF(0=LEN(ReferenceData!$AR$21),"",ReferenceData!$AR$21),"")</f>
        <v>3408.6610000000001</v>
      </c>
      <c r="AS21">
        <f ca="1">IFERROR(IF(0=LEN(ReferenceData!$AS$21),"",ReferenceData!$AS$21),"")</f>
        <v>3737.7710000000002</v>
      </c>
      <c r="AT21">
        <f ca="1">IFERROR(IF(0=LEN(ReferenceData!$AT$21),"",ReferenceData!$AT$21),"")</f>
        <v>3357.498</v>
      </c>
      <c r="AU21">
        <f ca="1">IFERROR(IF(0=LEN(ReferenceData!$AU$21),"",ReferenceData!$AU$21),"")</f>
        <v>4029.748</v>
      </c>
      <c r="AV21">
        <f ca="1">IFERROR(IF(0=LEN(ReferenceData!$AV$21),"",ReferenceData!$AV$21),"")</f>
        <v>6473.7830000000004</v>
      </c>
      <c r="AW21">
        <f ca="1">IFERROR(IF(0=LEN(ReferenceData!$AW$21),"",ReferenceData!$AW$21),"")</f>
        <v>7128.0150000000003</v>
      </c>
      <c r="AX21">
        <f ca="1">IFERROR(IF(0=LEN(ReferenceData!$AX$21),"",ReferenceData!$AX$21),"")</f>
        <v>5940.808</v>
      </c>
      <c r="AY21">
        <f ca="1">IFERROR(IF(0=LEN(ReferenceData!$AY$21),"",ReferenceData!$AY$21),"")</f>
        <v>7289.0129999999999</v>
      </c>
      <c r="AZ21">
        <f ca="1">IFERROR(IF(0=LEN(ReferenceData!$AZ$21),"",ReferenceData!$AZ$21),"")</f>
        <v>7751.3890000000001</v>
      </c>
      <c r="BA21">
        <f ca="1">IFERROR(IF(0=LEN(ReferenceData!$BA$21),"",ReferenceData!$BA$21),"")</f>
        <v>6512</v>
      </c>
      <c r="BB21">
        <f ca="1">IFERROR(IF(0=LEN(ReferenceData!$BB$21),"",ReferenceData!$BB$21),"")</f>
        <v>5177.9840000000004</v>
      </c>
      <c r="BC21">
        <f ca="1">IFERROR(IF(0=LEN(ReferenceData!$BC$21),"",ReferenceData!$BC$21),"")</f>
        <v>5186</v>
      </c>
      <c r="BD21">
        <f ca="1">IFERROR(IF(0=LEN(ReferenceData!$BD$21),"",ReferenceData!$BD$21),"")</f>
        <v>5953</v>
      </c>
      <c r="BE21">
        <f ca="1">IFERROR(IF(0=LEN(ReferenceData!$BE$21),"",ReferenceData!$BE$21),"")</f>
        <v>8116</v>
      </c>
      <c r="BF21">
        <f ca="1">IFERROR(IF(0=LEN(ReferenceData!$BF$21),"",ReferenceData!$BF$21),"")</f>
        <v>5875.8379999999997</v>
      </c>
      <c r="BG21">
        <f ca="1">IFERROR(IF(0=LEN(ReferenceData!$BG$21),"",ReferenceData!$BG$21),"")</f>
        <v>7350</v>
      </c>
      <c r="BH21">
        <f ca="1">IFERROR(IF(0=LEN(ReferenceData!$BH$21),"",ReferenceData!$BH$21),"")</f>
        <v>8357</v>
      </c>
      <c r="BI21">
        <f ca="1">IFERROR(IF(0=LEN(ReferenceData!$BI$21),"",ReferenceData!$BI$21),"")</f>
        <v>7777</v>
      </c>
      <c r="BJ21">
        <f ca="1">IFERROR(IF(0=LEN(ReferenceData!$BJ$21),"",ReferenceData!$BJ$21),"")</f>
        <v>5535.5429999999997</v>
      </c>
      <c r="BK21">
        <f ca="1">IFERROR(IF(0=LEN(ReferenceData!$BK$21),"",ReferenceData!$BK$21),"")</f>
        <v>9731</v>
      </c>
      <c r="BL21">
        <f ca="1">IFERROR(IF(0=LEN(ReferenceData!$BL$21),"",ReferenceData!$BL$21),"")</f>
        <v>8408</v>
      </c>
      <c r="BM21" t="str">
        <f ca="1">IFERROR(IF(0=LEN(ReferenceData!$BM$21),"",ReferenceData!$BM$21),"")</f>
        <v/>
      </c>
    </row>
    <row r="22" spans="1:65" x14ac:dyDescent="0.25">
      <c r="A22" t="str">
        <f>IFERROR(IF(0=LEN(ReferenceData!$A$22),"",ReferenceData!$A$22),"")</f>
        <v xml:space="preserve">    FinecoBank Banca Fineco SpA</v>
      </c>
      <c r="B22" t="str">
        <f>IFERROR(IF(0=LEN(ReferenceData!$B$22),"",ReferenceData!$B$22),"")</f>
        <v>FBK IM Equity</v>
      </c>
      <c r="C22" t="str">
        <f>IFERROR(IF(0=LEN(ReferenceData!$C$22),"",ReferenceData!$C$22),"")</f>
        <v>BM105</v>
      </c>
      <c r="D22" t="str">
        <f>IFERROR(IF(0=LEN(ReferenceData!$D$22),"",ReferenceData!$D$22),"")</f>
        <v>BS_TRADING_ASSETS</v>
      </c>
      <c r="E22" t="str">
        <f>IFERROR(IF(0=LEN(ReferenceData!$E$22),"",ReferenceData!$E$22),"")</f>
        <v>Dynamic</v>
      </c>
      <c r="F22">
        <f ca="1">IFERROR(IF(0=LEN(ReferenceData!$F$22),"",ReferenceData!$F$22),"")</f>
        <v>28.539000000000001</v>
      </c>
      <c r="G22">
        <f ca="1">IFERROR(IF(0=LEN(ReferenceData!$G$22),"",ReferenceData!$G$22),"")</f>
        <v>21.364999999999998</v>
      </c>
      <c r="H22">
        <f ca="1">IFERROR(IF(0=LEN(ReferenceData!$H$22),"",ReferenceData!$H$22),"")</f>
        <v>21.213999999999999</v>
      </c>
      <c r="I22">
        <f ca="1">IFERROR(IF(0=LEN(ReferenceData!$I$22),"",ReferenceData!$I$22),"")</f>
        <v>19.456</v>
      </c>
      <c r="J22">
        <f ca="1">IFERROR(IF(0=LEN(ReferenceData!$J$22),"",ReferenceData!$J$22),"")</f>
        <v>14.109</v>
      </c>
      <c r="K22">
        <f ca="1">IFERROR(IF(0=LEN(ReferenceData!$K$22),"",ReferenceData!$K$22),"")</f>
        <v>21.353999999999999</v>
      </c>
      <c r="L22">
        <f ca="1">IFERROR(IF(0=LEN(ReferenceData!$L$22),"",ReferenceData!$L$22),"")</f>
        <v>16.867999999999999</v>
      </c>
      <c r="M22">
        <f ca="1">IFERROR(IF(0=LEN(ReferenceData!$M$22),"",ReferenceData!$M$22),"")</f>
        <v>15.73</v>
      </c>
      <c r="N22">
        <f ca="1">IFERROR(IF(0=LEN(ReferenceData!$N$22),"",ReferenceData!$N$22),"")</f>
        <v>16.925999999999998</v>
      </c>
      <c r="O22">
        <f ca="1">IFERROR(IF(0=LEN(ReferenceData!$O$22),"",ReferenceData!$O$22),"")</f>
        <v>22.285</v>
      </c>
      <c r="P22">
        <f ca="1">IFERROR(IF(0=LEN(ReferenceData!$P$22),"",ReferenceData!$P$22),"")</f>
        <v>20.02</v>
      </c>
      <c r="Q22">
        <f ca="1">IFERROR(IF(0=LEN(ReferenceData!$Q$22),"",ReferenceData!$Q$22),"")</f>
        <v>20.123000000000001</v>
      </c>
      <c r="R22">
        <f ca="1">IFERROR(IF(0=LEN(ReferenceData!$R$22),"",ReferenceData!$R$22),"")</f>
        <v>20.239999999999998</v>
      </c>
      <c r="S22">
        <f ca="1">IFERROR(IF(0=LEN(ReferenceData!$S$22),"",ReferenceData!$S$22),"")</f>
        <v>23.588999999999999</v>
      </c>
      <c r="T22">
        <f ca="1">IFERROR(IF(0=LEN(ReferenceData!$T$22),"",ReferenceData!$T$22),"")</f>
        <v>21.393000000000001</v>
      </c>
      <c r="U22">
        <f ca="1">IFERROR(IF(0=LEN(ReferenceData!$U$22),"",ReferenceData!$U$22),"")</f>
        <v>26.233000000000001</v>
      </c>
      <c r="V22">
        <f ca="1">IFERROR(IF(0=LEN(ReferenceData!$V$22),"",ReferenceData!$V$22),"")</f>
        <v>16.997</v>
      </c>
      <c r="W22">
        <f ca="1">IFERROR(IF(0=LEN(ReferenceData!$W$22),"",ReferenceData!$W$22),"")</f>
        <v>13.146000000000001</v>
      </c>
      <c r="X22">
        <f ca="1">IFERROR(IF(0=LEN(ReferenceData!$X$22),"",ReferenceData!$X$22),"")</f>
        <v>14.590999999999999</v>
      </c>
      <c r="Y22">
        <f ca="1">IFERROR(IF(0=LEN(ReferenceData!$Y$22),"",ReferenceData!$Y$22),"")</f>
        <v>12.888</v>
      </c>
      <c r="Z22">
        <f ca="1">IFERROR(IF(0=LEN(ReferenceData!$Z$22),"",ReferenceData!$Z$22),"")</f>
        <v>7.9329999999999998</v>
      </c>
      <c r="AA22">
        <f ca="1">IFERROR(IF(0=LEN(ReferenceData!$AA$22),"",ReferenceData!$AA$22),"")</f>
        <v>10.592000000000001</v>
      </c>
      <c r="AB22">
        <f ca="1">IFERROR(IF(0=LEN(ReferenceData!$AB$22),"",ReferenceData!$AB$22),"")</f>
        <v>7.4749999999999996</v>
      </c>
      <c r="AC22">
        <f ca="1">IFERROR(IF(0=LEN(ReferenceData!$AC$22),"",ReferenceData!$AC$22),"")</f>
        <v>9.2859999999999996</v>
      </c>
      <c r="AD22">
        <f ca="1">IFERROR(IF(0=LEN(ReferenceData!$AD$22),"",ReferenceData!$AD$22),"")</f>
        <v>6.8760000000000003</v>
      </c>
      <c r="AE22">
        <f ca="1">IFERROR(IF(0=LEN(ReferenceData!$AE$22),"",ReferenceData!$AE$22),"")</f>
        <v>12.253</v>
      </c>
      <c r="AF22">
        <f ca="1">IFERROR(IF(0=LEN(ReferenceData!$AF$22),"",ReferenceData!$AF$22),"")</f>
        <v>10.871</v>
      </c>
      <c r="AG22">
        <f ca="1">IFERROR(IF(0=LEN(ReferenceData!$AG$22),"",ReferenceData!$AG$22),"")</f>
        <v>10.368</v>
      </c>
      <c r="AH22">
        <f ca="1">IFERROR(IF(0=LEN(ReferenceData!$AH$22),"",ReferenceData!$AH$22),"")</f>
        <v>10.878797</v>
      </c>
      <c r="AI22">
        <f ca="1">IFERROR(IF(0=LEN(ReferenceData!$AI$22),"",ReferenceData!$AI$22),"")</f>
        <v>10.538</v>
      </c>
      <c r="AJ22">
        <f ca="1">IFERROR(IF(0=LEN(ReferenceData!$AJ$22),"",ReferenceData!$AJ$22),"")</f>
        <v>9.7912789999999994</v>
      </c>
      <c r="AK22">
        <f ca="1">IFERROR(IF(0=LEN(ReferenceData!$AK$22),"",ReferenceData!$AK$22),"")</f>
        <v>5.7080000000000002</v>
      </c>
      <c r="AL22">
        <f ca="1">IFERROR(IF(0=LEN(ReferenceData!$AL$22),"",ReferenceData!$AL$22),"")</f>
        <v>6.0443809999999996</v>
      </c>
      <c r="AM22">
        <f ca="1">IFERROR(IF(0=LEN(ReferenceData!$AM$22),"",ReferenceData!$AM$22),"")</f>
        <v>5.5469999999999997</v>
      </c>
      <c r="AN22">
        <f ca="1">IFERROR(IF(0=LEN(ReferenceData!$AN$22),"",ReferenceData!$AN$22),"")</f>
        <v>6.8793329999999999</v>
      </c>
      <c r="AO22">
        <f ca="1">IFERROR(IF(0=LEN(ReferenceData!$AO$22),"",ReferenceData!$AO$22),"")</f>
        <v>6.9960000000000004</v>
      </c>
      <c r="AP22">
        <f ca="1">IFERROR(IF(0=LEN(ReferenceData!$AP$22),"",ReferenceData!$AP$22),"")</f>
        <v>3.9831840000000001</v>
      </c>
      <c r="AQ22">
        <f ca="1">IFERROR(IF(0=LEN(ReferenceData!$AQ$22),"",ReferenceData!$AQ$22),"")</f>
        <v>8.6129999999999995</v>
      </c>
      <c r="AR22">
        <f ca="1">IFERROR(IF(0=LEN(ReferenceData!$AR$22),"",ReferenceData!$AR$22),"")</f>
        <v>5.4631379999999998</v>
      </c>
      <c r="AS22">
        <f ca="1">IFERROR(IF(0=LEN(ReferenceData!$AS$22),"",ReferenceData!$AS$22),"")</f>
        <v>5.609</v>
      </c>
      <c r="AT22">
        <f ca="1">IFERROR(IF(0=LEN(ReferenceData!$AT$22),"",ReferenceData!$AT$22),"")</f>
        <v>3.0537070000000002</v>
      </c>
      <c r="AU22">
        <f ca="1">IFERROR(IF(0=LEN(ReferenceData!$AU$22),"",ReferenceData!$AU$22),"")</f>
        <v>4.7075680000000002</v>
      </c>
      <c r="AV22">
        <f ca="1">IFERROR(IF(0=LEN(ReferenceData!$AV$22),"",ReferenceData!$AV$22),"")</f>
        <v>10.406679</v>
      </c>
      <c r="AW22">
        <f ca="1">IFERROR(IF(0=LEN(ReferenceData!$AW$22),"",ReferenceData!$AW$22),"")</f>
        <v>8.4050589999999996</v>
      </c>
      <c r="AX22" t="str">
        <f ca="1">IFERROR(IF(0=LEN(ReferenceData!$AX$22),"",ReferenceData!$AX$22),"")</f>
        <v/>
      </c>
      <c r="AY22" t="str">
        <f ca="1">IFERROR(IF(0=LEN(ReferenceData!$AY$22),"",ReferenceData!$AY$22),"")</f>
        <v/>
      </c>
      <c r="AZ22" t="str">
        <f ca="1">IFERROR(IF(0=LEN(ReferenceData!$AZ$22),"",ReferenceData!$AZ$22),"")</f>
        <v/>
      </c>
      <c r="BA22" t="str">
        <f ca="1">IFERROR(IF(0=LEN(ReferenceData!$BA$22),"",ReferenceData!$BA$22),"")</f>
        <v/>
      </c>
      <c r="BB22" t="str">
        <f ca="1">IFERROR(IF(0=LEN(ReferenceData!$BB$22),"",ReferenceData!$BB$22),"")</f>
        <v/>
      </c>
      <c r="BC22" t="str">
        <f ca="1">IFERROR(IF(0=LEN(ReferenceData!$BC$22),"",ReferenceData!$BC$22),"")</f>
        <v/>
      </c>
      <c r="BD22" t="str">
        <f ca="1">IFERROR(IF(0=LEN(ReferenceData!$BD$22),"",ReferenceData!$BD$22),"")</f>
        <v/>
      </c>
      <c r="BE22" t="str">
        <f ca="1">IFERROR(IF(0=LEN(ReferenceData!$BE$22),"",ReferenceData!$BE$22),"")</f>
        <v/>
      </c>
      <c r="BF22" t="str">
        <f ca="1">IFERROR(IF(0=LEN(ReferenceData!$BF$22),"",ReferenceData!$BF$22),"")</f>
        <v/>
      </c>
      <c r="BG22" t="str">
        <f ca="1">IFERROR(IF(0=LEN(ReferenceData!$BG$22),"",ReferenceData!$BG$22),"")</f>
        <v/>
      </c>
      <c r="BH22" t="str">
        <f ca="1">IFERROR(IF(0=LEN(ReferenceData!$BH$22),"",ReferenceData!$BH$22),"")</f>
        <v/>
      </c>
      <c r="BI22" t="str">
        <f ca="1">IFERROR(IF(0=LEN(ReferenceData!$BI$22),"",ReferenceData!$BI$22),"")</f>
        <v/>
      </c>
      <c r="BJ22" t="str">
        <f ca="1">IFERROR(IF(0=LEN(ReferenceData!$BJ$22),"",ReferenceData!$BJ$22),"")</f>
        <v/>
      </c>
      <c r="BK22" t="str">
        <f ca="1">IFERROR(IF(0=LEN(ReferenceData!$BK$22),"",ReferenceData!$BK$22),"")</f>
        <v/>
      </c>
      <c r="BL22" t="str">
        <f ca="1">IFERROR(IF(0=LEN(ReferenceData!$BL$22),"",ReferenceData!$BL$22),"")</f>
        <v/>
      </c>
      <c r="BM22" t="str">
        <f ca="1">IFERROR(IF(0=LEN(ReferenceData!$BM$22),"",ReferenceData!$BM$22),"")</f>
        <v/>
      </c>
    </row>
    <row r="23" spans="1:65" x14ac:dyDescent="0.25">
      <c r="A23" t="str">
        <f>IFERROR(IF(0=LEN(ReferenceData!$A$23),"",ReferenceData!$A$23),"")</f>
        <v xml:space="preserve">    HSBC Holdings PLC</v>
      </c>
      <c r="B23" t="str">
        <f>IFERROR(IF(0=LEN(ReferenceData!$B$23),"",ReferenceData!$B$23),"")</f>
        <v>HSBA LN Equity</v>
      </c>
      <c r="C23" t="str">
        <f>IFERROR(IF(0=LEN(ReferenceData!$C$23),"",ReferenceData!$C$23),"")</f>
        <v>BM105</v>
      </c>
      <c r="D23" t="str">
        <f>IFERROR(IF(0=LEN(ReferenceData!$D$23),"",ReferenceData!$D$23),"")</f>
        <v>BS_TRADING_ASSETS</v>
      </c>
      <c r="E23" t="str">
        <f>IFERROR(IF(0=LEN(ReferenceData!$E$23),"",ReferenceData!$E$23),"")</f>
        <v>Dynamic</v>
      </c>
      <c r="F23">
        <f ca="1">IFERROR(IF(0=LEN(ReferenceData!$F$23),"",ReferenceData!$F$23),"")</f>
        <v>304224.56280000001</v>
      </c>
      <c r="G23">
        <f ca="1">IFERROR(IF(0=LEN(ReferenceData!$G$23),"",ReferenceData!$G$23),"")</f>
        <v>313871.5465</v>
      </c>
      <c r="H23">
        <f ca="1">IFERROR(IF(0=LEN(ReferenceData!$H$23),"",ReferenceData!$H$23),"")</f>
        <v>309170.39939999999</v>
      </c>
      <c r="I23">
        <f ca="1">IFERROR(IF(0=LEN(ReferenceData!$I$23),"",ReferenceData!$I$23),"")</f>
        <v>298025.76699999999</v>
      </c>
      <c r="J23">
        <f ca="1">IFERROR(IF(0=LEN(ReferenceData!$J$23),"",ReferenceData!$J$23),"")</f>
        <v>261351.2292</v>
      </c>
      <c r="K23">
        <f ca="1">IFERROR(IF(0=LEN(ReferenceData!$K$23),"",ReferenceData!$K$23),"")</f>
        <v>235572.88709999999</v>
      </c>
      <c r="L23">
        <f ca="1">IFERROR(IF(0=LEN(ReferenceData!$L$23),"",ReferenceData!$L$23),"")</f>
        <v>233913.7205</v>
      </c>
      <c r="M23">
        <f ca="1">IFERROR(IF(0=LEN(ReferenceData!$M$23),"",ReferenceData!$M$23),"")</f>
        <v>210165.60860000001</v>
      </c>
      <c r="N23">
        <f ca="1">IFERROR(IF(0=LEN(ReferenceData!$N$23),"",ReferenceData!$N$23),"")</f>
        <v>203615.90890000001</v>
      </c>
      <c r="O23">
        <f ca="1">IFERROR(IF(0=LEN(ReferenceData!$O$23),"",ReferenceData!$O$23),"")</f>
        <v>206260.4699</v>
      </c>
      <c r="P23">
        <f ca="1">IFERROR(IF(0=LEN(ReferenceData!$P$23),"",ReferenceData!$P$23),"")</f>
        <v>207335.6863</v>
      </c>
      <c r="Q23">
        <f ca="1">IFERROR(IF(0=LEN(ReferenceData!$Q$23),"",ReferenceData!$Q$23),"")</f>
        <v>206469.95129999999</v>
      </c>
      <c r="R23">
        <f ca="1">IFERROR(IF(0=LEN(ReferenceData!$R$23),"",ReferenceData!$R$23),"")</f>
        <v>218550.85190000001</v>
      </c>
      <c r="S23">
        <f ca="1">IFERROR(IF(0=LEN(ReferenceData!$S$23),"",ReferenceData!$S$23),"")</f>
        <v>221565.98389999999</v>
      </c>
      <c r="T23">
        <f ca="1">IFERROR(IF(0=LEN(ReferenceData!$T$23),"",ReferenceData!$T$23),"")</f>
        <v>219638.78810000001</v>
      </c>
      <c r="U23">
        <f ca="1">IFERROR(IF(0=LEN(ReferenceData!$U$23),"",ReferenceData!$U$23),"")</f>
        <v>211941.27660000001</v>
      </c>
      <c r="V23">
        <f ca="1">IFERROR(IF(0=LEN(ReferenceData!$V$23),"",ReferenceData!$V$23),"")</f>
        <v>189766.87119999999</v>
      </c>
      <c r="W23">
        <f ca="1">IFERROR(IF(0=LEN(ReferenceData!$W$23),"",ReferenceData!$W$23),"")</f>
        <v>189690.3259</v>
      </c>
      <c r="X23">
        <f ca="1">IFERROR(IF(0=LEN(ReferenceData!$X$23),"",ReferenceData!$X$23),"")</f>
        <v>185861.42490000001</v>
      </c>
      <c r="Y23">
        <f ca="1">IFERROR(IF(0=LEN(ReferenceData!$Y$23),"",ReferenceData!$Y$23),"")</f>
        <v>196549.0839</v>
      </c>
      <c r="Z23">
        <f ca="1">IFERROR(IF(0=LEN(ReferenceData!$Z$23),"",ReferenceData!$Z$23),"")</f>
        <v>226441.3572</v>
      </c>
      <c r="AA23">
        <f ca="1">IFERROR(IF(0=LEN(ReferenceData!$AA$23),"",ReferenceData!$AA$23),"")</f>
        <v>223704.48499999999</v>
      </c>
      <c r="AB23">
        <f ca="1">IFERROR(IF(0=LEN(ReferenceData!$AB$23),"",ReferenceData!$AB$23),"")</f>
        <v>238950.61180000001</v>
      </c>
      <c r="AC23">
        <f ca="1">IFERROR(IF(0=LEN(ReferenceData!$AC$23),"",ReferenceData!$AC$23),"")</f>
        <v>235642.09959999999</v>
      </c>
      <c r="AD23">
        <f ca="1">IFERROR(IF(0=LEN(ReferenceData!$AD$23),"",ReferenceData!$AD$23),"")</f>
        <v>207937.47820000001</v>
      </c>
      <c r="AE23">
        <f ca="1">IFERROR(IF(0=LEN(ReferenceData!$AE$23),"",ReferenceData!$AE$23),"")</f>
        <v>219118.30549999999</v>
      </c>
      <c r="AF23">
        <f ca="1">IFERROR(IF(0=LEN(ReferenceData!$AF$23),"",ReferenceData!$AF$23),"")</f>
        <v>212290.82810000001</v>
      </c>
      <c r="AG23">
        <f ca="1">IFERROR(IF(0=LEN(ReferenceData!$AG$23),"",ReferenceData!$AG$23),"")</f>
        <v>224804.08859999999</v>
      </c>
      <c r="AH23">
        <f ca="1">IFERROR(IF(0=LEN(ReferenceData!$AH$23),"",ReferenceData!$AH$23),"")</f>
        <v>239556.64610000001</v>
      </c>
      <c r="AI23">
        <f ca="1">IFERROR(IF(0=LEN(ReferenceData!$AI$23),"",ReferenceData!$AI$23),"")</f>
        <v>283218.67320000002</v>
      </c>
      <c r="AJ23">
        <f ca="1">IFERROR(IF(0=LEN(ReferenceData!$AJ$23),"",ReferenceData!$AJ$23),"")</f>
        <v>280414.43969999999</v>
      </c>
      <c r="AK23">
        <f ca="1">IFERROR(IF(0=LEN(ReferenceData!$AK$23),"",ReferenceData!$AK$23),"")</f>
        <v>275393.10090000002</v>
      </c>
      <c r="AL23">
        <f ca="1">IFERROR(IF(0=LEN(ReferenceData!$AL$23),"",ReferenceData!$AL$23),"")</f>
        <v>222930.6912</v>
      </c>
      <c r="AM23">
        <f ca="1">IFERROR(IF(0=LEN(ReferenceData!$AM$23),"",ReferenceData!$AM$23),"")</f>
        <v>261180.08549999999</v>
      </c>
      <c r="AN23">
        <f ca="1">IFERROR(IF(0=LEN(ReferenceData!$AN$23),"",ReferenceData!$AN$23),"")</f>
        <v>253133.7488</v>
      </c>
      <c r="AO23">
        <f ca="1">IFERROR(IF(0=LEN(ReferenceData!$AO$23),"",ReferenceData!$AO$23),"")</f>
        <v>236307.00289999999</v>
      </c>
      <c r="AP23">
        <f ca="1">IFERROR(IF(0=LEN(ReferenceData!$AP$23),"",ReferenceData!$AP$23),"")</f>
        <v>206917.90909999999</v>
      </c>
      <c r="AQ23">
        <f ca="1">IFERROR(IF(0=LEN(ReferenceData!$AQ$23),"",ReferenceData!$AQ$23),"")</f>
        <v>236637.45300000001</v>
      </c>
      <c r="AR23">
        <f ca="1">IFERROR(IF(0=LEN(ReferenceData!$AR$23),"",ReferenceData!$AR$23),"")</f>
        <v>253867.12100000001</v>
      </c>
      <c r="AS23">
        <f ca="1">IFERROR(IF(0=LEN(ReferenceData!$AS$23),"",ReferenceData!$AS$23),"")</f>
        <v>311578.11330000003</v>
      </c>
      <c r="AT23">
        <f ca="1">IFERROR(IF(0=LEN(ReferenceData!$AT$23),"",ReferenceData!$AT$23),"")</f>
        <v>251399.17360000001</v>
      </c>
      <c r="AU23">
        <f ca="1">IFERROR(IF(0=LEN(ReferenceData!$AU$23),"",ReferenceData!$AU$23),"")</f>
        <v>262603.53159999999</v>
      </c>
      <c r="AV23">
        <f ca="1">IFERROR(IF(0=LEN(ReferenceData!$AV$23),"",ReferenceData!$AV$23),"")</f>
        <v>253547.11470000001</v>
      </c>
      <c r="AW23">
        <f ca="1">IFERROR(IF(0=LEN(ReferenceData!$AW$23),"",ReferenceData!$AW$23),"")</f>
        <v>257909.52660000001</v>
      </c>
      <c r="AX23">
        <f ca="1">IFERROR(IF(0=LEN(ReferenceData!$AX$23),"",ReferenceData!$AX$23),"")</f>
        <v>219879.61420000001</v>
      </c>
      <c r="AY23">
        <f ca="1">IFERROR(IF(0=LEN(ReferenceData!$AY$23),"",ReferenceData!$AY$23),"")</f>
        <v>331645.11119999998</v>
      </c>
      <c r="AZ23">
        <f ca="1">IFERROR(IF(0=LEN(ReferenceData!$AZ$23),"",ReferenceData!$AZ$23),"")</f>
        <v>332642.06069999997</v>
      </c>
      <c r="BA23">
        <f ca="1">IFERROR(IF(0=LEN(ReferenceData!$BA$23),"",ReferenceData!$BA$23),"")</f>
        <v>342330.91499999998</v>
      </c>
      <c r="BB23">
        <f ca="1">IFERROR(IF(0=LEN(ReferenceData!$BB$23),"",ReferenceData!$BB$23),"")</f>
        <v>309775.70659999998</v>
      </c>
      <c r="BC23">
        <f ca="1">IFERROR(IF(0=LEN(ReferenceData!$BC$23),"",ReferenceData!$BC$23),"")</f>
        <v>328395.4644</v>
      </c>
      <c r="BD23">
        <f ca="1">IFERROR(IF(0=LEN(ReferenceData!$BD$23),"",ReferenceData!$BD$23),"")</f>
        <v>309359.73440000002</v>
      </c>
      <c r="BE23">
        <f ca="1">IFERROR(IF(0=LEN(ReferenceData!$BE$23),"",ReferenceData!$BE$23),"")</f>
        <v>290763.57640000002</v>
      </c>
      <c r="BF23">
        <f ca="1">IFERROR(IF(0=LEN(ReferenceData!$BF$23),"",ReferenceData!$BF$23),"")</f>
        <v>254977.62349999999</v>
      </c>
      <c r="BG23">
        <f ca="1">IFERROR(IF(0=LEN(ReferenceData!$BG$23),"",ReferenceData!$BG$23),"")</f>
        <v>309034.12890000001</v>
      </c>
      <c r="BH23">
        <f ca="1">IFERROR(IF(0=LEN(ReferenceData!$BH$23),"",ReferenceData!$BH$23),"")</f>
        <v>327325.98210000002</v>
      </c>
      <c r="BI23">
        <f ca="1">IFERROR(IF(0=LEN(ReferenceData!$BI$23),"",ReferenceData!$BI$23),"")</f>
        <v>329247.35729999997</v>
      </c>
      <c r="BJ23">
        <f ca="1">IFERROR(IF(0=LEN(ReferenceData!$BJ$23),"",ReferenceData!$BJ$23),"")</f>
        <v>288083.19620000001</v>
      </c>
      <c r="BK23" t="str">
        <f ca="1">IFERROR(IF(0=LEN(ReferenceData!$BK$23),"",ReferenceData!$BK$23),"")</f>
        <v/>
      </c>
      <c r="BL23">
        <f ca="1">IFERROR(IF(0=LEN(ReferenceData!$BL$23),"",ReferenceData!$BL$23),"")</f>
        <v>329444.39909999998</v>
      </c>
      <c r="BM23" t="str">
        <f ca="1">IFERROR(IF(0=LEN(ReferenceData!$BM$23),"",ReferenceData!$BM$23),"")</f>
        <v/>
      </c>
    </row>
    <row r="24" spans="1:65" x14ac:dyDescent="0.25">
      <c r="A24" t="str">
        <f>IFERROR(IF(0=LEN(ReferenceData!$A$24),"",ReferenceData!$A$24),"")</f>
        <v xml:space="preserve">    ING Groep NV</v>
      </c>
      <c r="B24" t="str">
        <f>IFERROR(IF(0=LEN(ReferenceData!$B$24),"",ReferenceData!$B$24),"")</f>
        <v>INGA NA Equity</v>
      </c>
      <c r="C24" t="str">
        <f>IFERROR(IF(0=LEN(ReferenceData!$C$24),"",ReferenceData!$C$24),"")</f>
        <v>BM105</v>
      </c>
      <c r="D24" t="str">
        <f>IFERROR(IF(0=LEN(ReferenceData!$D$24),"",ReferenceData!$D$24),"")</f>
        <v>BS_TRADING_ASSETS</v>
      </c>
      <c r="E24" t="str">
        <f>IFERROR(IF(0=LEN(ReferenceData!$E$24),"",ReferenceData!$E$24),"")</f>
        <v>Dynamic</v>
      </c>
      <c r="F24">
        <f ca="1">IFERROR(IF(0=LEN(ReferenceData!$F$24),"",ReferenceData!$F$24),"")</f>
        <v>72897</v>
      </c>
      <c r="G24">
        <f ca="1">IFERROR(IF(0=LEN(ReferenceData!$G$24),"",ReferenceData!$G$24),"")</f>
        <v>78114</v>
      </c>
      <c r="H24">
        <f ca="1">IFERROR(IF(0=LEN(ReferenceData!$H$24),"",ReferenceData!$H$24),"")</f>
        <v>73207</v>
      </c>
      <c r="I24">
        <f ca="1">IFERROR(IF(0=LEN(ReferenceData!$I$24),"",ReferenceData!$I$24),"")</f>
        <v>68594</v>
      </c>
      <c r="J24">
        <f ca="1">IFERROR(IF(0=LEN(ReferenceData!$J$24),"",ReferenceData!$J$24),"")</f>
        <v>60229</v>
      </c>
      <c r="K24">
        <f ca="1">IFERROR(IF(0=LEN(ReferenceData!$K$24),"",ReferenceData!$K$24),"")</f>
        <v>68150</v>
      </c>
      <c r="L24">
        <f ca="1">IFERROR(IF(0=LEN(ReferenceData!$L$24),"",ReferenceData!$L$24),"")</f>
        <v>62827</v>
      </c>
      <c r="M24">
        <f ca="1">IFERROR(IF(0=LEN(ReferenceData!$M$24),"",ReferenceData!$M$24),"")</f>
        <v>57343</v>
      </c>
      <c r="N24">
        <f ca="1">IFERROR(IF(0=LEN(ReferenceData!$N$24),"",ReferenceData!$N$24),"")</f>
        <v>56870</v>
      </c>
      <c r="O24">
        <f ca="1">IFERROR(IF(0=LEN(ReferenceData!$O$24),"",ReferenceData!$O$24),"")</f>
        <v>71397</v>
      </c>
      <c r="P24">
        <f ca="1">IFERROR(IF(0=LEN(ReferenceData!$P$24),"",ReferenceData!$P$24),"")</f>
        <v>60733</v>
      </c>
      <c r="Q24">
        <f ca="1">IFERROR(IF(0=LEN(ReferenceData!$Q$24),"",ReferenceData!$Q$24),"")</f>
        <v>55608</v>
      </c>
      <c r="R24">
        <f ca="1">IFERROR(IF(0=LEN(ReferenceData!$R$24),"",ReferenceData!$R$24),"")</f>
        <v>51381</v>
      </c>
      <c r="S24">
        <f ca="1">IFERROR(IF(0=LEN(ReferenceData!$S$24),"",ReferenceData!$S$24),"")</f>
        <v>56007</v>
      </c>
      <c r="T24">
        <f ca="1">IFERROR(IF(0=LEN(ReferenceData!$T$24),"",ReferenceData!$T$24),"")</f>
        <v>50652</v>
      </c>
      <c r="U24">
        <f ca="1">IFERROR(IF(0=LEN(ReferenceData!$U$24),"",ReferenceData!$U$24),"")</f>
        <v>50453</v>
      </c>
      <c r="V24">
        <f ca="1">IFERROR(IF(0=LEN(ReferenceData!$V$24),"",ReferenceData!$V$24),"")</f>
        <v>51356</v>
      </c>
      <c r="W24">
        <f ca="1">IFERROR(IF(0=LEN(ReferenceData!$W$24),"",ReferenceData!$W$24),"")</f>
        <v>52592</v>
      </c>
      <c r="X24">
        <f ca="1">IFERROR(IF(0=LEN(ReferenceData!$X$24),"",ReferenceData!$X$24),"")</f>
        <v>53781</v>
      </c>
      <c r="Y24">
        <f ca="1">IFERROR(IF(0=LEN(ReferenceData!$Y$24),"",ReferenceData!$Y$24),"")</f>
        <v>62071</v>
      </c>
      <c r="Z24">
        <f ca="1">IFERROR(IF(0=LEN(ReferenceData!$Z$24),"",ReferenceData!$Z$24),"")</f>
        <v>49254</v>
      </c>
      <c r="AA24">
        <f ca="1">IFERROR(IF(0=LEN(ReferenceData!$AA$24),"",ReferenceData!$AA$24),"")</f>
        <v>57641</v>
      </c>
      <c r="AB24">
        <f ca="1">IFERROR(IF(0=LEN(ReferenceData!$AB$24),"",ReferenceData!$AB$24),"")</f>
        <v>54212</v>
      </c>
      <c r="AC24">
        <f ca="1">IFERROR(IF(0=LEN(ReferenceData!$AC$24),"",ReferenceData!$AC$24),"")</f>
        <v>54697</v>
      </c>
      <c r="AD24">
        <f ca="1">IFERROR(IF(0=LEN(ReferenceData!$AD$24),"",ReferenceData!$AD$24),"")</f>
        <v>50152</v>
      </c>
      <c r="AE24">
        <f ca="1">IFERROR(IF(0=LEN(ReferenceData!$AE$24),"",ReferenceData!$AE$24),"")</f>
        <v>59825</v>
      </c>
      <c r="AF24">
        <f ca="1">IFERROR(IF(0=LEN(ReferenceData!$AF$24),"",ReferenceData!$AF$24),"")</f>
        <v>63817</v>
      </c>
      <c r="AG24">
        <f ca="1">IFERROR(IF(0=LEN(ReferenceData!$AG$24),"",ReferenceData!$AG$24),"")</f>
        <v>62358</v>
      </c>
      <c r="AH24">
        <f ca="1">IFERROR(IF(0=LEN(ReferenceData!$AH$24),"",ReferenceData!$AH$24),"")</f>
        <v>116748</v>
      </c>
      <c r="AI24">
        <f ca="1">IFERROR(IF(0=LEN(ReferenceData!$AI$24),"",ReferenceData!$AI$24),"")</f>
        <v>133720</v>
      </c>
      <c r="AJ24">
        <f ca="1">IFERROR(IF(0=LEN(ReferenceData!$AJ$24),"",ReferenceData!$AJ$24),"")</f>
        <v>135246</v>
      </c>
      <c r="AK24">
        <f ca="1">IFERROR(IF(0=LEN(ReferenceData!$AK$24),"",ReferenceData!$AK$24),"")</f>
        <v>129332</v>
      </c>
      <c r="AL24">
        <f ca="1">IFERROR(IF(0=LEN(ReferenceData!$AL$24),"",ReferenceData!$AL$24),"")</f>
        <v>114504</v>
      </c>
      <c r="AM24">
        <f ca="1">IFERROR(IF(0=LEN(ReferenceData!$AM$24),"",ReferenceData!$AM$24),"")</f>
        <v>136888</v>
      </c>
      <c r="AN24">
        <f ca="1">IFERROR(IF(0=LEN(ReferenceData!$AN$24),"",ReferenceData!$AN$24),"")</f>
        <v>147110</v>
      </c>
      <c r="AO24">
        <f ca="1">IFERROR(IF(0=LEN(ReferenceData!$AO$24),"",ReferenceData!$AO$24),"")</f>
        <v>141635</v>
      </c>
      <c r="AP24">
        <f ca="1">IFERROR(IF(0=LEN(ReferenceData!$AP$24),"",ReferenceData!$AP$24),"")</f>
        <v>131467</v>
      </c>
      <c r="AQ24">
        <f ca="1">IFERROR(IF(0=LEN(ReferenceData!$AQ$24),"",ReferenceData!$AQ$24),"")</f>
        <v>137090</v>
      </c>
      <c r="AR24">
        <f ca="1">IFERROR(IF(0=LEN(ReferenceData!$AR$24),"",ReferenceData!$AR$24),"")</f>
        <v>140429</v>
      </c>
      <c r="AS24">
        <f ca="1">IFERROR(IF(0=LEN(ReferenceData!$AS$24),"",ReferenceData!$AS$24),"")</f>
        <v>153434</v>
      </c>
      <c r="AT24">
        <f ca="1">IFERROR(IF(0=LEN(ReferenceData!$AT$24),"",ReferenceData!$AT$24),"")</f>
        <v>136959</v>
      </c>
      <c r="AU24">
        <f ca="1">IFERROR(IF(0=LEN(ReferenceData!$AU$24),"",ReferenceData!$AU$24),"")</f>
        <v>133402</v>
      </c>
      <c r="AV24">
        <f ca="1">IFERROR(IF(0=LEN(ReferenceData!$AV$24),"",ReferenceData!$AV$24),"")</f>
        <v>126738</v>
      </c>
      <c r="AW24">
        <f ca="1">IFERROR(IF(0=LEN(ReferenceData!$AW$24),"",ReferenceData!$AW$24),"")</f>
        <v>118688</v>
      </c>
      <c r="AX24">
        <f ca="1">IFERROR(IF(0=LEN(ReferenceData!$AX$24),"",ReferenceData!$AX$24),"")</f>
        <v>114247</v>
      </c>
      <c r="AY24">
        <f ca="1">IFERROR(IF(0=LEN(ReferenceData!$AY$24),"",ReferenceData!$AY$24),"")</f>
        <v>121885</v>
      </c>
      <c r="AZ24">
        <f ca="1">IFERROR(IF(0=LEN(ReferenceData!$AZ$24),"",ReferenceData!$AZ$24),"")</f>
        <v>125562</v>
      </c>
      <c r="BA24">
        <f ca="1">IFERROR(IF(0=LEN(ReferenceData!$BA$24),"",ReferenceData!$BA$24),"")</f>
        <v>135434</v>
      </c>
      <c r="BB24">
        <f ca="1">IFERROR(IF(0=LEN(ReferenceData!$BB$24),"",ReferenceData!$BB$24),"")</f>
        <v>116245</v>
      </c>
      <c r="BC24">
        <f ca="1">IFERROR(IF(0=LEN(ReferenceData!$BC$24),"",ReferenceData!$BC$24),"")</f>
        <v>129561</v>
      </c>
      <c r="BD24">
        <f ca="1">IFERROR(IF(0=LEN(ReferenceData!$BD$24),"",ReferenceData!$BD$24),"")</f>
        <v>123915</v>
      </c>
      <c r="BE24">
        <f ca="1">IFERROR(IF(0=LEN(ReferenceData!$BE$24),"",ReferenceData!$BE$24),"")</f>
        <v>119600</v>
      </c>
      <c r="BF24">
        <f ca="1">IFERROR(IF(0=LEN(ReferenceData!$BF$24),"",ReferenceData!$BF$24),"")</f>
        <v>123688</v>
      </c>
      <c r="BG24">
        <f ca="1">IFERROR(IF(0=LEN(ReferenceData!$BG$24),"",ReferenceData!$BG$24),"")</f>
        <v>138130</v>
      </c>
      <c r="BH24">
        <f ca="1">IFERROR(IF(0=LEN(ReferenceData!$BH$24),"",ReferenceData!$BH$24),"")</f>
        <v>127951</v>
      </c>
      <c r="BI24">
        <f ca="1">IFERROR(IF(0=LEN(ReferenceData!$BI$24),"",ReferenceData!$BI$24),"")</f>
        <v>120224</v>
      </c>
      <c r="BJ24" t="str">
        <f ca="1">IFERROR(IF(0=LEN(ReferenceData!$BJ$24),"",ReferenceData!$BJ$24),"")</f>
        <v/>
      </c>
      <c r="BK24">
        <f ca="1">IFERROR(IF(0=LEN(ReferenceData!$BK$24),"",ReferenceData!$BK$24),"")</f>
        <v>142432</v>
      </c>
      <c r="BL24">
        <f ca="1">IFERROR(IF(0=LEN(ReferenceData!$BL$24),"",ReferenceData!$BL$24),"")</f>
        <v>274374</v>
      </c>
      <c r="BM24" t="str">
        <f ca="1">IFERROR(IF(0=LEN(ReferenceData!$BM$24),"",ReferenceData!$BM$24),"")</f>
        <v/>
      </c>
    </row>
    <row r="25" spans="1:65" x14ac:dyDescent="0.25">
      <c r="A25" t="str">
        <f>IFERROR(IF(0=LEN(ReferenceData!$A$25),"",ReferenceData!$A$25),"")</f>
        <v xml:space="preserve">    Intesa Sanpaolo SpA</v>
      </c>
      <c r="B25" t="str">
        <f>IFERROR(IF(0=LEN(ReferenceData!$B$25),"",ReferenceData!$B$25),"")</f>
        <v>ISP IM Equity</v>
      </c>
      <c r="C25" t="str">
        <f>IFERROR(IF(0=LEN(ReferenceData!$C$25),"",ReferenceData!$C$25),"")</f>
        <v>BM105</v>
      </c>
      <c r="D25" t="str">
        <f>IFERROR(IF(0=LEN(ReferenceData!$D$25),"",ReferenceData!$D$25),"")</f>
        <v>BS_TRADING_ASSETS</v>
      </c>
      <c r="E25" t="str">
        <f>IFERROR(IF(0=LEN(ReferenceData!$E$25),"",ReferenceData!$E$25),"")</f>
        <v>Dynamic</v>
      </c>
      <c r="F25">
        <f ca="1">IFERROR(IF(0=LEN(ReferenceData!$F$25),"",ReferenceData!$F$25),"")</f>
        <v>45706</v>
      </c>
      <c r="G25">
        <f ca="1">IFERROR(IF(0=LEN(ReferenceData!$G$25),"",ReferenceData!$G$25),"")</f>
        <v>41430</v>
      </c>
      <c r="H25">
        <f ca="1">IFERROR(IF(0=LEN(ReferenceData!$H$25),"",ReferenceData!$H$25),"")</f>
        <v>37743</v>
      </c>
      <c r="I25">
        <f ca="1">IFERROR(IF(0=LEN(ReferenceData!$I$25),"",ReferenceData!$I$25),"")</f>
        <v>38096</v>
      </c>
      <c r="J25">
        <f ca="1">IFERROR(IF(0=LEN(ReferenceData!$J$25),"",ReferenceData!$J$25),"")</f>
        <v>38163</v>
      </c>
      <c r="K25">
        <f ca="1">IFERROR(IF(0=LEN(ReferenceData!$K$25),"",ReferenceData!$K$25),"")</f>
        <v>41855</v>
      </c>
      <c r="L25">
        <f ca="1">IFERROR(IF(0=LEN(ReferenceData!$L$25),"",ReferenceData!$L$25),"")</f>
        <v>44053</v>
      </c>
      <c r="M25">
        <f ca="1">IFERROR(IF(0=LEN(ReferenceData!$M$25),"",ReferenceData!$M$25),"")</f>
        <v>41690</v>
      </c>
      <c r="N25">
        <f ca="1">IFERROR(IF(0=LEN(ReferenceData!$N$25),"",ReferenceData!$N$25),"")</f>
        <v>42607</v>
      </c>
      <c r="O25">
        <f ca="1">IFERROR(IF(0=LEN(ReferenceData!$O$25),"",ReferenceData!$O$25),"")</f>
        <v>47689</v>
      </c>
      <c r="P25">
        <f ca="1">IFERROR(IF(0=LEN(ReferenceData!$P$25),"",ReferenceData!$P$25),"")</f>
        <v>47165</v>
      </c>
      <c r="Q25">
        <f ca="1">IFERROR(IF(0=LEN(ReferenceData!$Q$25),"",ReferenceData!$Q$25),"")</f>
        <v>48242</v>
      </c>
      <c r="R25">
        <f ca="1">IFERROR(IF(0=LEN(ReferenceData!$R$25),"",ReferenceData!$R$25),"")</f>
        <v>47181</v>
      </c>
      <c r="S25">
        <f ca="1">IFERROR(IF(0=LEN(ReferenceData!$S$25),"",ReferenceData!$S$25),"")</f>
        <v>55651</v>
      </c>
      <c r="T25">
        <f ca="1">IFERROR(IF(0=LEN(ReferenceData!$T$25),"",ReferenceData!$T$25),"")</f>
        <v>55720</v>
      </c>
      <c r="U25">
        <f ca="1">IFERROR(IF(0=LEN(ReferenceData!$U$25),"",ReferenceData!$U$25),"")</f>
        <v>51160</v>
      </c>
      <c r="V25">
        <f ca="1">IFERROR(IF(0=LEN(ReferenceData!$V$25),"",ReferenceData!$V$25),"")</f>
        <v>53165</v>
      </c>
      <c r="W25">
        <f ca="1">IFERROR(IF(0=LEN(ReferenceData!$W$25),"",ReferenceData!$W$25),"")</f>
        <v>57082</v>
      </c>
      <c r="X25">
        <f ca="1">IFERROR(IF(0=LEN(ReferenceData!$X$25),"",ReferenceData!$X$25),"")</f>
        <v>56272</v>
      </c>
      <c r="Y25">
        <f ca="1">IFERROR(IF(0=LEN(ReferenceData!$Y$25),"",ReferenceData!$Y$25),"")</f>
        <v>51657</v>
      </c>
      <c r="Z25">
        <f ca="1">IFERROR(IF(0=LEN(ReferenceData!$Z$25),"",ReferenceData!$Z$25),"")</f>
        <v>45152</v>
      </c>
      <c r="AA25">
        <f ca="1">IFERROR(IF(0=LEN(ReferenceData!$AA$25),"",ReferenceData!$AA$25),"")</f>
        <v>51596</v>
      </c>
      <c r="AB25">
        <f ca="1">IFERROR(IF(0=LEN(ReferenceData!$AB$25),"",ReferenceData!$AB$25),"")</f>
        <v>49773</v>
      </c>
      <c r="AC25">
        <f ca="1">IFERROR(IF(0=LEN(ReferenceData!$AC$25),"",ReferenceData!$AC$25),"")</f>
        <v>44779</v>
      </c>
      <c r="AD25">
        <f ca="1">IFERROR(IF(0=LEN(ReferenceData!$AD$25),"",ReferenceData!$AD$25),"")</f>
        <v>38806</v>
      </c>
      <c r="AE25">
        <f ca="1">IFERROR(IF(0=LEN(ReferenceData!$AE$25),"",ReferenceData!$AE$25),"")</f>
        <v>39158</v>
      </c>
      <c r="AF25">
        <f ca="1">IFERROR(IF(0=LEN(ReferenceData!$AF$25),"",ReferenceData!$AF$25),"")</f>
        <v>39908</v>
      </c>
      <c r="AG25">
        <f ca="1">IFERROR(IF(0=LEN(ReferenceData!$AG$25),"",ReferenceData!$AG$25),"")</f>
        <v>39680</v>
      </c>
      <c r="AH25">
        <f ca="1">IFERROR(IF(0=LEN(ReferenceData!$AH$25),"",ReferenceData!$AH$25),"")</f>
        <v>39028</v>
      </c>
      <c r="AI25">
        <f ca="1">IFERROR(IF(0=LEN(ReferenceData!$AI$25),"",ReferenceData!$AI$25),"")</f>
        <v>41762</v>
      </c>
      <c r="AJ25">
        <f ca="1">IFERROR(IF(0=LEN(ReferenceData!$AJ$25),"",ReferenceData!$AJ$25),"")</f>
        <v>44415</v>
      </c>
      <c r="AK25">
        <f ca="1">IFERROR(IF(0=LEN(ReferenceData!$AK$25),"",ReferenceData!$AK$25),"")</f>
        <v>44524</v>
      </c>
      <c r="AL25">
        <f ca="1">IFERROR(IF(0=LEN(ReferenceData!$AL$25),"",ReferenceData!$AL$25),"")</f>
        <v>43613</v>
      </c>
      <c r="AM25">
        <f ca="1">IFERROR(IF(0=LEN(ReferenceData!$AM$25),"",ReferenceData!$AM$25),"")</f>
        <v>50232</v>
      </c>
      <c r="AN25">
        <f ca="1">IFERROR(IF(0=LEN(ReferenceData!$AN$25),"",ReferenceData!$AN$25),"")</f>
        <v>52499</v>
      </c>
      <c r="AO25">
        <f ca="1">IFERROR(IF(0=LEN(ReferenceData!$AO$25),"",ReferenceData!$AO$25),"")</f>
        <v>54786</v>
      </c>
      <c r="AP25">
        <f ca="1">IFERROR(IF(0=LEN(ReferenceData!$AP$25),"",ReferenceData!$AP$25),"")</f>
        <v>51597</v>
      </c>
      <c r="AQ25">
        <f ca="1">IFERROR(IF(0=LEN(ReferenceData!$AQ$25),"",ReferenceData!$AQ$25),"")</f>
        <v>52391</v>
      </c>
      <c r="AR25">
        <f ca="1">IFERROR(IF(0=LEN(ReferenceData!$AR$25),"",ReferenceData!$AR$25),"")</f>
        <v>51996</v>
      </c>
      <c r="AS25">
        <f ca="1">IFERROR(IF(0=LEN(ReferenceData!$AS$25),"",ReferenceData!$AS$25),"")</f>
        <v>62257</v>
      </c>
      <c r="AT25">
        <f ca="1">IFERROR(IF(0=LEN(ReferenceData!$AT$25),"",ReferenceData!$AT$25),"")</f>
        <v>53741</v>
      </c>
      <c r="AU25">
        <f ca="1">IFERROR(IF(0=LEN(ReferenceData!$AU$25),"",ReferenceData!$AU$25),"")</f>
        <v>55445</v>
      </c>
      <c r="AV25">
        <f ca="1">IFERROR(IF(0=LEN(ReferenceData!$AV$25),"",ReferenceData!$AV$25),"")</f>
        <v>52071</v>
      </c>
      <c r="AW25">
        <f ca="1">IFERROR(IF(0=LEN(ReferenceData!$AW$25),"",ReferenceData!$AW$25),"")</f>
        <v>52352</v>
      </c>
      <c r="AX25">
        <f ca="1">IFERROR(IF(0=LEN(ReferenceData!$AX$25),"",ReferenceData!$AX$25),"")</f>
        <v>49000</v>
      </c>
      <c r="AY25">
        <f ca="1">IFERROR(IF(0=LEN(ReferenceData!$AY$25),"",ReferenceData!$AY$25),"")</f>
        <v>53337</v>
      </c>
      <c r="AZ25">
        <f ca="1">IFERROR(IF(0=LEN(ReferenceData!$AZ$25),"",ReferenceData!$AZ$25),"")</f>
        <v>55905</v>
      </c>
      <c r="BA25">
        <f ca="1">IFERROR(IF(0=LEN(ReferenceData!$BA$25),"",ReferenceData!$BA$25),"")</f>
        <v>61556</v>
      </c>
      <c r="BB25">
        <f ca="1">IFERROR(IF(0=LEN(ReferenceData!$BB$25),"",ReferenceData!$BB$25),"")</f>
        <v>18577</v>
      </c>
      <c r="BC25">
        <f ca="1">IFERROR(IF(0=LEN(ReferenceData!$BC$25),"",ReferenceData!$BC$25),"")</f>
        <v>70034</v>
      </c>
      <c r="BD25">
        <f ca="1">IFERROR(IF(0=LEN(ReferenceData!$BD$25),"",ReferenceData!$BD$25),"")</f>
        <v>66080</v>
      </c>
      <c r="BE25">
        <f ca="1">IFERROR(IF(0=LEN(ReferenceData!$BE$25),"",ReferenceData!$BE$25),"")</f>
        <v>60328</v>
      </c>
      <c r="BF25">
        <f ca="1">IFERROR(IF(0=LEN(ReferenceData!$BF$25),"",ReferenceData!$BF$25),"")</f>
        <v>59963</v>
      </c>
      <c r="BG25">
        <f ca="1">IFERROR(IF(0=LEN(ReferenceData!$BG$25),"",ReferenceData!$BG$25),"")</f>
        <v>69934</v>
      </c>
      <c r="BH25">
        <f ca="1">IFERROR(IF(0=LEN(ReferenceData!$BH$25),"",ReferenceData!$BH$25),"")</f>
        <v>60555</v>
      </c>
      <c r="BI25">
        <f ca="1">IFERROR(IF(0=LEN(ReferenceData!$BI$25),"",ReferenceData!$BI$25),"")</f>
        <v>61094</v>
      </c>
      <c r="BJ25" t="str">
        <f ca="1">IFERROR(IF(0=LEN(ReferenceData!$BJ$25),"",ReferenceData!$BJ$25),"")</f>
        <v/>
      </c>
      <c r="BK25">
        <f ca="1">IFERROR(IF(0=LEN(ReferenceData!$BK$25),"",ReferenceData!$BK$25),"")</f>
        <v>90517</v>
      </c>
      <c r="BL25" t="str">
        <f ca="1">IFERROR(IF(0=LEN(ReferenceData!$BL$25),"",ReferenceData!$BL$25),"")</f>
        <v/>
      </c>
      <c r="BM25">
        <f ca="1">IFERROR(IF(0=LEN(ReferenceData!$BM$25),"",ReferenceData!$BM$25),"")</f>
        <v>82931</v>
      </c>
    </row>
    <row r="26" spans="1:65" x14ac:dyDescent="0.25">
      <c r="A26" t="str">
        <f>IFERROR(IF(0=LEN(ReferenceData!$A$26),"",ReferenceData!$A$26),"")</f>
        <v xml:space="preserve">    Jyske Bank A/S</v>
      </c>
      <c r="B26" t="str">
        <f>IFERROR(IF(0=LEN(ReferenceData!$B$26),"",ReferenceData!$B$26),"")</f>
        <v>JYSK DC Equity</v>
      </c>
      <c r="C26" t="str">
        <f>IFERROR(IF(0=LEN(ReferenceData!$C$26),"",ReferenceData!$C$26),"")</f>
        <v>BM105</v>
      </c>
      <c r="D26" t="str">
        <f>IFERROR(IF(0=LEN(ReferenceData!$D$26),"",ReferenceData!$D$26),"")</f>
        <v>BS_TRADING_ASSETS</v>
      </c>
      <c r="E26" t="str">
        <f>IFERROR(IF(0=LEN(ReferenceData!$E$26),"",ReferenceData!$E$26),"")</f>
        <v>Dynamic</v>
      </c>
      <c r="F26" t="str">
        <f ca="1">IFERROR(IF(0=LEN(ReferenceData!$F$26),"",ReferenceData!$F$26),"")</f>
        <v/>
      </c>
      <c r="G26" t="str">
        <f ca="1">IFERROR(IF(0=LEN(ReferenceData!$G$26),"",ReferenceData!$G$26),"")</f>
        <v/>
      </c>
      <c r="H26" t="str">
        <f ca="1">IFERROR(IF(0=LEN(ReferenceData!$H$26),"",ReferenceData!$H$26),"")</f>
        <v/>
      </c>
      <c r="I26" t="str">
        <f ca="1">IFERROR(IF(0=LEN(ReferenceData!$I$26),"",ReferenceData!$I$26),"")</f>
        <v/>
      </c>
      <c r="J26" t="str">
        <f ca="1">IFERROR(IF(0=LEN(ReferenceData!$J$26),"",ReferenceData!$J$26),"")</f>
        <v/>
      </c>
      <c r="K26" t="str">
        <f ca="1">IFERROR(IF(0=LEN(ReferenceData!$K$26),"",ReferenceData!$K$26),"")</f>
        <v/>
      </c>
      <c r="L26" t="str">
        <f ca="1">IFERROR(IF(0=LEN(ReferenceData!$L$26),"",ReferenceData!$L$26),"")</f>
        <v/>
      </c>
      <c r="M26" t="str">
        <f ca="1">IFERROR(IF(0=LEN(ReferenceData!$M$26),"",ReferenceData!$M$26),"")</f>
        <v/>
      </c>
      <c r="N26" t="str">
        <f ca="1">IFERROR(IF(0=LEN(ReferenceData!$N$26),"",ReferenceData!$N$26),"")</f>
        <v/>
      </c>
      <c r="O26" t="str">
        <f ca="1">IFERROR(IF(0=LEN(ReferenceData!$O$26),"",ReferenceData!$O$26),"")</f>
        <v/>
      </c>
      <c r="P26" t="str">
        <f ca="1">IFERROR(IF(0=LEN(ReferenceData!$P$26),"",ReferenceData!$P$26),"")</f>
        <v/>
      </c>
      <c r="Q26" t="str">
        <f ca="1">IFERROR(IF(0=LEN(ReferenceData!$Q$26),"",ReferenceData!$Q$26),"")</f>
        <v/>
      </c>
      <c r="R26" t="str">
        <f ca="1">IFERROR(IF(0=LEN(ReferenceData!$R$26),"",ReferenceData!$R$26),"")</f>
        <v/>
      </c>
      <c r="S26" t="str">
        <f ca="1">IFERROR(IF(0=LEN(ReferenceData!$S$26),"",ReferenceData!$S$26),"")</f>
        <v/>
      </c>
      <c r="T26" t="str">
        <f ca="1">IFERROR(IF(0=LEN(ReferenceData!$T$26),"",ReferenceData!$T$26),"")</f>
        <v/>
      </c>
      <c r="U26" t="str">
        <f ca="1">IFERROR(IF(0=LEN(ReferenceData!$U$26),"",ReferenceData!$U$26),"")</f>
        <v/>
      </c>
      <c r="V26" t="str">
        <f ca="1">IFERROR(IF(0=LEN(ReferenceData!$V$26),"",ReferenceData!$V$26),"")</f>
        <v/>
      </c>
      <c r="W26" t="str">
        <f ca="1">IFERROR(IF(0=LEN(ReferenceData!$W$26),"",ReferenceData!$W$26),"")</f>
        <v/>
      </c>
      <c r="X26" t="str">
        <f ca="1">IFERROR(IF(0=LEN(ReferenceData!$X$26),"",ReferenceData!$X$26),"")</f>
        <v/>
      </c>
      <c r="Y26" t="str">
        <f ca="1">IFERROR(IF(0=LEN(ReferenceData!$Y$26),"",ReferenceData!$Y$26),"")</f>
        <v/>
      </c>
      <c r="Z26" t="str">
        <f ca="1">IFERROR(IF(0=LEN(ReferenceData!$Z$26),"",ReferenceData!$Z$26),"")</f>
        <v/>
      </c>
      <c r="AA26" t="str">
        <f ca="1">IFERROR(IF(0=LEN(ReferenceData!$AA$26),"",ReferenceData!$AA$26),"")</f>
        <v/>
      </c>
      <c r="AB26" t="str">
        <f ca="1">IFERROR(IF(0=LEN(ReferenceData!$AB$26),"",ReferenceData!$AB$26),"")</f>
        <v/>
      </c>
      <c r="AC26" t="str">
        <f ca="1">IFERROR(IF(0=LEN(ReferenceData!$AC$26),"",ReferenceData!$AC$26),"")</f>
        <v/>
      </c>
      <c r="AD26" t="str">
        <f ca="1">IFERROR(IF(0=LEN(ReferenceData!$AD$26),"",ReferenceData!$AD$26),"")</f>
        <v/>
      </c>
      <c r="AE26" t="str">
        <f ca="1">IFERROR(IF(0=LEN(ReferenceData!$AE$26),"",ReferenceData!$AE$26),"")</f>
        <v/>
      </c>
      <c r="AF26" t="str">
        <f ca="1">IFERROR(IF(0=LEN(ReferenceData!$AF$26),"",ReferenceData!$AF$26),"")</f>
        <v/>
      </c>
      <c r="AG26" t="str">
        <f ca="1">IFERROR(IF(0=LEN(ReferenceData!$AG$26),"",ReferenceData!$AG$26),"")</f>
        <v/>
      </c>
      <c r="AH26" t="str">
        <f ca="1">IFERROR(IF(0=LEN(ReferenceData!$AH$26),"",ReferenceData!$AH$26),"")</f>
        <v/>
      </c>
      <c r="AI26" t="str">
        <f ca="1">IFERROR(IF(0=LEN(ReferenceData!$AI$26),"",ReferenceData!$AI$26),"")</f>
        <v/>
      </c>
      <c r="AJ26" t="str">
        <f ca="1">IFERROR(IF(0=LEN(ReferenceData!$AJ$26),"",ReferenceData!$AJ$26),"")</f>
        <v/>
      </c>
      <c r="AK26" t="str">
        <f ca="1">IFERROR(IF(0=LEN(ReferenceData!$AK$26),"",ReferenceData!$AK$26),"")</f>
        <v/>
      </c>
      <c r="AL26" t="str">
        <f ca="1">IFERROR(IF(0=LEN(ReferenceData!$AL$26),"",ReferenceData!$AL$26),"")</f>
        <v/>
      </c>
      <c r="AM26" t="str">
        <f ca="1">IFERROR(IF(0=LEN(ReferenceData!$AM$26),"",ReferenceData!$AM$26),"")</f>
        <v/>
      </c>
      <c r="AN26" t="str">
        <f ca="1">IFERROR(IF(0=LEN(ReferenceData!$AN$26),"",ReferenceData!$AN$26),"")</f>
        <v/>
      </c>
      <c r="AO26" t="str">
        <f ca="1">IFERROR(IF(0=LEN(ReferenceData!$AO$26),"",ReferenceData!$AO$26),"")</f>
        <v/>
      </c>
      <c r="AP26" t="str">
        <f ca="1">IFERROR(IF(0=LEN(ReferenceData!$AP$26),"",ReferenceData!$AP$26),"")</f>
        <v/>
      </c>
      <c r="AQ26" t="str">
        <f ca="1">IFERROR(IF(0=LEN(ReferenceData!$AQ$26),"",ReferenceData!$AQ$26),"")</f>
        <v/>
      </c>
      <c r="AR26" t="str">
        <f ca="1">IFERROR(IF(0=LEN(ReferenceData!$AR$26),"",ReferenceData!$AR$26),"")</f>
        <v/>
      </c>
      <c r="AS26" t="str">
        <f ca="1">IFERROR(IF(0=LEN(ReferenceData!$AS$26),"",ReferenceData!$AS$26),"")</f>
        <v/>
      </c>
      <c r="AT26" t="str">
        <f ca="1">IFERROR(IF(0=LEN(ReferenceData!$AT$26),"",ReferenceData!$AT$26),"")</f>
        <v/>
      </c>
      <c r="AU26" t="str">
        <f ca="1">IFERROR(IF(0=LEN(ReferenceData!$AU$26),"",ReferenceData!$AU$26),"")</f>
        <v/>
      </c>
      <c r="AV26" t="str">
        <f ca="1">IFERROR(IF(0=LEN(ReferenceData!$AV$26),"",ReferenceData!$AV$26),"")</f>
        <v/>
      </c>
      <c r="AW26" t="str">
        <f ca="1">IFERROR(IF(0=LEN(ReferenceData!$AW$26),"",ReferenceData!$AW$26),"")</f>
        <v/>
      </c>
      <c r="AX26" t="str">
        <f ca="1">IFERROR(IF(0=LEN(ReferenceData!$AX$26),"",ReferenceData!$AX$26),"")</f>
        <v/>
      </c>
      <c r="AY26" t="str">
        <f ca="1">IFERROR(IF(0=LEN(ReferenceData!$AY$26),"",ReferenceData!$AY$26),"")</f>
        <v/>
      </c>
      <c r="AZ26" t="str">
        <f ca="1">IFERROR(IF(0=LEN(ReferenceData!$AZ$26),"",ReferenceData!$AZ$26),"")</f>
        <v/>
      </c>
      <c r="BA26" t="str">
        <f ca="1">IFERROR(IF(0=LEN(ReferenceData!$BA$26),"",ReferenceData!$BA$26),"")</f>
        <v/>
      </c>
      <c r="BB26" t="str">
        <f ca="1">IFERROR(IF(0=LEN(ReferenceData!$BB$26),"",ReferenceData!$BB$26),"")</f>
        <v/>
      </c>
      <c r="BC26" t="str">
        <f ca="1">IFERROR(IF(0=LEN(ReferenceData!$BC$26),"",ReferenceData!$BC$26),"")</f>
        <v/>
      </c>
      <c r="BD26" t="str">
        <f ca="1">IFERROR(IF(0=LEN(ReferenceData!$BD$26),"",ReferenceData!$BD$26),"")</f>
        <v/>
      </c>
      <c r="BE26" t="str">
        <f ca="1">IFERROR(IF(0=LEN(ReferenceData!$BE$26),"",ReferenceData!$BE$26),"")</f>
        <v/>
      </c>
      <c r="BF26" t="str">
        <f ca="1">IFERROR(IF(0=LEN(ReferenceData!$BF$26),"",ReferenceData!$BF$26),"")</f>
        <v/>
      </c>
      <c r="BG26" t="str">
        <f ca="1">IFERROR(IF(0=LEN(ReferenceData!$BG$26),"",ReferenceData!$BG$26),"")</f>
        <v/>
      </c>
      <c r="BH26" t="str">
        <f ca="1">IFERROR(IF(0=LEN(ReferenceData!$BH$26),"",ReferenceData!$BH$26),"")</f>
        <v/>
      </c>
      <c r="BI26" t="str">
        <f ca="1">IFERROR(IF(0=LEN(ReferenceData!$BI$26),"",ReferenceData!$BI$26),"")</f>
        <v/>
      </c>
      <c r="BJ26" t="str">
        <f ca="1">IFERROR(IF(0=LEN(ReferenceData!$BJ$26),"",ReferenceData!$BJ$26),"")</f>
        <v/>
      </c>
      <c r="BK26" t="str">
        <f ca="1">IFERROR(IF(0=LEN(ReferenceData!$BK$26),"",ReferenceData!$BK$26),"")</f>
        <v/>
      </c>
      <c r="BL26" t="str">
        <f ca="1">IFERROR(IF(0=LEN(ReferenceData!$BL$26),"",ReferenceData!$BL$26),"")</f>
        <v/>
      </c>
      <c r="BM26" t="str">
        <f ca="1">IFERROR(IF(0=LEN(ReferenceData!$BM$26),"",ReferenceData!$BM$26),"")</f>
        <v/>
      </c>
    </row>
    <row r="27" spans="1:65" x14ac:dyDescent="0.25">
      <c r="A27" t="str">
        <f>IFERROR(IF(0=LEN(ReferenceData!$A$27),"",ReferenceData!$A$27),"")</f>
        <v xml:space="preserve">    KBC Group NV</v>
      </c>
      <c r="B27" t="str">
        <f>IFERROR(IF(0=LEN(ReferenceData!$B$27),"",ReferenceData!$B$27),"")</f>
        <v>KBC BB Equity</v>
      </c>
      <c r="C27" t="str">
        <f>IFERROR(IF(0=LEN(ReferenceData!$C$27),"",ReferenceData!$C$27),"")</f>
        <v>BM105</v>
      </c>
      <c r="D27" t="str">
        <f>IFERROR(IF(0=LEN(ReferenceData!$D$27),"",ReferenceData!$D$27),"")</f>
        <v>BS_TRADING_ASSETS</v>
      </c>
      <c r="E27" t="str">
        <f>IFERROR(IF(0=LEN(ReferenceData!$E$27),"",ReferenceData!$E$27),"")</f>
        <v>Dynamic</v>
      </c>
      <c r="F27">
        <f ca="1">IFERROR(IF(0=LEN(ReferenceData!$F$27),"",ReferenceData!$F$27),"")</f>
        <v>10509</v>
      </c>
      <c r="G27">
        <f ca="1">IFERROR(IF(0=LEN(ReferenceData!$G$27),"",ReferenceData!$G$27),"")</f>
        <v>9771</v>
      </c>
      <c r="H27">
        <f ca="1">IFERROR(IF(0=LEN(ReferenceData!$H$27),"",ReferenceData!$H$27),"")</f>
        <v>10361</v>
      </c>
      <c r="I27">
        <f ca="1">IFERROR(IF(0=LEN(ReferenceData!$I$27),"",ReferenceData!$I$27),"")</f>
        <v>9813</v>
      </c>
      <c r="J27">
        <f ca="1">IFERROR(IF(0=LEN(ReferenceData!$J$27),"",ReferenceData!$J$27),"")</f>
        <v>8327</v>
      </c>
      <c r="K27">
        <f ca="1">IFERROR(IF(0=LEN(ReferenceData!$K$27),"",ReferenceData!$K$27),"")</f>
        <v>10009</v>
      </c>
      <c r="L27">
        <f ca="1">IFERROR(IF(0=LEN(ReferenceData!$L$27),"",ReferenceData!$L$27),"")</f>
        <v>9422</v>
      </c>
      <c r="M27">
        <f ca="1">IFERROR(IF(0=LEN(ReferenceData!$M$27),"",ReferenceData!$M$27),"")</f>
        <v>9341</v>
      </c>
      <c r="N27">
        <f ca="1">IFERROR(IF(0=LEN(ReferenceData!$N$27),"",ReferenceData!$N$27),"")</f>
        <v>8471</v>
      </c>
      <c r="O27">
        <f ca="1">IFERROR(IF(0=LEN(ReferenceData!$O$27),"",ReferenceData!$O$27),"")</f>
        <v>12199</v>
      </c>
      <c r="P27">
        <f ca="1">IFERROR(IF(0=LEN(ReferenceData!$P$27),"",ReferenceData!$P$27),"")</f>
        <v>11001</v>
      </c>
      <c r="Q27">
        <f ca="1">IFERROR(IF(0=LEN(ReferenceData!$Q$27),"",ReferenceData!$Q$27),"")</f>
        <v>10095</v>
      </c>
      <c r="R27">
        <f ca="1">IFERROR(IF(0=LEN(ReferenceData!$R$27),"",ReferenceData!$R$27),"")</f>
        <v>8850</v>
      </c>
      <c r="S27">
        <f ca="1">IFERROR(IF(0=LEN(ReferenceData!$S$27),"",ReferenceData!$S$27),"")</f>
        <v>9018</v>
      </c>
      <c r="T27">
        <f ca="1">IFERROR(IF(0=LEN(ReferenceData!$T$27),"",ReferenceData!$T$27),"")</f>
        <v>9728</v>
      </c>
      <c r="U27">
        <f ca="1">IFERROR(IF(0=LEN(ReferenceData!$U$27),"",ReferenceData!$U$27),"")</f>
        <v>9728</v>
      </c>
      <c r="V27">
        <f ca="1">IFERROR(IF(0=LEN(ReferenceData!$V$27),"",ReferenceData!$V$27),"")</f>
        <v>8695</v>
      </c>
      <c r="W27">
        <f ca="1">IFERROR(IF(0=LEN(ReferenceData!$W$27),"",ReferenceData!$W$27),"")</f>
        <v>10922</v>
      </c>
      <c r="X27">
        <f ca="1">IFERROR(IF(0=LEN(ReferenceData!$X$27),"",ReferenceData!$X$27),"")</f>
        <v>10321</v>
      </c>
      <c r="Y27">
        <f ca="1">IFERROR(IF(0=LEN(ReferenceData!$Y$27),"",ReferenceData!$Y$27),"")</f>
        <v>11574</v>
      </c>
      <c r="Z27">
        <f ca="1">IFERROR(IF(0=LEN(ReferenceData!$Z$27),"",ReferenceData!$Z$27),"")</f>
        <v>7266</v>
      </c>
      <c r="AA27">
        <f ca="1">IFERROR(IF(0=LEN(ReferenceData!$AA$27),"",ReferenceData!$AA$27),"")</f>
        <v>8915</v>
      </c>
      <c r="AB27">
        <f ca="1">IFERROR(IF(0=LEN(ReferenceData!$AB$27),"",ReferenceData!$AB$27),"")</f>
        <v>7460</v>
      </c>
      <c r="AC27">
        <f ca="1">IFERROR(IF(0=LEN(ReferenceData!$AC$27),"",ReferenceData!$AC$27),"")</f>
        <v>7948</v>
      </c>
      <c r="AD27">
        <f ca="1">IFERROR(IF(0=LEN(ReferenceData!$AD$27),"",ReferenceData!$AD$27),"")</f>
        <v>6426</v>
      </c>
      <c r="AE27">
        <f ca="1">IFERROR(IF(0=LEN(ReferenceData!$AE$27),"",ReferenceData!$AE$27),"")</f>
        <v>0</v>
      </c>
      <c r="AF27">
        <f ca="1">IFERROR(IF(0=LEN(ReferenceData!$AF$27),"",ReferenceData!$AF$27),"")</f>
        <v>7580</v>
      </c>
      <c r="AG27">
        <f ca="1">IFERROR(IF(0=LEN(ReferenceData!$AG$27),"",ReferenceData!$AG$27),"")</f>
        <v>7869</v>
      </c>
      <c r="AH27">
        <f ca="1">IFERROR(IF(0=LEN(ReferenceData!$AH$27),"",ReferenceData!$AH$27),"")</f>
        <v>7431</v>
      </c>
      <c r="AI27">
        <f ca="1">IFERROR(IF(0=LEN(ReferenceData!$AI$27),"",ReferenceData!$AI$27),"")</f>
        <v>8390</v>
      </c>
      <c r="AJ27">
        <f ca="1">IFERROR(IF(0=LEN(ReferenceData!$AJ$27),"",ReferenceData!$AJ$27),"")</f>
        <v>9055</v>
      </c>
      <c r="AK27">
        <f ca="1">IFERROR(IF(0=LEN(ReferenceData!$AK$27),"",ReferenceData!$AK$27),"")</f>
        <v>8972</v>
      </c>
      <c r="AL27">
        <f ca="1">IFERROR(IF(0=LEN(ReferenceData!$AL$27),"",ReferenceData!$AL$27),"")</f>
        <v>9683</v>
      </c>
      <c r="AM27">
        <f ca="1">IFERROR(IF(0=LEN(ReferenceData!$AM$27),"",ReferenceData!$AM$27),"")</f>
        <v>10448</v>
      </c>
      <c r="AN27">
        <f ca="1">IFERROR(IF(0=LEN(ReferenceData!$AN$27),"",ReferenceData!$AN$27),"")</f>
        <v>12086</v>
      </c>
      <c r="AO27">
        <f ca="1">IFERROR(IF(0=LEN(ReferenceData!$AO$27),"",ReferenceData!$AO$27),"")</f>
        <v>12049</v>
      </c>
      <c r="AP27">
        <f ca="1">IFERROR(IF(0=LEN(ReferenceData!$AP$27),"",ReferenceData!$AP$27),"")</f>
        <v>10385</v>
      </c>
      <c r="AQ27">
        <f ca="1">IFERROR(IF(0=LEN(ReferenceData!$AQ$27),"",ReferenceData!$AQ$27),"")</f>
        <v>11030</v>
      </c>
      <c r="AR27">
        <f ca="1">IFERROR(IF(0=LEN(ReferenceData!$AR$27),"",ReferenceData!$AR$27),"")</f>
        <v>11311</v>
      </c>
      <c r="AS27">
        <f ca="1">IFERROR(IF(0=LEN(ReferenceData!$AS$27),"",ReferenceData!$AS$27),"")</f>
        <v>13954</v>
      </c>
      <c r="AT27">
        <f ca="1">IFERROR(IF(0=LEN(ReferenceData!$AT$27),"",ReferenceData!$AT$27),"")</f>
        <v>12182</v>
      </c>
      <c r="AU27">
        <f ca="1">IFERROR(IF(0=LEN(ReferenceData!$AU$27),"",ReferenceData!$AU$27),"")</f>
        <v>13032</v>
      </c>
      <c r="AV27">
        <f ca="1">IFERROR(IF(0=LEN(ReferenceData!$AV$27),"",ReferenceData!$AV$27),"")</f>
        <v>12717</v>
      </c>
      <c r="AW27">
        <f ca="1">IFERROR(IF(0=LEN(ReferenceData!$AW$27),"",ReferenceData!$AW$27),"")</f>
        <v>11929</v>
      </c>
      <c r="AX27">
        <f ca="1">IFERROR(IF(0=LEN(ReferenceData!$AX$27),"",ReferenceData!$AX$27),"")</f>
        <v>16885</v>
      </c>
      <c r="AY27">
        <f ca="1">IFERROR(IF(0=LEN(ReferenceData!$AY$27),"",ReferenceData!$AY$27),"")</f>
        <v>15770</v>
      </c>
      <c r="AZ27">
        <f ca="1">IFERROR(IF(0=LEN(ReferenceData!$AZ$27),"",ReferenceData!$AZ$27),"")</f>
        <v>17585</v>
      </c>
      <c r="BA27">
        <f ca="1">IFERROR(IF(0=LEN(ReferenceData!$BA$27),"",ReferenceData!$BA$27),"")</f>
        <v>20376</v>
      </c>
      <c r="BB27">
        <f ca="1">IFERROR(IF(0=LEN(ReferenceData!$BB$27),"",ReferenceData!$BB$27),"")</f>
        <v>21159</v>
      </c>
      <c r="BC27">
        <f ca="1">IFERROR(IF(0=LEN(ReferenceData!$BC$27),"",ReferenceData!$BC$27),"")</f>
        <v>23816</v>
      </c>
      <c r="BD27">
        <f ca="1">IFERROR(IF(0=LEN(ReferenceData!$BD$27),"",ReferenceData!$BD$27),"")</f>
        <v>23656</v>
      </c>
      <c r="BE27">
        <f ca="1">IFERROR(IF(0=LEN(ReferenceData!$BE$27),"",ReferenceData!$BE$27),"")</f>
        <v>25068</v>
      </c>
      <c r="BF27">
        <f ca="1">IFERROR(IF(0=LEN(ReferenceData!$BF$27),"",ReferenceData!$BF$27),"")</f>
        <v>26936</v>
      </c>
      <c r="BG27">
        <f ca="1">IFERROR(IF(0=LEN(ReferenceData!$BG$27),"",ReferenceData!$BG$27),"")</f>
        <v>30922</v>
      </c>
      <c r="BH27" t="str">
        <f ca="1">IFERROR(IF(0=LEN(ReferenceData!$BH$27),"",ReferenceData!$BH$27),"")</f>
        <v/>
      </c>
      <c r="BI27">
        <f ca="1">IFERROR(IF(0=LEN(ReferenceData!$BI$27),"",ReferenceData!$BI$27),"")</f>
        <v>29506</v>
      </c>
      <c r="BJ27">
        <f ca="1">IFERROR(IF(0=LEN(ReferenceData!$BJ$27),"",ReferenceData!$BJ$27),"")</f>
        <v>30287</v>
      </c>
      <c r="BK27">
        <f ca="1">IFERROR(IF(0=LEN(ReferenceData!$BK$27),"",ReferenceData!$BK$27),"")</f>
        <v>36418</v>
      </c>
      <c r="BL27" t="str">
        <f ca="1">IFERROR(IF(0=LEN(ReferenceData!$BL$27),"",ReferenceData!$BL$27),"")</f>
        <v/>
      </c>
      <c r="BM27" t="str">
        <f ca="1">IFERROR(IF(0=LEN(ReferenceData!$BM$27),"",ReferenceData!$BM$27),"")</f>
        <v/>
      </c>
    </row>
    <row r="28" spans="1:65" x14ac:dyDescent="0.25">
      <c r="A28" t="str">
        <f>IFERROR(IF(0=LEN(ReferenceData!$A$28),"",ReferenceData!$A$28),"")</f>
        <v xml:space="preserve">    Komercni Banka AS</v>
      </c>
      <c r="B28" t="str">
        <f>IFERROR(IF(0=LEN(ReferenceData!$B$28),"",ReferenceData!$B$28),"")</f>
        <v>KOMB CP Equity</v>
      </c>
      <c r="C28" t="str">
        <f>IFERROR(IF(0=LEN(ReferenceData!$C$28),"",ReferenceData!$C$28),"")</f>
        <v>BM105</v>
      </c>
      <c r="D28" t="str">
        <f>IFERROR(IF(0=LEN(ReferenceData!$D$28),"",ReferenceData!$D$28),"")</f>
        <v>BS_TRADING_ASSETS</v>
      </c>
      <c r="E28" t="str">
        <f>IFERROR(IF(0=LEN(ReferenceData!$E$28),"",ReferenceData!$E$28),"")</f>
        <v>Dynamic</v>
      </c>
      <c r="F28">
        <f ca="1">IFERROR(IF(0=LEN(ReferenceData!$F$28),"",ReferenceData!$F$28),"")</f>
        <v>1660.988826</v>
      </c>
      <c r="G28">
        <f ca="1">IFERROR(IF(0=LEN(ReferenceData!$G$28),"",ReferenceData!$G$28),"")</f>
        <v>1841.599113</v>
      </c>
      <c r="H28">
        <f ca="1">IFERROR(IF(0=LEN(ReferenceData!$H$28),"",ReferenceData!$H$28),"")</f>
        <v>1827.91751</v>
      </c>
      <c r="I28">
        <f ca="1">IFERROR(IF(0=LEN(ReferenceData!$I$28),"",ReferenceData!$I$28),"")</f>
        <v>1993.01649</v>
      </c>
      <c r="J28">
        <f ca="1">IFERROR(IF(0=LEN(ReferenceData!$J$28),"",ReferenceData!$J$28),"")</f>
        <v>1962.778425</v>
      </c>
      <c r="K28">
        <f ca="1">IFERROR(IF(0=LEN(ReferenceData!$K$28),"",ReferenceData!$K$28),"")</f>
        <v>1944.701654</v>
      </c>
      <c r="L28">
        <f ca="1">IFERROR(IF(0=LEN(ReferenceData!$L$28),"",ReferenceData!$L$28),"")</f>
        <v>2028.092983</v>
      </c>
      <c r="M28">
        <f ca="1">IFERROR(IF(0=LEN(ReferenceData!$M$28),"",ReferenceData!$M$28),"")</f>
        <v>2364.2637359999999</v>
      </c>
      <c r="N28">
        <f ca="1">IFERROR(IF(0=LEN(ReferenceData!$N$28),"",ReferenceData!$N$28),"")</f>
        <v>2373.8628869999998</v>
      </c>
      <c r="O28">
        <f ca="1">IFERROR(IF(0=LEN(ReferenceData!$O$28),"",ReferenceData!$O$28),"")</f>
        <v>2503.9977319999998</v>
      </c>
      <c r="P28">
        <f ca="1">IFERROR(IF(0=LEN(ReferenceData!$P$28),"",ReferenceData!$P$28),"")</f>
        <v>2205.6468789999999</v>
      </c>
      <c r="Q28">
        <f ca="1">IFERROR(IF(0=LEN(ReferenceData!$Q$28),"",ReferenceData!$Q$28),"")</f>
        <v>1788.5721169999999</v>
      </c>
      <c r="R28">
        <f ca="1">IFERROR(IF(0=LEN(ReferenceData!$R$28),"",ReferenceData!$R$28),"")</f>
        <v>1654.0409870000001</v>
      </c>
      <c r="S28">
        <f ca="1">IFERROR(IF(0=LEN(ReferenceData!$S$28),"",ReferenceData!$S$28),"")</f>
        <v>1237.075891</v>
      </c>
      <c r="T28">
        <f ca="1">IFERROR(IF(0=LEN(ReferenceData!$T$28),"",ReferenceData!$T$28),"")</f>
        <v>1163.35121</v>
      </c>
      <c r="U28">
        <f ca="1">IFERROR(IF(0=LEN(ReferenceData!$U$28),"",ReferenceData!$U$28),"")</f>
        <v>1134.40185</v>
      </c>
      <c r="V28">
        <f ca="1">IFERROR(IF(0=LEN(ReferenceData!$V$28),"",ReferenceData!$V$28),"")</f>
        <v>974.79286560000003</v>
      </c>
      <c r="W28">
        <f ca="1">IFERROR(IF(0=LEN(ReferenceData!$W$28),"",ReferenceData!$W$28),"")</f>
        <v>1406.175802</v>
      </c>
      <c r="X28">
        <f ca="1">IFERROR(IF(0=LEN(ReferenceData!$X$28),"",ReferenceData!$X$28),"")</f>
        <v>1644.2692629999999</v>
      </c>
      <c r="Y28">
        <f ca="1">IFERROR(IF(0=LEN(ReferenceData!$Y$28),"",ReferenceData!$Y$28),"")</f>
        <v>1511.061483</v>
      </c>
      <c r="Z28">
        <f ca="1">IFERROR(IF(0=LEN(ReferenceData!$Z$28),"",ReferenceData!$Z$28),"")</f>
        <v>900.77662329999998</v>
      </c>
      <c r="AA28">
        <f ca="1">IFERROR(IF(0=LEN(ReferenceData!$AA$28),"",ReferenceData!$AA$28),"")</f>
        <v>1329.1928809999999</v>
      </c>
      <c r="AB28">
        <f ca="1">IFERROR(IF(0=LEN(ReferenceData!$AB$28),"",ReferenceData!$AB$28),"")</f>
        <v>1083.918054</v>
      </c>
      <c r="AC28">
        <f ca="1">IFERROR(IF(0=LEN(ReferenceData!$AC$28),"",ReferenceData!$AC$28),"")</f>
        <v>935.93621189999999</v>
      </c>
      <c r="AD28">
        <f ca="1">IFERROR(IF(0=LEN(ReferenceData!$AD$28),"",ReferenceData!$AD$28),"")</f>
        <v>869.2269182</v>
      </c>
      <c r="AE28">
        <f ca="1">IFERROR(IF(0=LEN(ReferenceData!$AE$28),"",ReferenceData!$AE$28),"")</f>
        <v>1220.1122250000001</v>
      </c>
      <c r="AF28">
        <f ca="1">IFERROR(IF(0=LEN(ReferenceData!$AF$28),"",ReferenceData!$AF$28),"")</f>
        <v>1108.0900859999999</v>
      </c>
      <c r="AG28">
        <f ca="1">IFERROR(IF(0=LEN(ReferenceData!$AG$28),"",ReferenceData!$AG$28),"")</f>
        <v>854.30144250000001</v>
      </c>
      <c r="AH28">
        <f ca="1">IFERROR(IF(0=LEN(ReferenceData!$AH$28),"",ReferenceData!$AH$28),"")</f>
        <v>737.75366699999995</v>
      </c>
      <c r="AI28">
        <f ca="1">IFERROR(IF(0=LEN(ReferenceData!$AI$28),"",ReferenceData!$AI$28),"")</f>
        <v>777.14415480000002</v>
      </c>
      <c r="AJ28">
        <f ca="1">IFERROR(IF(0=LEN(ReferenceData!$AJ$28),"",ReferenceData!$AJ$28),"")</f>
        <v>974.74290770000005</v>
      </c>
      <c r="AK28">
        <f ca="1">IFERROR(IF(0=LEN(ReferenceData!$AK$28),"",ReferenceData!$AK$28),"")</f>
        <v>890.09441700000002</v>
      </c>
      <c r="AL28">
        <f ca="1">IFERROR(IF(0=LEN(ReferenceData!$AL$28),"",ReferenceData!$AL$28),"")</f>
        <v>1099.354063</v>
      </c>
      <c r="AM28">
        <f ca="1">IFERROR(IF(0=LEN(ReferenceData!$AM$28),"",ReferenceData!$AM$28),"")</f>
        <v>1215.3036239999999</v>
      </c>
      <c r="AN28">
        <f ca="1">IFERROR(IF(0=LEN(ReferenceData!$AN$28),"",ReferenceData!$AN$28),"")</f>
        <v>1239.828354</v>
      </c>
      <c r="AO28">
        <f ca="1">IFERROR(IF(0=LEN(ReferenceData!$AO$28),"",ReferenceData!$AO$28),"")</f>
        <v>1150.2975489999999</v>
      </c>
      <c r="AP28">
        <f ca="1">IFERROR(IF(0=LEN(ReferenceData!$AP$28),"",ReferenceData!$AP$28),"")</f>
        <v>1080.5833279999999</v>
      </c>
      <c r="AQ28" t="str">
        <f ca="1">IFERROR(IF(0=LEN(ReferenceData!$AQ$28),"",ReferenceData!$AQ$28),"")</f>
        <v/>
      </c>
      <c r="AR28" t="str">
        <f ca="1">IFERROR(IF(0=LEN(ReferenceData!$AR$28),"",ReferenceData!$AR$28),"")</f>
        <v/>
      </c>
      <c r="AS28" t="str">
        <f ca="1">IFERROR(IF(0=LEN(ReferenceData!$AS$28),"",ReferenceData!$AS$28),"")</f>
        <v/>
      </c>
      <c r="AT28" t="str">
        <f ca="1">IFERROR(IF(0=LEN(ReferenceData!$AT$28),"",ReferenceData!$AT$28),"")</f>
        <v/>
      </c>
      <c r="AU28" t="str">
        <f ca="1">IFERROR(IF(0=LEN(ReferenceData!$AU$28),"",ReferenceData!$AU$28),"")</f>
        <v/>
      </c>
      <c r="AV28" t="str">
        <f ca="1">IFERROR(IF(0=LEN(ReferenceData!$AV$28),"",ReferenceData!$AV$28),"")</f>
        <v/>
      </c>
      <c r="AW28" t="str">
        <f ca="1">IFERROR(IF(0=LEN(ReferenceData!$AW$28),"",ReferenceData!$AW$28),"")</f>
        <v/>
      </c>
      <c r="AX28" t="str">
        <f ca="1">IFERROR(IF(0=LEN(ReferenceData!$AX$28),"",ReferenceData!$AX$28),"")</f>
        <v/>
      </c>
      <c r="AY28" t="str">
        <f ca="1">IFERROR(IF(0=LEN(ReferenceData!$AY$28),"",ReferenceData!$AY$28),"")</f>
        <v/>
      </c>
      <c r="AZ28" t="str">
        <f ca="1">IFERROR(IF(0=LEN(ReferenceData!$AZ$28),"",ReferenceData!$AZ$28),"")</f>
        <v/>
      </c>
      <c r="BA28" t="str">
        <f ca="1">IFERROR(IF(0=LEN(ReferenceData!$BA$28),"",ReferenceData!$BA$28),"")</f>
        <v/>
      </c>
      <c r="BB28" t="str">
        <f ca="1">IFERROR(IF(0=LEN(ReferenceData!$BB$28),"",ReferenceData!$BB$28),"")</f>
        <v/>
      </c>
      <c r="BC28" t="str">
        <f ca="1">IFERROR(IF(0=LEN(ReferenceData!$BC$28),"",ReferenceData!$BC$28),"")</f>
        <v/>
      </c>
      <c r="BD28" t="str">
        <f ca="1">IFERROR(IF(0=LEN(ReferenceData!$BD$28),"",ReferenceData!$BD$28),"")</f>
        <v/>
      </c>
      <c r="BE28" t="str">
        <f ca="1">IFERROR(IF(0=LEN(ReferenceData!$BE$28),"",ReferenceData!$BE$28),"")</f>
        <v/>
      </c>
      <c r="BF28" t="str">
        <f ca="1">IFERROR(IF(0=LEN(ReferenceData!$BF$28),"",ReferenceData!$BF$28),"")</f>
        <v/>
      </c>
      <c r="BG28" t="str">
        <f ca="1">IFERROR(IF(0=LEN(ReferenceData!$BG$28),"",ReferenceData!$BG$28),"")</f>
        <v/>
      </c>
      <c r="BH28" t="str">
        <f ca="1">IFERROR(IF(0=LEN(ReferenceData!$BH$28),"",ReferenceData!$BH$28),"")</f>
        <v/>
      </c>
      <c r="BI28" t="str">
        <f ca="1">IFERROR(IF(0=LEN(ReferenceData!$BI$28),"",ReferenceData!$BI$28),"")</f>
        <v/>
      </c>
      <c r="BJ28" t="str">
        <f ca="1">IFERROR(IF(0=LEN(ReferenceData!$BJ$28),"",ReferenceData!$BJ$28),"")</f>
        <v/>
      </c>
      <c r="BK28" t="str">
        <f ca="1">IFERROR(IF(0=LEN(ReferenceData!$BK$28),"",ReferenceData!$BK$28),"")</f>
        <v/>
      </c>
      <c r="BL28" t="str">
        <f ca="1">IFERROR(IF(0=LEN(ReferenceData!$BL$28),"",ReferenceData!$BL$28),"")</f>
        <v/>
      </c>
      <c r="BM28" t="str">
        <f ca="1">IFERROR(IF(0=LEN(ReferenceData!$BM$28),"",ReferenceData!$BM$28),"")</f>
        <v/>
      </c>
    </row>
    <row r="29" spans="1:65" x14ac:dyDescent="0.25">
      <c r="A29" t="str">
        <f>IFERROR(IF(0=LEN(ReferenceData!$A$29),"",ReferenceData!$A$29),"")</f>
        <v xml:space="preserve">    Lloyds Banking Group PLC</v>
      </c>
      <c r="B29" t="str">
        <f>IFERROR(IF(0=LEN(ReferenceData!$B$29),"",ReferenceData!$B$29),"")</f>
        <v>LLOY LN Equity</v>
      </c>
      <c r="C29" t="str">
        <f>IFERROR(IF(0=LEN(ReferenceData!$C$29),"",ReferenceData!$C$29),"")</f>
        <v>BM105</v>
      </c>
      <c r="D29" t="str">
        <f>IFERROR(IF(0=LEN(ReferenceData!$D$29),"",ReferenceData!$D$29),"")</f>
        <v>BS_TRADING_ASSETS</v>
      </c>
      <c r="E29" t="str">
        <f>IFERROR(IF(0=LEN(ReferenceData!$E$29),"",ReferenceData!$E$29),"")</f>
        <v>Dynamic</v>
      </c>
      <c r="F29" t="str">
        <f ca="1">IFERROR(IF(0=LEN(ReferenceData!$F$29),"",ReferenceData!$F$29),"")</f>
        <v/>
      </c>
      <c r="G29" t="str">
        <f ca="1">IFERROR(IF(0=LEN(ReferenceData!$G$29),"",ReferenceData!$G$29),"")</f>
        <v/>
      </c>
      <c r="H29" t="str">
        <f ca="1">IFERROR(IF(0=LEN(ReferenceData!$H$29),"",ReferenceData!$H$29),"")</f>
        <v/>
      </c>
      <c r="I29" t="str">
        <f ca="1">IFERROR(IF(0=LEN(ReferenceData!$I$29),"",ReferenceData!$I$29),"")</f>
        <v/>
      </c>
      <c r="J29" t="str">
        <f ca="1">IFERROR(IF(0=LEN(ReferenceData!$J$29),"",ReferenceData!$J$29),"")</f>
        <v/>
      </c>
      <c r="K29" t="str">
        <f ca="1">IFERROR(IF(0=LEN(ReferenceData!$K$29),"",ReferenceData!$K$29),"")</f>
        <v/>
      </c>
      <c r="L29" t="str">
        <f ca="1">IFERROR(IF(0=LEN(ReferenceData!$L$29),"",ReferenceData!$L$29),"")</f>
        <v/>
      </c>
      <c r="M29" t="str">
        <f ca="1">IFERROR(IF(0=LEN(ReferenceData!$M$29),"",ReferenceData!$M$29),"")</f>
        <v/>
      </c>
      <c r="N29" t="str">
        <f ca="1">IFERROR(IF(0=LEN(ReferenceData!$N$29),"",ReferenceData!$N$29),"")</f>
        <v/>
      </c>
      <c r="O29" t="str">
        <f ca="1">IFERROR(IF(0=LEN(ReferenceData!$O$29),"",ReferenceData!$O$29),"")</f>
        <v/>
      </c>
      <c r="P29" t="str">
        <f ca="1">IFERROR(IF(0=LEN(ReferenceData!$P$29),"",ReferenceData!$P$29),"")</f>
        <v/>
      </c>
      <c r="Q29" t="str">
        <f ca="1">IFERROR(IF(0=LEN(ReferenceData!$Q$29),"",ReferenceData!$Q$29),"")</f>
        <v/>
      </c>
      <c r="R29" t="str">
        <f ca="1">IFERROR(IF(0=LEN(ReferenceData!$R$29),"",ReferenceData!$R$29),"")</f>
        <v/>
      </c>
      <c r="S29" t="str">
        <f ca="1">IFERROR(IF(0=LEN(ReferenceData!$S$29),"",ReferenceData!$S$29),"")</f>
        <v/>
      </c>
      <c r="T29" t="str">
        <f ca="1">IFERROR(IF(0=LEN(ReferenceData!$T$29),"",ReferenceData!$T$29),"")</f>
        <v/>
      </c>
      <c r="U29" t="str">
        <f ca="1">IFERROR(IF(0=LEN(ReferenceData!$U$29),"",ReferenceData!$U$29),"")</f>
        <v/>
      </c>
      <c r="V29" t="str">
        <f ca="1">IFERROR(IF(0=LEN(ReferenceData!$V$29),"",ReferenceData!$V$29),"")</f>
        <v/>
      </c>
      <c r="W29" t="str">
        <f ca="1">IFERROR(IF(0=LEN(ReferenceData!$W$29),"",ReferenceData!$W$29),"")</f>
        <v/>
      </c>
      <c r="X29" t="str">
        <f ca="1">IFERROR(IF(0=LEN(ReferenceData!$X$29),"",ReferenceData!$X$29),"")</f>
        <v/>
      </c>
      <c r="Y29" t="str">
        <f ca="1">IFERROR(IF(0=LEN(ReferenceData!$Y$29),"",ReferenceData!$Y$29),"")</f>
        <v/>
      </c>
      <c r="Z29" t="str">
        <f ca="1">IFERROR(IF(0=LEN(ReferenceData!$Z$29),"",ReferenceData!$Z$29),"")</f>
        <v/>
      </c>
      <c r="AA29" t="str">
        <f ca="1">IFERROR(IF(0=LEN(ReferenceData!$AA$29),"",ReferenceData!$AA$29),"")</f>
        <v/>
      </c>
      <c r="AB29" t="str">
        <f ca="1">IFERROR(IF(0=LEN(ReferenceData!$AB$29),"",ReferenceData!$AB$29),"")</f>
        <v/>
      </c>
      <c r="AC29" t="str">
        <f ca="1">IFERROR(IF(0=LEN(ReferenceData!$AC$29),"",ReferenceData!$AC$29),"")</f>
        <v/>
      </c>
      <c r="AD29" t="str">
        <f ca="1">IFERROR(IF(0=LEN(ReferenceData!$AD$29),"",ReferenceData!$AD$29),"")</f>
        <v/>
      </c>
      <c r="AE29" t="str">
        <f ca="1">IFERROR(IF(0=LEN(ReferenceData!$AE$29),"",ReferenceData!$AE$29),"")</f>
        <v/>
      </c>
      <c r="AF29" t="str">
        <f ca="1">IFERROR(IF(0=LEN(ReferenceData!$AF$29),"",ReferenceData!$AF$29),"")</f>
        <v/>
      </c>
      <c r="AG29" t="str">
        <f ca="1">IFERROR(IF(0=LEN(ReferenceData!$AG$29),"",ReferenceData!$AG$29),"")</f>
        <v/>
      </c>
      <c r="AH29" t="str">
        <f ca="1">IFERROR(IF(0=LEN(ReferenceData!$AH$29),"",ReferenceData!$AH$29),"")</f>
        <v/>
      </c>
      <c r="AI29" t="str">
        <f ca="1">IFERROR(IF(0=LEN(ReferenceData!$AI$29),"",ReferenceData!$AI$29),"")</f>
        <v/>
      </c>
      <c r="AJ29" t="str">
        <f ca="1">IFERROR(IF(0=LEN(ReferenceData!$AJ$29),"",ReferenceData!$AJ$29),"")</f>
        <v/>
      </c>
      <c r="AK29" t="str">
        <f ca="1">IFERROR(IF(0=LEN(ReferenceData!$AK$29),"",ReferenceData!$AK$29),"")</f>
        <v/>
      </c>
      <c r="AL29" t="str">
        <f ca="1">IFERROR(IF(0=LEN(ReferenceData!$AL$29),"",ReferenceData!$AL$29),"")</f>
        <v/>
      </c>
      <c r="AM29" t="str">
        <f ca="1">IFERROR(IF(0=LEN(ReferenceData!$AM$29),"",ReferenceData!$AM$29),"")</f>
        <v/>
      </c>
      <c r="AN29" t="str">
        <f ca="1">IFERROR(IF(0=LEN(ReferenceData!$AN$29),"",ReferenceData!$AN$29),"")</f>
        <v/>
      </c>
      <c r="AO29" t="str">
        <f ca="1">IFERROR(IF(0=LEN(ReferenceData!$AO$29),"",ReferenceData!$AO$29),"")</f>
        <v/>
      </c>
      <c r="AP29" t="str">
        <f ca="1">IFERROR(IF(0=LEN(ReferenceData!$AP$29),"",ReferenceData!$AP$29),"")</f>
        <v/>
      </c>
      <c r="AQ29" t="str">
        <f ca="1">IFERROR(IF(0=LEN(ReferenceData!$AQ$29),"",ReferenceData!$AQ$29),"")</f>
        <v/>
      </c>
      <c r="AR29" t="str">
        <f ca="1">IFERROR(IF(0=LEN(ReferenceData!$AR$29),"",ReferenceData!$AR$29),"")</f>
        <v/>
      </c>
      <c r="AS29" t="str">
        <f ca="1">IFERROR(IF(0=LEN(ReferenceData!$AS$29),"",ReferenceData!$AS$29),"")</f>
        <v/>
      </c>
      <c r="AT29">
        <f ca="1">IFERROR(IF(0=LEN(ReferenceData!$AT$29),"",ReferenceData!$AT$29),"")</f>
        <v>62445.042479999996</v>
      </c>
      <c r="AU29" t="str">
        <f ca="1">IFERROR(IF(0=LEN(ReferenceData!$AU$29),"",ReferenceData!$AU$29),"")</f>
        <v/>
      </c>
      <c r="AV29" t="str">
        <f ca="1">IFERROR(IF(0=LEN(ReferenceData!$AV$29),"",ReferenceData!$AV$29),"")</f>
        <v/>
      </c>
      <c r="AW29" t="str">
        <f ca="1">IFERROR(IF(0=LEN(ReferenceData!$AW$29),"",ReferenceData!$AW$29),"")</f>
        <v/>
      </c>
      <c r="AX29" t="str">
        <f ca="1">IFERROR(IF(0=LEN(ReferenceData!$AX$29),"",ReferenceData!$AX$29),"")</f>
        <v/>
      </c>
      <c r="AY29" t="str">
        <f ca="1">IFERROR(IF(0=LEN(ReferenceData!$AY$29),"",ReferenceData!$AY$29),"")</f>
        <v/>
      </c>
      <c r="AZ29" t="str">
        <f ca="1">IFERROR(IF(0=LEN(ReferenceData!$AZ$29),"",ReferenceData!$AZ$29),"")</f>
        <v/>
      </c>
      <c r="BA29" t="str">
        <f ca="1">IFERROR(IF(0=LEN(ReferenceData!$BA$29),"",ReferenceData!$BA$29),"")</f>
        <v/>
      </c>
      <c r="BB29" t="str">
        <f ca="1">IFERROR(IF(0=LEN(ReferenceData!$BB$29),"",ReferenceData!$BB$29),"")</f>
        <v/>
      </c>
      <c r="BC29" t="str">
        <f ca="1">IFERROR(IF(0=LEN(ReferenceData!$BC$29),"",ReferenceData!$BC$29),"")</f>
        <v/>
      </c>
      <c r="BD29" t="str">
        <f ca="1">IFERROR(IF(0=LEN(ReferenceData!$BD$29),"",ReferenceData!$BD$29),"")</f>
        <v/>
      </c>
      <c r="BE29" t="str">
        <f ca="1">IFERROR(IF(0=LEN(ReferenceData!$BE$29),"",ReferenceData!$BE$29),"")</f>
        <v/>
      </c>
      <c r="BF29" t="str">
        <f ca="1">IFERROR(IF(0=LEN(ReferenceData!$BF$29),"",ReferenceData!$BF$29),"")</f>
        <v/>
      </c>
      <c r="BG29" t="str">
        <f ca="1">IFERROR(IF(0=LEN(ReferenceData!$BG$29),"",ReferenceData!$BG$29),"")</f>
        <v/>
      </c>
      <c r="BH29">
        <f ca="1">IFERROR(IF(0=LEN(ReferenceData!$BH$29),"",ReferenceData!$BH$29),"")</f>
        <v>24682.942589999999</v>
      </c>
      <c r="BI29" t="str">
        <f ca="1">IFERROR(IF(0=LEN(ReferenceData!$BI$29),"",ReferenceData!$BI$29),"")</f>
        <v/>
      </c>
      <c r="BJ29" t="str">
        <f ca="1">IFERROR(IF(0=LEN(ReferenceData!$BJ$29),"",ReferenceData!$BJ$29),"")</f>
        <v/>
      </c>
      <c r="BK29" t="str">
        <f ca="1">IFERROR(IF(0=LEN(ReferenceData!$BK$29),"",ReferenceData!$BK$29),"")</f>
        <v/>
      </c>
      <c r="BL29">
        <f ca="1">IFERROR(IF(0=LEN(ReferenceData!$BL$29),"",ReferenceData!$BL$29),"")</f>
        <v>32324.816589999999</v>
      </c>
      <c r="BM29" t="str">
        <f ca="1">IFERROR(IF(0=LEN(ReferenceData!$BM$29),"",ReferenceData!$BM$29),"")</f>
        <v/>
      </c>
    </row>
    <row r="30" spans="1:65" x14ac:dyDescent="0.25">
      <c r="A30" t="str">
        <f>IFERROR(IF(0=LEN(ReferenceData!$A$30),"",ReferenceData!$A$30),"")</f>
        <v xml:space="preserve">    Mediobanca Banca di Credito Finanziario SpA</v>
      </c>
      <c r="B30" t="str">
        <f>IFERROR(IF(0=LEN(ReferenceData!$B$30),"",ReferenceData!$B$30),"")</f>
        <v>MB IM Equity</v>
      </c>
      <c r="C30" t="str">
        <f>IFERROR(IF(0=LEN(ReferenceData!$C$30),"",ReferenceData!$C$30),"")</f>
        <v>BM105</v>
      </c>
      <c r="D30" t="str">
        <f>IFERROR(IF(0=LEN(ReferenceData!$D$30),"",ReferenceData!$D$30),"")</f>
        <v>BS_TRADING_ASSETS</v>
      </c>
      <c r="E30" t="str">
        <f>IFERROR(IF(0=LEN(ReferenceData!$E$30),"",ReferenceData!$E$30),"")</f>
        <v>Dynamic</v>
      </c>
      <c r="F30">
        <f ca="1">IFERROR(IF(0=LEN(ReferenceData!$F$30),"",ReferenceData!$F$30),"")</f>
        <v>15171.8</v>
      </c>
      <c r="G30">
        <f ca="1">IFERROR(IF(0=LEN(ReferenceData!$G$30),"",ReferenceData!$G$30),"")</f>
        <v>15362.6</v>
      </c>
      <c r="H30">
        <f ca="1">IFERROR(IF(0=LEN(ReferenceData!$H$30),"",ReferenceData!$H$30),"")</f>
        <v>15409.450999999999</v>
      </c>
      <c r="I30">
        <f ca="1">IFERROR(IF(0=LEN(ReferenceData!$I$30),"",ReferenceData!$I$30),"")</f>
        <v>12925.5</v>
      </c>
      <c r="J30">
        <f ca="1">IFERROR(IF(0=LEN(ReferenceData!$J$30),"",ReferenceData!$J$30),"")</f>
        <v>11132.017</v>
      </c>
      <c r="K30">
        <f ca="1">IFERROR(IF(0=LEN(ReferenceData!$K$30),"",ReferenceData!$K$30),"")</f>
        <v>10388.200000000001</v>
      </c>
      <c r="L30">
        <f ca="1">IFERROR(IF(0=LEN(ReferenceData!$L$30),"",ReferenceData!$L$30),"")</f>
        <v>9546.2119999999995</v>
      </c>
      <c r="M30">
        <f ca="1">IFERROR(IF(0=LEN(ReferenceData!$M$30),"",ReferenceData!$M$30),"")</f>
        <v>10028.1</v>
      </c>
      <c r="N30">
        <f ca="1">IFERROR(IF(0=LEN(ReferenceData!$N$30),"",ReferenceData!$N$30),"")</f>
        <v>8689.6759999999995</v>
      </c>
      <c r="O30">
        <f ca="1">IFERROR(IF(0=LEN(ReferenceData!$O$30),"",ReferenceData!$O$30),"")</f>
        <v>9867.2999999999993</v>
      </c>
      <c r="P30">
        <f ca="1">IFERROR(IF(0=LEN(ReferenceData!$P$30),"",ReferenceData!$P$30),"")</f>
        <v>9530.9349999999995</v>
      </c>
      <c r="Q30">
        <f ca="1">IFERROR(IF(0=LEN(ReferenceData!$Q$30),"",ReferenceData!$Q$30),"")</f>
        <v>9694.6</v>
      </c>
      <c r="R30">
        <f ca="1">IFERROR(IF(0=LEN(ReferenceData!$R$30),"",ReferenceData!$R$30),"")</f>
        <v>12123.172</v>
      </c>
      <c r="S30">
        <f ca="1">IFERROR(IF(0=LEN(ReferenceData!$S$30),"",ReferenceData!$S$30),"")</f>
        <v>12217.1</v>
      </c>
      <c r="T30">
        <f ca="1">IFERROR(IF(0=LEN(ReferenceData!$T$30),"",ReferenceData!$T$30),"")</f>
        <v>11273.736999999999</v>
      </c>
      <c r="U30">
        <f ca="1">IFERROR(IF(0=LEN(ReferenceData!$U$30),"",ReferenceData!$U$30),"")</f>
        <v>11417.7</v>
      </c>
      <c r="V30">
        <f ca="1">IFERROR(IF(0=LEN(ReferenceData!$V$30),"",ReferenceData!$V$30),"")</f>
        <v>11559.705</v>
      </c>
      <c r="W30">
        <f ca="1">IFERROR(IF(0=LEN(ReferenceData!$W$30),"",ReferenceData!$W$30),"")</f>
        <v>9612</v>
      </c>
      <c r="X30">
        <f ca="1">IFERROR(IF(0=LEN(ReferenceData!$X$30),"",ReferenceData!$X$30),"")</f>
        <v>8818.59</v>
      </c>
      <c r="Y30">
        <f ca="1">IFERROR(IF(0=LEN(ReferenceData!$Y$30),"",ReferenceData!$Y$30),"")</f>
        <v>11559.7</v>
      </c>
      <c r="Z30">
        <f ca="1">IFERROR(IF(0=LEN(ReferenceData!$Z$30),"",ReferenceData!$Z$30),"")</f>
        <v>12526.807000000001</v>
      </c>
      <c r="AA30">
        <f ca="1">IFERROR(IF(0=LEN(ReferenceData!$AA$30),"",ReferenceData!$AA$30),"")</f>
        <v>12144.4</v>
      </c>
      <c r="AB30">
        <f ca="1">IFERROR(IF(0=LEN(ReferenceData!$AB$30),"",ReferenceData!$AB$30),"")</f>
        <v>9765.6530000000002</v>
      </c>
      <c r="AC30">
        <f ca="1">IFERROR(IF(0=LEN(ReferenceData!$AC$30),"",ReferenceData!$AC$30),"")</f>
        <v>9728.7999999999993</v>
      </c>
      <c r="AD30">
        <f ca="1">IFERROR(IF(0=LEN(ReferenceData!$AD$30),"",ReferenceData!$AD$30),"")</f>
        <v>9315.3989999999994</v>
      </c>
      <c r="AE30">
        <f ca="1">IFERROR(IF(0=LEN(ReferenceData!$AE$30),"",ReferenceData!$AE$30),"")</f>
        <v>8403.7999999999993</v>
      </c>
      <c r="AF30">
        <f ca="1">IFERROR(IF(0=LEN(ReferenceData!$AF$30),"",ReferenceData!$AF$30),"")</f>
        <v>8204.9110000000001</v>
      </c>
      <c r="AG30">
        <f ca="1">IFERROR(IF(0=LEN(ReferenceData!$AG$30),"",ReferenceData!$AG$30),"")</f>
        <v>8491.7000000000007</v>
      </c>
      <c r="AH30">
        <f ca="1">IFERROR(IF(0=LEN(ReferenceData!$AH$30),"",ReferenceData!$AH$30),"")</f>
        <v>10105.026</v>
      </c>
      <c r="AI30">
        <f ca="1">IFERROR(IF(0=LEN(ReferenceData!$AI$30),"",ReferenceData!$AI$30),"")</f>
        <v>8304.5</v>
      </c>
      <c r="AJ30">
        <f ca="1">IFERROR(IF(0=LEN(ReferenceData!$AJ$30),"",ReferenceData!$AJ$30),"")</f>
        <v>7833.9030000000002</v>
      </c>
      <c r="AK30">
        <f ca="1">IFERROR(IF(0=LEN(ReferenceData!$AK$30),"",ReferenceData!$AK$30),"")</f>
        <v>10235.799999999999</v>
      </c>
      <c r="AL30">
        <f ca="1">IFERROR(IF(0=LEN(ReferenceData!$AL$30),"",ReferenceData!$AL$30),"")</f>
        <v>10335.710999999999</v>
      </c>
      <c r="AM30">
        <f ca="1">IFERROR(IF(0=LEN(ReferenceData!$AM$30),"",ReferenceData!$AM$30),"")</f>
        <v>9937.2000000000007</v>
      </c>
      <c r="AN30">
        <f ca="1">IFERROR(IF(0=LEN(ReferenceData!$AN$30),"",ReferenceData!$AN$30),"")</f>
        <v>9505.2950000000001</v>
      </c>
      <c r="AO30">
        <f ca="1">IFERROR(IF(0=LEN(ReferenceData!$AO$30),"",ReferenceData!$AO$30),"")</f>
        <v>10139.6</v>
      </c>
      <c r="AP30">
        <f ca="1">IFERROR(IF(0=LEN(ReferenceData!$AP$30),"",ReferenceData!$AP$30),"")</f>
        <v>13108.228999999999</v>
      </c>
      <c r="AQ30">
        <f ca="1">IFERROR(IF(0=LEN(ReferenceData!$AQ$30),"",ReferenceData!$AQ$30),"")</f>
        <v>12697.6</v>
      </c>
      <c r="AR30">
        <f ca="1">IFERROR(IF(0=LEN(ReferenceData!$AR$30),"",ReferenceData!$AR$30),"")</f>
        <v>11860.786</v>
      </c>
      <c r="AS30">
        <f ca="1">IFERROR(IF(0=LEN(ReferenceData!$AS$30),"",ReferenceData!$AS$30),"")</f>
        <v>14300</v>
      </c>
      <c r="AT30">
        <f ca="1">IFERROR(IF(0=LEN(ReferenceData!$AT$30),"",ReferenceData!$AT$30),"")</f>
        <v>13626.858</v>
      </c>
      <c r="AU30">
        <f ca="1">IFERROR(IF(0=LEN(ReferenceData!$AU$30),"",ReferenceData!$AU$30),"")</f>
        <v>13232</v>
      </c>
      <c r="AV30">
        <f ca="1">IFERROR(IF(0=LEN(ReferenceData!$AV$30),"",ReferenceData!$AV$30),"")</f>
        <v>12406.967000000001</v>
      </c>
      <c r="AW30">
        <f ca="1">IFERROR(IF(0=LEN(ReferenceData!$AW$30),"",ReferenceData!$AW$30),"")</f>
        <v>13671.2</v>
      </c>
      <c r="AX30">
        <f ca="1">IFERROR(IF(0=LEN(ReferenceData!$AX$30),"",ReferenceData!$AX$30),"")</f>
        <v>7734.7259999999997</v>
      </c>
      <c r="AY30">
        <f ca="1">IFERROR(IF(0=LEN(ReferenceData!$AY$30),"",ReferenceData!$AY$30),"")</f>
        <v>14876.3</v>
      </c>
      <c r="AZ30">
        <f ca="1">IFERROR(IF(0=LEN(ReferenceData!$AZ$30),"",ReferenceData!$AZ$30),"")</f>
        <v>13047.073</v>
      </c>
      <c r="BA30">
        <f ca="1">IFERROR(IF(0=LEN(ReferenceData!$BA$30),"",ReferenceData!$BA$30),"")</f>
        <v>13378.6</v>
      </c>
      <c r="BB30">
        <f ca="1">IFERROR(IF(0=LEN(ReferenceData!$BB$30),"",ReferenceData!$BB$30),"")</f>
        <v>7196.8059999999996</v>
      </c>
      <c r="BC30">
        <f ca="1">IFERROR(IF(0=LEN(ReferenceData!$BC$30),"",ReferenceData!$BC$30),"")</f>
        <v>14693.5</v>
      </c>
      <c r="BD30">
        <f ca="1">IFERROR(IF(0=LEN(ReferenceData!$BD$30),"",ReferenceData!$BD$30),"")</f>
        <v>6125.402</v>
      </c>
      <c r="BE30">
        <f ca="1">IFERROR(IF(0=LEN(ReferenceData!$BE$30),"",ReferenceData!$BE$30),"")</f>
        <v>13920.4</v>
      </c>
      <c r="BF30">
        <f ca="1">IFERROR(IF(0=LEN(ReferenceData!$BF$30),"",ReferenceData!$BF$30),"")</f>
        <v>6414.8540000000003</v>
      </c>
      <c r="BG30">
        <f ca="1">IFERROR(IF(0=LEN(ReferenceData!$BG$30),"",ReferenceData!$BG$30),"")</f>
        <v>14858.1</v>
      </c>
      <c r="BH30" t="str">
        <f ca="1">IFERROR(IF(0=LEN(ReferenceData!$BH$30),"",ReferenceData!$BH$30),"")</f>
        <v/>
      </c>
      <c r="BI30" t="str">
        <f ca="1">IFERROR(IF(0=LEN(ReferenceData!$BI$30),"",ReferenceData!$BI$30),"")</f>
        <v/>
      </c>
      <c r="BJ30" t="str">
        <f ca="1">IFERROR(IF(0=LEN(ReferenceData!$BJ$30),"",ReferenceData!$BJ$30),"")</f>
        <v/>
      </c>
      <c r="BK30" t="str">
        <f ca="1">IFERROR(IF(0=LEN(ReferenceData!$BK$30),"",ReferenceData!$BK$30),"")</f>
        <v/>
      </c>
      <c r="BL30" t="str">
        <f ca="1">IFERROR(IF(0=LEN(ReferenceData!$BL$30),"",ReferenceData!$BL$30),"")</f>
        <v/>
      </c>
      <c r="BM30" t="str">
        <f ca="1">IFERROR(IF(0=LEN(ReferenceData!$BM$30),"",ReferenceData!$BM$30),"")</f>
        <v/>
      </c>
    </row>
    <row r="31" spans="1:65" x14ac:dyDescent="0.25">
      <c r="A31" t="str">
        <f>IFERROR(IF(0=LEN(ReferenceData!$A$31),"",ReferenceData!$A$31),"")</f>
        <v xml:space="preserve">    NatWest Group PLC</v>
      </c>
      <c r="B31" t="str">
        <f>IFERROR(IF(0=LEN(ReferenceData!$B$31),"",ReferenceData!$B$31),"")</f>
        <v>NWG LN Equity</v>
      </c>
      <c r="C31" t="str">
        <f>IFERROR(IF(0=LEN(ReferenceData!$C$31),"",ReferenceData!$C$31),"")</f>
        <v>BM105</v>
      </c>
      <c r="D31" t="str">
        <f>IFERROR(IF(0=LEN(ReferenceData!$D$31),"",ReferenceData!$D$31),"")</f>
        <v>BS_TRADING_ASSETS</v>
      </c>
      <c r="E31" t="str">
        <f>IFERROR(IF(0=LEN(ReferenceData!$E$31),"",ReferenceData!$E$31),"")</f>
        <v>Dynamic</v>
      </c>
      <c r="F31">
        <f ca="1">IFERROR(IF(0=LEN(ReferenceData!$F$31),"",ReferenceData!$F$31),"")</f>
        <v>59174.019039999999</v>
      </c>
      <c r="G31">
        <f ca="1">IFERROR(IF(0=LEN(ReferenceData!$G$31),"",ReferenceData!$G$31),"")</f>
        <v>65453.165589999997</v>
      </c>
      <c r="H31">
        <f ca="1">IFERROR(IF(0=LEN(ReferenceData!$H$31),"",ReferenceData!$H$31),"")</f>
        <v>54236.964169999999</v>
      </c>
      <c r="I31">
        <f ca="1">IFERROR(IF(0=LEN(ReferenceData!$I$31),"",ReferenceData!$I$31),"")</f>
        <v>58809.504119999998</v>
      </c>
      <c r="J31">
        <f ca="1">IFERROR(IF(0=LEN(ReferenceData!$J$31),"",ReferenceData!$J$31),"")</f>
        <v>52545.861620000003</v>
      </c>
      <c r="K31">
        <f ca="1">IFERROR(IF(0=LEN(ReferenceData!$K$31),"",ReferenceData!$K$31),"")</f>
        <v>57257.886749999998</v>
      </c>
      <c r="L31">
        <f ca="1">IFERROR(IF(0=LEN(ReferenceData!$L$31),"",ReferenceData!$L$31),"")</f>
        <v>56944.805639999999</v>
      </c>
      <c r="M31">
        <f ca="1">IFERROR(IF(0=LEN(ReferenceData!$M$31),"",ReferenceData!$M$31),"")</f>
        <v>57322.9401</v>
      </c>
      <c r="N31">
        <f ca="1">IFERROR(IF(0=LEN(ReferenceData!$N$31),"",ReferenceData!$N$31),"")</f>
        <v>51478.904490000001</v>
      </c>
      <c r="O31">
        <f ca="1">IFERROR(IF(0=LEN(ReferenceData!$O$31),"",ReferenceData!$O$31),"")</f>
        <v>65748.854949999994</v>
      </c>
      <c r="P31">
        <f ca="1">IFERROR(IF(0=LEN(ReferenceData!$P$31),"",ReferenceData!$P$31),"")</f>
        <v>76205.275970000002</v>
      </c>
      <c r="Q31">
        <f ca="1">IFERROR(IF(0=LEN(ReferenceData!$Q$31),"",ReferenceData!$Q$31),"")</f>
        <v>77005.779639999993</v>
      </c>
      <c r="R31">
        <f ca="1">IFERROR(IF(0=LEN(ReferenceData!$R$31),"",ReferenceData!$R$31),"")</f>
        <v>70323.513959999997</v>
      </c>
      <c r="S31">
        <f ca="1">IFERROR(IF(0=LEN(ReferenceData!$S$31),"",ReferenceData!$S$31),"")</f>
        <v>77195.711429999996</v>
      </c>
      <c r="T31">
        <f ca="1">IFERROR(IF(0=LEN(ReferenceData!$T$31),"",ReferenceData!$T$31),"")</f>
        <v>81752.974929999997</v>
      </c>
      <c r="U31">
        <f ca="1">IFERROR(IF(0=LEN(ReferenceData!$U$31),"",ReferenceData!$U$31),"")</f>
        <v>76995.778720000002</v>
      </c>
      <c r="V31">
        <f ca="1">IFERROR(IF(0=LEN(ReferenceData!$V$31),"",ReferenceData!$V$31),"")</f>
        <v>77037.422489999997</v>
      </c>
      <c r="W31">
        <f ca="1">IFERROR(IF(0=LEN(ReferenceData!$W$31),"",ReferenceData!$W$31),"")</f>
        <v>78003.499400000001</v>
      </c>
      <c r="X31">
        <f ca="1">IFERROR(IF(0=LEN(ReferenceData!$X$31),"",ReferenceData!$X$31),"")</f>
        <v>79717.544959999999</v>
      </c>
      <c r="Y31">
        <f ca="1">IFERROR(IF(0=LEN(ReferenceData!$Y$31),"",ReferenceData!$Y$31),"")</f>
        <v>92488.334149999995</v>
      </c>
      <c r="Z31">
        <f ca="1">IFERROR(IF(0=LEN(ReferenceData!$Z$31),"",ReferenceData!$Z$31),"")</f>
        <v>90646.445359999998</v>
      </c>
      <c r="AA31">
        <f ca="1">IFERROR(IF(0=LEN(ReferenceData!$AA$31),"",ReferenceData!$AA$31),"")</f>
        <v>103258.31879999999</v>
      </c>
      <c r="AB31">
        <f ca="1">IFERROR(IF(0=LEN(ReferenceData!$AB$31),"",ReferenceData!$AB$31),"")</f>
        <v>95404.171140000006</v>
      </c>
      <c r="AC31">
        <f ca="1">IFERROR(IF(0=LEN(ReferenceData!$AC$31),"",ReferenceData!$AC$31),"")</f>
        <v>103171.6686</v>
      </c>
      <c r="AD31">
        <f ca="1">IFERROR(IF(0=LEN(ReferenceData!$AD$31),"",ReferenceData!$AD$31),"")</f>
        <v>83606.948480000006</v>
      </c>
      <c r="AE31" t="str">
        <f ca="1">IFERROR(IF(0=LEN(ReferenceData!$AE$31),"",ReferenceData!$AE$31),"")</f>
        <v/>
      </c>
      <c r="AF31" t="str">
        <f ca="1">IFERROR(IF(0=LEN(ReferenceData!$AF$31),"",ReferenceData!$AF$31),"")</f>
        <v/>
      </c>
      <c r="AG31" t="str">
        <f ca="1">IFERROR(IF(0=LEN(ReferenceData!$AG$31),"",ReferenceData!$AG$31),"")</f>
        <v/>
      </c>
      <c r="AH31" t="str">
        <f ca="1">IFERROR(IF(0=LEN(ReferenceData!$AH$31),"",ReferenceData!$AH$31),"")</f>
        <v/>
      </c>
      <c r="AI31" t="str">
        <f ca="1">IFERROR(IF(0=LEN(ReferenceData!$AI$31),"",ReferenceData!$AI$31),"")</f>
        <v/>
      </c>
      <c r="AJ31" t="str">
        <f ca="1">IFERROR(IF(0=LEN(ReferenceData!$AJ$31),"",ReferenceData!$AJ$31),"")</f>
        <v/>
      </c>
      <c r="AK31" t="str">
        <f ca="1">IFERROR(IF(0=LEN(ReferenceData!$AK$31),"",ReferenceData!$AK$31),"")</f>
        <v/>
      </c>
      <c r="AL31" t="str">
        <f ca="1">IFERROR(IF(0=LEN(ReferenceData!$AL$31),"",ReferenceData!$AL$31),"")</f>
        <v/>
      </c>
      <c r="AM31" t="str">
        <f ca="1">IFERROR(IF(0=LEN(ReferenceData!$AM$31),"",ReferenceData!$AM$31),"")</f>
        <v/>
      </c>
      <c r="AN31" t="str">
        <f ca="1">IFERROR(IF(0=LEN(ReferenceData!$AN$31),"",ReferenceData!$AN$31),"")</f>
        <v/>
      </c>
      <c r="AO31" t="str">
        <f ca="1">IFERROR(IF(0=LEN(ReferenceData!$AO$31),"",ReferenceData!$AO$31),"")</f>
        <v/>
      </c>
      <c r="AP31" t="str">
        <f ca="1">IFERROR(IF(0=LEN(ReferenceData!$AP$31),"",ReferenceData!$AP$31),"")</f>
        <v/>
      </c>
      <c r="AQ31" t="str">
        <f ca="1">IFERROR(IF(0=LEN(ReferenceData!$AQ$31),"",ReferenceData!$AQ$31),"")</f>
        <v/>
      </c>
      <c r="AR31" t="str">
        <f ca="1">IFERROR(IF(0=LEN(ReferenceData!$AR$31),"",ReferenceData!$AR$31),"")</f>
        <v/>
      </c>
      <c r="AS31" t="str">
        <f ca="1">IFERROR(IF(0=LEN(ReferenceData!$AS$31),"",ReferenceData!$AS$31),"")</f>
        <v/>
      </c>
      <c r="AT31" t="str">
        <f ca="1">IFERROR(IF(0=LEN(ReferenceData!$AT$31),"",ReferenceData!$AT$31),"")</f>
        <v/>
      </c>
      <c r="AU31" t="str">
        <f ca="1">IFERROR(IF(0=LEN(ReferenceData!$AU$31),"",ReferenceData!$AU$31),"")</f>
        <v/>
      </c>
      <c r="AV31" t="str">
        <f ca="1">IFERROR(IF(0=LEN(ReferenceData!$AV$31),"",ReferenceData!$AV$31),"")</f>
        <v/>
      </c>
      <c r="AW31">
        <f ca="1">IFERROR(IF(0=LEN(ReferenceData!$AW$31),"",ReferenceData!$AW$31),"")</f>
        <v>214807.23980000001</v>
      </c>
      <c r="AX31" t="str">
        <f ca="1">IFERROR(IF(0=LEN(ReferenceData!$AX$31),"",ReferenceData!$AX$31),"")</f>
        <v/>
      </c>
      <c r="AY31">
        <f ca="1">IFERROR(IF(0=LEN(ReferenceData!$AY$31),"",ReferenceData!$AY$31),"")</f>
        <v>250581.15520000001</v>
      </c>
      <c r="AZ31">
        <f ca="1">IFERROR(IF(0=LEN(ReferenceData!$AZ$31),"",ReferenceData!$AZ$31),"")</f>
        <v>207075.29370000001</v>
      </c>
      <c r="BA31">
        <f ca="1">IFERROR(IF(0=LEN(ReferenceData!$BA$31),"",ReferenceData!$BA$31),"")</f>
        <v>282356.26610000001</v>
      </c>
      <c r="BB31">
        <f ca="1">IFERROR(IF(0=LEN(ReferenceData!$BB$31),"",ReferenceData!$BB$31),"")</f>
        <v>276419.22210000001</v>
      </c>
      <c r="BC31">
        <f ca="1">IFERROR(IF(0=LEN(ReferenceData!$BC$31),"",ReferenceData!$BC$31),"")</f>
        <v>297357.71169999999</v>
      </c>
      <c r="BD31" t="str">
        <f ca="1">IFERROR(IF(0=LEN(ReferenceData!$BD$31),"",ReferenceData!$BD$31),"")</f>
        <v/>
      </c>
      <c r="BE31" t="str">
        <f ca="1">IFERROR(IF(0=LEN(ReferenceData!$BE$31),"",ReferenceData!$BE$31),"")</f>
        <v/>
      </c>
      <c r="BF31">
        <f ca="1">IFERROR(IF(0=LEN(ReferenceData!$BF$31),"",ReferenceData!$BF$31),"")</f>
        <v>279643.0662</v>
      </c>
      <c r="BG31">
        <f ca="1">IFERROR(IF(0=LEN(ReferenceData!$BG$31),"",ReferenceData!$BG$31),"")</f>
        <v>327256.00540000002</v>
      </c>
      <c r="BH31">
        <f ca="1">IFERROR(IF(0=LEN(ReferenceData!$BH$31),"",ReferenceData!$BH$31),"")</f>
        <v>314893.26850000001</v>
      </c>
      <c r="BI31">
        <f ca="1">IFERROR(IF(0=LEN(ReferenceData!$BI$31),"",ReferenceData!$BI$31),"")</f>
        <v>316031.74739999999</v>
      </c>
      <c r="BJ31">
        <f ca="1">IFERROR(IF(0=LEN(ReferenceData!$BJ$31),"",ReferenceData!$BJ$31),"")</f>
        <v>137707.28</v>
      </c>
      <c r="BK31">
        <f ca="1">IFERROR(IF(0=LEN(ReferenceData!$BK$31),"",ReferenceData!$BK$31),"")</f>
        <v>121701.4626</v>
      </c>
      <c r="BL31">
        <f ca="1">IFERROR(IF(0=LEN(ReferenceData!$BL$31),"",ReferenceData!$BL$31),"")</f>
        <v>125936.0401</v>
      </c>
      <c r="BM31">
        <f ca="1">IFERROR(IF(0=LEN(ReferenceData!$BM$31),"",ReferenceData!$BM$31),"")</f>
        <v>127490.8014</v>
      </c>
    </row>
    <row r="32" spans="1:65" x14ac:dyDescent="0.25">
      <c r="A32" t="str">
        <f>IFERROR(IF(0=LEN(ReferenceData!$A$32),"",ReferenceData!$A$32),"")</f>
        <v xml:space="preserve">    Nordea Bank Abp</v>
      </c>
      <c r="B32" t="str">
        <f>IFERROR(IF(0=LEN(ReferenceData!$B$32),"",ReferenceData!$B$32),"")</f>
        <v>NDA FH Equity</v>
      </c>
      <c r="C32" t="str">
        <f>IFERROR(IF(0=LEN(ReferenceData!$C$32),"",ReferenceData!$C$32),"")</f>
        <v>BM105</v>
      </c>
      <c r="D32" t="str">
        <f>IFERROR(IF(0=LEN(ReferenceData!$D$32),"",ReferenceData!$D$32),"")</f>
        <v>BS_TRADING_ASSETS</v>
      </c>
      <c r="E32" t="str">
        <f>IFERROR(IF(0=LEN(ReferenceData!$E$32),"",ReferenceData!$E$32),"")</f>
        <v>Dynamic</v>
      </c>
      <c r="F32" t="str">
        <f ca="1">IFERROR(IF(0=LEN(ReferenceData!$F$32),"",ReferenceData!$F$32),"")</f>
        <v/>
      </c>
      <c r="G32" t="str">
        <f ca="1">IFERROR(IF(0=LEN(ReferenceData!$G$32),"",ReferenceData!$G$32),"")</f>
        <v/>
      </c>
      <c r="H32" t="str">
        <f ca="1">IFERROR(IF(0=LEN(ReferenceData!$H$32),"",ReferenceData!$H$32),"")</f>
        <v/>
      </c>
      <c r="I32" t="str">
        <f ca="1">IFERROR(IF(0=LEN(ReferenceData!$I$32),"",ReferenceData!$I$32),"")</f>
        <v/>
      </c>
      <c r="J32" t="str">
        <f ca="1">IFERROR(IF(0=LEN(ReferenceData!$J$32),"",ReferenceData!$J$32),"")</f>
        <v/>
      </c>
      <c r="K32" t="str">
        <f ca="1">IFERROR(IF(0=LEN(ReferenceData!$K$32),"",ReferenceData!$K$32),"")</f>
        <v/>
      </c>
      <c r="L32" t="str">
        <f ca="1">IFERROR(IF(0=LEN(ReferenceData!$L$32),"",ReferenceData!$L$32),"")</f>
        <v/>
      </c>
      <c r="M32" t="str">
        <f ca="1">IFERROR(IF(0=LEN(ReferenceData!$M$32),"",ReferenceData!$M$32),"")</f>
        <v/>
      </c>
      <c r="N32" t="str">
        <f ca="1">IFERROR(IF(0=LEN(ReferenceData!$N$32),"",ReferenceData!$N$32),"")</f>
        <v/>
      </c>
      <c r="O32" t="str">
        <f ca="1">IFERROR(IF(0=LEN(ReferenceData!$O$32),"",ReferenceData!$O$32),"")</f>
        <v/>
      </c>
      <c r="P32" t="str">
        <f ca="1">IFERROR(IF(0=LEN(ReferenceData!$P$32),"",ReferenceData!$P$32),"")</f>
        <v/>
      </c>
      <c r="Q32" t="str">
        <f ca="1">IFERROR(IF(0=LEN(ReferenceData!$Q$32),"",ReferenceData!$Q$32),"")</f>
        <v/>
      </c>
      <c r="R32" t="str">
        <f ca="1">IFERROR(IF(0=LEN(ReferenceData!$R$32),"",ReferenceData!$R$32),"")</f>
        <v/>
      </c>
      <c r="S32" t="str">
        <f ca="1">IFERROR(IF(0=LEN(ReferenceData!$S$32),"",ReferenceData!$S$32),"")</f>
        <v/>
      </c>
      <c r="T32" t="str">
        <f ca="1">IFERROR(IF(0=LEN(ReferenceData!$T$32),"",ReferenceData!$T$32),"")</f>
        <v/>
      </c>
      <c r="U32" t="str">
        <f ca="1">IFERROR(IF(0=LEN(ReferenceData!$U$32),"",ReferenceData!$U$32),"")</f>
        <v/>
      </c>
      <c r="V32" t="str">
        <f ca="1">IFERROR(IF(0=LEN(ReferenceData!$V$32),"",ReferenceData!$V$32),"")</f>
        <v/>
      </c>
      <c r="W32" t="str">
        <f ca="1">IFERROR(IF(0=LEN(ReferenceData!$W$32),"",ReferenceData!$W$32),"")</f>
        <v/>
      </c>
      <c r="X32" t="str">
        <f ca="1">IFERROR(IF(0=LEN(ReferenceData!$X$32),"",ReferenceData!$X$32),"")</f>
        <v/>
      </c>
      <c r="Y32" t="str">
        <f ca="1">IFERROR(IF(0=LEN(ReferenceData!$Y$32),"",ReferenceData!$Y$32),"")</f>
        <v/>
      </c>
      <c r="Z32" t="str">
        <f ca="1">IFERROR(IF(0=LEN(ReferenceData!$Z$32),"",ReferenceData!$Z$32),"")</f>
        <v/>
      </c>
      <c r="AA32" t="str">
        <f ca="1">IFERROR(IF(0=LEN(ReferenceData!$AA$32),"",ReferenceData!$AA$32),"")</f>
        <v/>
      </c>
      <c r="AB32" t="str">
        <f ca="1">IFERROR(IF(0=LEN(ReferenceData!$AB$32),"",ReferenceData!$AB$32),"")</f>
        <v/>
      </c>
      <c r="AC32" t="str">
        <f ca="1">IFERROR(IF(0=LEN(ReferenceData!$AC$32),"",ReferenceData!$AC$32),"")</f>
        <v/>
      </c>
      <c r="AD32" t="str">
        <f ca="1">IFERROR(IF(0=LEN(ReferenceData!$AD$32),"",ReferenceData!$AD$32),"")</f>
        <v/>
      </c>
      <c r="AE32" t="str">
        <f ca="1">IFERROR(IF(0=LEN(ReferenceData!$AE$32),"",ReferenceData!$AE$32),"")</f>
        <v/>
      </c>
      <c r="AF32" t="str">
        <f ca="1">IFERROR(IF(0=LEN(ReferenceData!$AF$32),"",ReferenceData!$AF$32),"")</f>
        <v/>
      </c>
      <c r="AG32" t="str">
        <f ca="1">IFERROR(IF(0=LEN(ReferenceData!$AG$32),"",ReferenceData!$AG$32),"")</f>
        <v/>
      </c>
      <c r="AH32" t="str">
        <f ca="1">IFERROR(IF(0=LEN(ReferenceData!$AH$32),"",ReferenceData!$AH$32),"")</f>
        <v/>
      </c>
      <c r="AI32" t="str">
        <f ca="1">IFERROR(IF(0=LEN(ReferenceData!$AI$32),"",ReferenceData!$AI$32),"")</f>
        <v/>
      </c>
      <c r="AJ32" t="str">
        <f ca="1">IFERROR(IF(0=LEN(ReferenceData!$AJ$32),"",ReferenceData!$AJ$32),"")</f>
        <v/>
      </c>
      <c r="AK32" t="str">
        <f ca="1">IFERROR(IF(0=LEN(ReferenceData!$AK$32),"",ReferenceData!$AK$32),"")</f>
        <v/>
      </c>
      <c r="AL32" t="str">
        <f ca="1">IFERROR(IF(0=LEN(ReferenceData!$AL$32),"",ReferenceData!$AL$32),"")</f>
        <v/>
      </c>
      <c r="AM32" t="str">
        <f ca="1">IFERROR(IF(0=LEN(ReferenceData!$AM$32),"",ReferenceData!$AM$32),"")</f>
        <v/>
      </c>
      <c r="AN32" t="str">
        <f ca="1">IFERROR(IF(0=LEN(ReferenceData!$AN$32),"",ReferenceData!$AN$32),"")</f>
        <v/>
      </c>
      <c r="AO32" t="str">
        <f ca="1">IFERROR(IF(0=LEN(ReferenceData!$AO$32),"",ReferenceData!$AO$32),"")</f>
        <v/>
      </c>
      <c r="AP32" t="str">
        <f ca="1">IFERROR(IF(0=LEN(ReferenceData!$AP$32),"",ReferenceData!$AP$32),"")</f>
        <v/>
      </c>
      <c r="AQ32" t="str">
        <f ca="1">IFERROR(IF(0=LEN(ReferenceData!$AQ$32),"",ReferenceData!$AQ$32),"")</f>
        <v/>
      </c>
      <c r="AR32" t="str">
        <f ca="1">IFERROR(IF(0=LEN(ReferenceData!$AR$32),"",ReferenceData!$AR$32),"")</f>
        <v/>
      </c>
      <c r="AS32" t="str">
        <f ca="1">IFERROR(IF(0=LEN(ReferenceData!$AS$32),"",ReferenceData!$AS$32),"")</f>
        <v/>
      </c>
      <c r="AT32" t="str">
        <f ca="1">IFERROR(IF(0=LEN(ReferenceData!$AT$32),"",ReferenceData!$AT$32),"")</f>
        <v/>
      </c>
      <c r="AU32" t="str">
        <f ca="1">IFERROR(IF(0=LEN(ReferenceData!$AU$32),"",ReferenceData!$AU$32),"")</f>
        <v/>
      </c>
      <c r="AV32" t="str">
        <f ca="1">IFERROR(IF(0=LEN(ReferenceData!$AV$32),"",ReferenceData!$AV$32),"")</f>
        <v/>
      </c>
      <c r="AW32" t="str">
        <f ca="1">IFERROR(IF(0=LEN(ReferenceData!$AW$32),"",ReferenceData!$AW$32),"")</f>
        <v/>
      </c>
      <c r="AX32" t="str">
        <f ca="1">IFERROR(IF(0=LEN(ReferenceData!$AX$32),"",ReferenceData!$AX$32),"")</f>
        <v/>
      </c>
      <c r="AY32" t="str">
        <f ca="1">IFERROR(IF(0=LEN(ReferenceData!$AY$32),"",ReferenceData!$AY$32),"")</f>
        <v/>
      </c>
      <c r="AZ32" t="str">
        <f ca="1">IFERROR(IF(0=LEN(ReferenceData!$AZ$32),"",ReferenceData!$AZ$32),"")</f>
        <v/>
      </c>
      <c r="BA32" t="str">
        <f ca="1">IFERROR(IF(0=LEN(ReferenceData!$BA$32),"",ReferenceData!$BA$32),"")</f>
        <v/>
      </c>
      <c r="BB32" t="str">
        <f ca="1">IFERROR(IF(0=LEN(ReferenceData!$BB$32),"",ReferenceData!$BB$32),"")</f>
        <v/>
      </c>
      <c r="BC32" t="str">
        <f ca="1">IFERROR(IF(0=LEN(ReferenceData!$BC$32),"",ReferenceData!$BC$32),"")</f>
        <v/>
      </c>
      <c r="BD32" t="str">
        <f ca="1">IFERROR(IF(0=LEN(ReferenceData!$BD$32),"",ReferenceData!$BD$32),"")</f>
        <v/>
      </c>
      <c r="BE32" t="str">
        <f ca="1">IFERROR(IF(0=LEN(ReferenceData!$BE$32),"",ReferenceData!$BE$32),"")</f>
        <v/>
      </c>
      <c r="BF32" t="str">
        <f ca="1">IFERROR(IF(0=LEN(ReferenceData!$BF$32),"",ReferenceData!$BF$32),"")</f>
        <v/>
      </c>
      <c r="BG32" t="str">
        <f ca="1">IFERROR(IF(0=LEN(ReferenceData!$BG$32),"",ReferenceData!$BG$32),"")</f>
        <v/>
      </c>
      <c r="BH32">
        <f ca="1">IFERROR(IF(0=LEN(ReferenceData!$BH$32),"",ReferenceData!$BH$32),"")</f>
        <v>43530</v>
      </c>
      <c r="BI32">
        <f ca="1">IFERROR(IF(0=LEN(ReferenceData!$BI$32),"",ReferenceData!$BI$32),"")</f>
        <v>59569</v>
      </c>
      <c r="BJ32" t="str">
        <f ca="1">IFERROR(IF(0=LEN(ReferenceData!$BJ$32),"",ReferenceData!$BJ$32),"")</f>
        <v/>
      </c>
      <c r="BK32">
        <f ca="1">IFERROR(IF(0=LEN(ReferenceData!$BK$32),"",ReferenceData!$BK$32),"")</f>
        <v>81958</v>
      </c>
      <c r="BL32">
        <f ca="1">IFERROR(IF(0=LEN(ReferenceData!$BL$32),"",ReferenceData!$BL$32),"")</f>
        <v>71395</v>
      </c>
      <c r="BM32">
        <f ca="1">IFERROR(IF(0=LEN(ReferenceData!$BM$32),"",ReferenceData!$BM$32),"")</f>
        <v>75381</v>
      </c>
    </row>
    <row r="33" spans="1:65" x14ac:dyDescent="0.25">
      <c r="A33" t="str">
        <f>IFERROR(IF(0=LEN(ReferenceData!$A$33),"",ReferenceData!$A$33),"")</f>
        <v xml:space="preserve">    Raiffeisen Bank International AG</v>
      </c>
      <c r="B33" t="str">
        <f>IFERROR(IF(0=LEN(ReferenceData!$B$33),"",ReferenceData!$B$33),"")</f>
        <v>RBI AV Equity</v>
      </c>
      <c r="C33" t="str">
        <f>IFERROR(IF(0=LEN(ReferenceData!$C$33),"",ReferenceData!$C$33),"")</f>
        <v>BM105</v>
      </c>
      <c r="D33" t="str">
        <f>IFERROR(IF(0=LEN(ReferenceData!$D$33),"",ReferenceData!$D$33),"")</f>
        <v>BS_TRADING_ASSETS</v>
      </c>
      <c r="E33" t="str">
        <f>IFERROR(IF(0=LEN(ReferenceData!$E$33),"",ReferenceData!$E$33),"")</f>
        <v>Dynamic</v>
      </c>
      <c r="F33">
        <f ca="1">IFERROR(IF(0=LEN(ReferenceData!$F$33),"",ReferenceData!$F$33),"")</f>
        <v>5945</v>
      </c>
      <c r="G33">
        <f ca="1">IFERROR(IF(0=LEN(ReferenceData!$G$33),"",ReferenceData!$G$33),"")</f>
        <v>6101</v>
      </c>
      <c r="H33">
        <f ca="1">IFERROR(IF(0=LEN(ReferenceData!$H$33),"",ReferenceData!$H$33),"")</f>
        <v>6570</v>
      </c>
      <c r="I33">
        <f ca="1">IFERROR(IF(0=LEN(ReferenceData!$I$33),"",ReferenceData!$I$33),"")</f>
        <v>6583</v>
      </c>
      <c r="J33">
        <f ca="1">IFERROR(IF(0=LEN(ReferenceData!$J$33),"",ReferenceData!$J$33),"")</f>
        <v>5783</v>
      </c>
      <c r="K33">
        <f ca="1">IFERROR(IF(0=LEN(ReferenceData!$K$33),"",ReferenceData!$K$33),"")</f>
        <v>7023</v>
      </c>
      <c r="L33">
        <f ca="1">IFERROR(IF(0=LEN(ReferenceData!$L$33),"",ReferenceData!$L$33),"")</f>
        <v>6664</v>
      </c>
      <c r="M33">
        <f ca="1">IFERROR(IF(0=LEN(ReferenceData!$M$33),"",ReferenceData!$M$33),"")</f>
        <v>6655</v>
      </c>
      <c r="N33">
        <f ca="1">IFERROR(IF(0=LEN(ReferenceData!$N$33),"",ReferenceData!$N$33),"")</f>
        <v>6411</v>
      </c>
      <c r="O33">
        <f ca="1">IFERROR(IF(0=LEN(ReferenceData!$O$33),"",ReferenceData!$O$33),"")</f>
        <v>9586</v>
      </c>
      <c r="P33">
        <f ca="1">IFERROR(IF(0=LEN(ReferenceData!$P$33),"",ReferenceData!$P$33),"")</f>
        <v>7514</v>
      </c>
      <c r="Q33">
        <f ca="1">IFERROR(IF(0=LEN(ReferenceData!$Q$33),"",ReferenceData!$Q$33),"")</f>
        <v>5212</v>
      </c>
      <c r="R33">
        <f ca="1">IFERROR(IF(0=LEN(ReferenceData!$R$33),"",ReferenceData!$R$33),"")</f>
        <v>4112</v>
      </c>
      <c r="S33">
        <f ca="1">IFERROR(IF(0=LEN(ReferenceData!$S$33),"",ReferenceData!$S$33),"")</f>
        <v>3915</v>
      </c>
      <c r="T33">
        <f ca="1">IFERROR(IF(0=LEN(ReferenceData!$T$33),"",ReferenceData!$T$33),"")</f>
        <v>3872</v>
      </c>
      <c r="U33">
        <f ca="1">IFERROR(IF(0=LEN(ReferenceData!$U$33),"",ReferenceData!$U$33),"")</f>
        <v>4339</v>
      </c>
      <c r="V33">
        <f ca="1">IFERROR(IF(0=LEN(ReferenceData!$V$33),"",ReferenceData!$V$33),"")</f>
        <v>4399.75</v>
      </c>
      <c r="W33">
        <f ca="1">IFERROR(IF(0=LEN(ReferenceData!$W$33),"",ReferenceData!$W$33),"")</f>
        <v>4222</v>
      </c>
      <c r="X33">
        <f ca="1">IFERROR(IF(0=LEN(ReferenceData!$X$33),"",ReferenceData!$X$33),"")</f>
        <v>4675</v>
      </c>
      <c r="Y33">
        <f ca="1">IFERROR(IF(0=LEN(ReferenceData!$Y$33),"",ReferenceData!$Y$33),"")</f>
        <v>4832</v>
      </c>
      <c r="Z33">
        <f ca="1">IFERROR(IF(0=LEN(ReferenceData!$Z$33),"",ReferenceData!$Z$33),"")</f>
        <v>4182.3720000000003</v>
      </c>
      <c r="AA33">
        <f ca="1">IFERROR(IF(0=LEN(ReferenceData!$AA$33),"",ReferenceData!$AA$33),"")</f>
        <v>4265</v>
      </c>
      <c r="AB33">
        <f ca="1">IFERROR(IF(0=LEN(ReferenceData!$AB$33),"",ReferenceData!$AB$33),"")</f>
        <v>3928</v>
      </c>
      <c r="AC33">
        <f ca="1">IFERROR(IF(0=LEN(ReferenceData!$AC$33),"",ReferenceData!$AC$33),"")</f>
        <v>3805</v>
      </c>
      <c r="AD33">
        <f ca="1">IFERROR(IF(0=LEN(ReferenceData!$AD$33),"",ReferenceData!$AD$33),"")</f>
        <v>3893.6089999999999</v>
      </c>
      <c r="AE33">
        <f ca="1">IFERROR(IF(0=LEN(ReferenceData!$AE$33),"",ReferenceData!$AE$33),"")</f>
        <v>4179</v>
      </c>
      <c r="AF33">
        <f ca="1">IFERROR(IF(0=LEN(ReferenceData!$AF$33),"",ReferenceData!$AF$33),"")</f>
        <v>4534</v>
      </c>
      <c r="AG33">
        <f ca="1">IFERROR(IF(0=LEN(ReferenceData!$AG$33),"",ReferenceData!$AG$33),"")</f>
        <v>4925</v>
      </c>
      <c r="AH33">
        <f ca="1">IFERROR(IF(0=LEN(ReferenceData!$AH$33),"",ReferenceData!$AH$33),"")</f>
        <v>4622.0360000000001</v>
      </c>
      <c r="AI33">
        <f ca="1">IFERROR(IF(0=LEN(ReferenceData!$AI$33),"",ReferenceData!$AI$33),"")</f>
        <v>4740</v>
      </c>
      <c r="AJ33">
        <f ca="1">IFERROR(IF(0=LEN(ReferenceData!$AJ$33),"",ReferenceData!$AJ$33),"")</f>
        <v>4736</v>
      </c>
      <c r="AK33">
        <f ca="1">IFERROR(IF(0=LEN(ReferenceData!$AK$33),"",ReferenceData!$AK$33),"")</f>
        <v>5085</v>
      </c>
      <c r="AL33">
        <f ca="1">IFERROR(IF(0=LEN(ReferenceData!$AL$33),"",ReferenceData!$AL$33),"")</f>
        <v>4986.4620000000004</v>
      </c>
      <c r="AM33">
        <f ca="1">IFERROR(IF(0=LEN(ReferenceData!$AM$33),"",ReferenceData!$AM$33),"")</f>
        <v>5239</v>
      </c>
      <c r="AN33">
        <f ca="1">IFERROR(IF(0=LEN(ReferenceData!$AN$33),"",ReferenceData!$AN$33),"")</f>
        <v>5414</v>
      </c>
      <c r="AO33">
        <f ca="1">IFERROR(IF(0=LEN(ReferenceData!$AO$33),"",ReferenceData!$AO$33),"")</f>
        <v>5744</v>
      </c>
      <c r="AP33">
        <f ca="1">IFERROR(IF(0=LEN(ReferenceData!$AP$33),"",ReferenceData!$AP$33),"")</f>
        <v>5814.1080000000002</v>
      </c>
      <c r="AQ33">
        <f ca="1">IFERROR(IF(0=LEN(ReferenceData!$AQ$33),"",ReferenceData!$AQ$33),"")</f>
        <v>6462</v>
      </c>
      <c r="AR33">
        <f ca="1">IFERROR(IF(0=LEN(ReferenceData!$AR$33),"",ReferenceData!$AR$33),"")</f>
        <v>6912</v>
      </c>
      <c r="AS33">
        <f ca="1">IFERROR(IF(0=LEN(ReferenceData!$AS$33),"",ReferenceData!$AS$33),"")</f>
        <v>8533</v>
      </c>
      <c r="AT33">
        <f ca="1">IFERROR(IF(0=LEN(ReferenceData!$AT$33),"",ReferenceData!$AT$33),"")</f>
        <v>7916.6239999999998</v>
      </c>
      <c r="AU33">
        <f ca="1">IFERROR(IF(0=LEN(ReferenceData!$AU$33),"",ReferenceData!$AU$33),"")</f>
        <v>8271</v>
      </c>
      <c r="AV33">
        <f ca="1">IFERROR(IF(0=LEN(ReferenceData!$AV$33),"",ReferenceData!$AV$33),"")</f>
        <v>7834</v>
      </c>
      <c r="AW33">
        <f ca="1">IFERROR(IF(0=LEN(ReferenceData!$AW$33),"",ReferenceData!$AW$33),"")</f>
        <v>7855</v>
      </c>
      <c r="AX33">
        <f ca="1">IFERROR(IF(0=LEN(ReferenceData!$AX$33),"",ReferenceData!$AX$33),"")</f>
        <v>7581.0969999999998</v>
      </c>
      <c r="AY33">
        <f ca="1">IFERROR(IF(0=LEN(ReferenceData!$AY$33),"",ReferenceData!$AY$33),"")</f>
        <v>7853</v>
      </c>
      <c r="AZ33">
        <f ca="1">IFERROR(IF(0=LEN(ReferenceData!$AZ$33),"",ReferenceData!$AZ$33),"")</f>
        <v>7669</v>
      </c>
      <c r="BA33">
        <f ca="1">IFERROR(IF(0=LEN(ReferenceData!$BA$33),"",ReferenceData!$BA$33),"")</f>
        <v>8564</v>
      </c>
      <c r="BB33">
        <f ca="1">IFERROR(IF(0=LEN(ReferenceData!$BB$33),"",ReferenceData!$BB$33),"")</f>
        <v>9813.2900000000009</v>
      </c>
      <c r="BC33">
        <f ca="1">IFERROR(IF(0=LEN(ReferenceData!$BC$33),"",ReferenceData!$BC$33),"")</f>
        <v>9880</v>
      </c>
      <c r="BD33">
        <f ca="1">IFERROR(IF(0=LEN(ReferenceData!$BD$33),"",ReferenceData!$BD$33),"")</f>
        <v>11244</v>
      </c>
      <c r="BE33">
        <f ca="1">IFERROR(IF(0=LEN(ReferenceData!$BE$33),"",ReferenceData!$BE$33),"")</f>
        <v>11075</v>
      </c>
      <c r="BF33">
        <f ca="1">IFERROR(IF(0=LEN(ReferenceData!$BF$33),"",ReferenceData!$BF$33),"")</f>
        <v>10616.671</v>
      </c>
      <c r="BG33">
        <f ca="1">IFERROR(IF(0=LEN(ReferenceData!$BG$33),"",ReferenceData!$BG$33),"")</f>
        <v>11109</v>
      </c>
      <c r="BH33">
        <f ca="1">IFERROR(IF(0=LEN(ReferenceData!$BH$33),"",ReferenceData!$BH$33),"")</f>
        <v>8324</v>
      </c>
      <c r="BI33">
        <f ca="1">IFERROR(IF(0=LEN(ReferenceData!$BI$33),"",ReferenceData!$BI$33),"")</f>
        <v>7750</v>
      </c>
      <c r="BJ33">
        <f ca="1">IFERROR(IF(0=LEN(ReferenceData!$BJ$33),"",ReferenceData!$BJ$33),"")</f>
        <v>8068.393</v>
      </c>
      <c r="BK33">
        <f ca="1">IFERROR(IF(0=LEN(ReferenceData!$BK$33),"",ReferenceData!$BK$33),"")</f>
        <v>3596</v>
      </c>
      <c r="BL33">
        <f ca="1">IFERROR(IF(0=LEN(ReferenceData!$BL$33),"",ReferenceData!$BL$33),"")</f>
        <v>3764</v>
      </c>
      <c r="BM33" t="str">
        <f ca="1">IFERROR(IF(0=LEN(ReferenceData!$BM$33),"",ReferenceData!$BM$33),"")</f>
        <v/>
      </c>
    </row>
    <row r="34" spans="1:65" x14ac:dyDescent="0.25">
      <c r="A34" t="str">
        <f>IFERROR(IF(0=LEN(ReferenceData!$A$34),"",ReferenceData!$A$34),"")</f>
        <v xml:space="preserve">    Skandinaviska Enskilda Banken AB</v>
      </c>
      <c r="B34" t="str">
        <f>IFERROR(IF(0=LEN(ReferenceData!$B$34),"",ReferenceData!$B$34),"")</f>
        <v>SEBA SS Equity</v>
      </c>
      <c r="C34" t="str">
        <f>IFERROR(IF(0=LEN(ReferenceData!$C$34),"",ReferenceData!$C$34),"")</f>
        <v>BM105</v>
      </c>
      <c r="D34" t="str">
        <f>IFERROR(IF(0=LEN(ReferenceData!$D$34),"",ReferenceData!$D$34),"")</f>
        <v>BS_TRADING_ASSETS</v>
      </c>
      <c r="E34" t="str">
        <f>IFERROR(IF(0=LEN(ReferenceData!$E$34),"",ReferenceData!$E$34),"")</f>
        <v>Dynamic</v>
      </c>
      <c r="F34" t="str">
        <f ca="1">IFERROR(IF(0=LEN(ReferenceData!$F$34),"",ReferenceData!$F$34),"")</f>
        <v/>
      </c>
      <c r="G34">
        <f ca="1">IFERROR(IF(0=LEN(ReferenceData!$G$34),"",ReferenceData!$G$34),"")</f>
        <v>10806.279839999999</v>
      </c>
      <c r="H34">
        <f ca="1">IFERROR(IF(0=LEN(ReferenceData!$H$34),"",ReferenceData!$H$34),"")</f>
        <v>10501.07187</v>
      </c>
      <c r="I34">
        <f ca="1">IFERROR(IF(0=LEN(ReferenceData!$I$34),"",ReferenceData!$I$34),"")</f>
        <v>11523.84837</v>
      </c>
      <c r="J34">
        <f ca="1">IFERROR(IF(0=LEN(ReferenceData!$J$34),"",ReferenceData!$J$34),"")</f>
        <v>8347.5205260000002</v>
      </c>
      <c r="K34">
        <f ca="1">IFERROR(IF(0=LEN(ReferenceData!$K$34),"",ReferenceData!$K$34),"")</f>
        <v>8313.2175470000002</v>
      </c>
      <c r="L34">
        <f ca="1">IFERROR(IF(0=LEN(ReferenceData!$L$34),"",ReferenceData!$L$34),"")</f>
        <v>5892.1452689999996</v>
      </c>
      <c r="M34">
        <f ca="1">IFERROR(IF(0=LEN(ReferenceData!$M$34),"",ReferenceData!$M$34),"")</f>
        <v>6583.111672</v>
      </c>
      <c r="N34">
        <f ca="1">IFERROR(IF(0=LEN(ReferenceData!$N$34),"",ReferenceData!$N$34),"")</f>
        <v>5969.665242</v>
      </c>
      <c r="O34" t="str">
        <f ca="1">IFERROR(IF(0=LEN(ReferenceData!$O$34),"",ReferenceData!$O$34),"")</f>
        <v/>
      </c>
      <c r="P34" t="str">
        <f ca="1">IFERROR(IF(0=LEN(ReferenceData!$P$34),"",ReferenceData!$P$34),"")</f>
        <v/>
      </c>
      <c r="Q34" t="str">
        <f ca="1">IFERROR(IF(0=LEN(ReferenceData!$Q$34),"",ReferenceData!$Q$34),"")</f>
        <v/>
      </c>
      <c r="R34">
        <f ca="1">IFERROR(IF(0=LEN(ReferenceData!$R$34),"",ReferenceData!$R$34),"")</f>
        <v>11734.3246</v>
      </c>
      <c r="S34" t="str">
        <f ca="1">IFERROR(IF(0=LEN(ReferenceData!$S$34),"",ReferenceData!$S$34),"")</f>
        <v/>
      </c>
      <c r="T34" t="str">
        <f ca="1">IFERROR(IF(0=LEN(ReferenceData!$T$34),"",ReferenceData!$T$34),"")</f>
        <v/>
      </c>
      <c r="U34" t="str">
        <f ca="1">IFERROR(IF(0=LEN(ReferenceData!$U$34),"",ReferenceData!$U$34),"")</f>
        <v/>
      </c>
      <c r="V34">
        <f ca="1">IFERROR(IF(0=LEN(ReferenceData!$V$34),"",ReferenceData!$V$34),"")</f>
        <v>8186.0309370000004</v>
      </c>
      <c r="W34" t="str">
        <f ca="1">IFERROR(IF(0=LEN(ReferenceData!$W$34),"",ReferenceData!$W$34),"")</f>
        <v/>
      </c>
      <c r="X34" t="str">
        <f ca="1">IFERROR(IF(0=LEN(ReferenceData!$X$34),"",ReferenceData!$X$34),"")</f>
        <v/>
      </c>
      <c r="Y34" t="str">
        <f ca="1">IFERROR(IF(0=LEN(ReferenceData!$Y$34),"",ReferenceData!$Y$34),"")</f>
        <v/>
      </c>
      <c r="Z34">
        <f ca="1">IFERROR(IF(0=LEN(ReferenceData!$Z$34),"",ReferenceData!$Z$34),"")</f>
        <v>7475.026288</v>
      </c>
      <c r="AA34" t="str">
        <f ca="1">IFERROR(IF(0=LEN(ReferenceData!$AA$34),"",ReferenceData!$AA$34),"")</f>
        <v/>
      </c>
      <c r="AB34" t="str">
        <f ca="1">IFERROR(IF(0=LEN(ReferenceData!$AB$34),"",ReferenceData!$AB$34),"")</f>
        <v/>
      </c>
      <c r="AC34" t="str">
        <f ca="1">IFERROR(IF(0=LEN(ReferenceData!$AC$34),"",ReferenceData!$AC$34),"")</f>
        <v/>
      </c>
      <c r="AD34" t="str">
        <f ca="1">IFERROR(IF(0=LEN(ReferenceData!$AD$34),"",ReferenceData!$AD$34),"")</f>
        <v/>
      </c>
      <c r="AE34" t="str">
        <f ca="1">IFERROR(IF(0=LEN(ReferenceData!$AE$34),"",ReferenceData!$AE$34),"")</f>
        <v/>
      </c>
      <c r="AF34" t="str">
        <f ca="1">IFERROR(IF(0=LEN(ReferenceData!$AF$34),"",ReferenceData!$AF$34),"")</f>
        <v/>
      </c>
      <c r="AG34" t="str">
        <f ca="1">IFERROR(IF(0=LEN(ReferenceData!$AG$34),"",ReferenceData!$AG$34),"")</f>
        <v/>
      </c>
      <c r="AH34" t="str">
        <f ca="1">IFERROR(IF(0=LEN(ReferenceData!$AH$34),"",ReferenceData!$AH$34),"")</f>
        <v/>
      </c>
      <c r="AI34" t="str">
        <f ca="1">IFERROR(IF(0=LEN(ReferenceData!$AI$34),"",ReferenceData!$AI$34),"")</f>
        <v/>
      </c>
      <c r="AJ34" t="str">
        <f ca="1">IFERROR(IF(0=LEN(ReferenceData!$AJ$34),"",ReferenceData!$AJ$34),"")</f>
        <v/>
      </c>
      <c r="AK34" t="str">
        <f ca="1">IFERROR(IF(0=LEN(ReferenceData!$AK$34),"",ReferenceData!$AK$34),"")</f>
        <v/>
      </c>
      <c r="AL34">
        <f ca="1">IFERROR(IF(0=LEN(ReferenceData!$AL$34),"",ReferenceData!$AL$34),"")</f>
        <v>16957.65393</v>
      </c>
      <c r="AM34" t="str">
        <f ca="1">IFERROR(IF(0=LEN(ReferenceData!$AM$34),"",ReferenceData!$AM$34),"")</f>
        <v/>
      </c>
      <c r="AN34" t="str">
        <f ca="1">IFERROR(IF(0=LEN(ReferenceData!$AN$34),"",ReferenceData!$AN$34),"")</f>
        <v/>
      </c>
      <c r="AO34" t="str">
        <f ca="1">IFERROR(IF(0=LEN(ReferenceData!$AO$34),"",ReferenceData!$AO$34),"")</f>
        <v/>
      </c>
      <c r="AP34">
        <f ca="1">IFERROR(IF(0=LEN(ReferenceData!$AP$34),"",ReferenceData!$AP$34),"")</f>
        <v>26111.826499999999</v>
      </c>
      <c r="AQ34" t="str">
        <f ca="1">IFERROR(IF(0=LEN(ReferenceData!$AQ$34),"",ReferenceData!$AQ$34),"")</f>
        <v/>
      </c>
      <c r="AR34" t="str">
        <f ca="1">IFERROR(IF(0=LEN(ReferenceData!$AR$34),"",ReferenceData!$AR$34),"")</f>
        <v/>
      </c>
      <c r="AS34" t="str">
        <f ca="1">IFERROR(IF(0=LEN(ReferenceData!$AS$34),"",ReferenceData!$AS$34),"")</f>
        <v/>
      </c>
      <c r="AT34">
        <f ca="1">IFERROR(IF(0=LEN(ReferenceData!$AT$34),"",ReferenceData!$AT$34),"")</f>
        <v>31606.272519999999</v>
      </c>
      <c r="AU34" t="str">
        <f ca="1">IFERROR(IF(0=LEN(ReferenceData!$AU$34),"",ReferenceData!$AU$34),"")</f>
        <v/>
      </c>
      <c r="AV34" t="str">
        <f ca="1">IFERROR(IF(0=LEN(ReferenceData!$AV$34),"",ReferenceData!$AV$34),"")</f>
        <v/>
      </c>
      <c r="AW34" t="str">
        <f ca="1">IFERROR(IF(0=LEN(ReferenceData!$AW$34),"",ReferenceData!$AW$34),"")</f>
        <v/>
      </c>
      <c r="AX34">
        <f ca="1">IFERROR(IF(0=LEN(ReferenceData!$AX$34),"",ReferenceData!$AX$34),"")</f>
        <v>35926.050049999998</v>
      </c>
      <c r="AY34" t="str">
        <f ca="1">IFERROR(IF(0=LEN(ReferenceData!$AY$34),"",ReferenceData!$AY$34),"")</f>
        <v/>
      </c>
      <c r="AZ34" t="str">
        <f ca="1">IFERROR(IF(0=LEN(ReferenceData!$AZ$34),"",ReferenceData!$AZ$34),"")</f>
        <v/>
      </c>
      <c r="BA34" t="str">
        <f ca="1">IFERROR(IF(0=LEN(ReferenceData!$BA$34),"",ReferenceData!$BA$34),"")</f>
        <v/>
      </c>
      <c r="BB34">
        <f ca="1">IFERROR(IF(0=LEN(ReferenceData!$BB$34),"",ReferenceData!$BB$34),"")</f>
        <v>32235.512170000002</v>
      </c>
      <c r="BC34" t="str">
        <f ca="1">IFERROR(IF(0=LEN(ReferenceData!$BC$34),"",ReferenceData!$BC$34),"")</f>
        <v/>
      </c>
      <c r="BD34" t="str">
        <f ca="1">IFERROR(IF(0=LEN(ReferenceData!$BD$34),"",ReferenceData!$BD$34),"")</f>
        <v/>
      </c>
      <c r="BE34" t="str">
        <f ca="1">IFERROR(IF(0=LEN(ReferenceData!$BE$34),"",ReferenceData!$BE$34),"")</f>
        <v/>
      </c>
      <c r="BF34">
        <f ca="1">IFERROR(IF(0=LEN(ReferenceData!$BF$34),"",ReferenceData!$BF$34),"")</f>
        <v>26005.940060000001</v>
      </c>
      <c r="BG34" t="str">
        <f ca="1">IFERROR(IF(0=LEN(ReferenceData!$BG$34),"",ReferenceData!$BG$34),"")</f>
        <v/>
      </c>
      <c r="BH34" t="str">
        <f ca="1">IFERROR(IF(0=LEN(ReferenceData!$BH$34),"",ReferenceData!$BH$34),"")</f>
        <v/>
      </c>
      <c r="BI34" t="str">
        <f ca="1">IFERROR(IF(0=LEN(ReferenceData!$BI$34),"",ReferenceData!$BI$34),"")</f>
        <v/>
      </c>
      <c r="BJ34">
        <f ca="1">IFERROR(IF(0=LEN(ReferenceData!$BJ$34),"",ReferenceData!$BJ$34),"")</f>
        <v>24674.60298</v>
      </c>
      <c r="BK34" t="str">
        <f ca="1">IFERROR(IF(0=LEN(ReferenceData!$BK$34),"",ReferenceData!$BK$34),"")</f>
        <v/>
      </c>
      <c r="BL34" t="str">
        <f ca="1">IFERROR(IF(0=LEN(ReferenceData!$BL$34),"",ReferenceData!$BL$34),"")</f>
        <v/>
      </c>
      <c r="BM34" t="str">
        <f ca="1">IFERROR(IF(0=LEN(ReferenceData!$BM$34),"",ReferenceData!$BM$34),"")</f>
        <v/>
      </c>
    </row>
    <row r="35" spans="1:65" x14ac:dyDescent="0.25">
      <c r="A35" t="str">
        <f>IFERROR(IF(0=LEN(ReferenceData!$A$35),"",ReferenceData!$A$35),"")</f>
        <v xml:space="preserve">    Svenska Handelsbanken AB</v>
      </c>
      <c r="B35" t="str">
        <f>IFERROR(IF(0=LEN(ReferenceData!$B$35),"",ReferenceData!$B$35),"")</f>
        <v>SHBA SS Equity</v>
      </c>
      <c r="C35" t="str">
        <f>IFERROR(IF(0=LEN(ReferenceData!$C$35),"",ReferenceData!$C$35),"")</f>
        <v>BM105</v>
      </c>
      <c r="D35" t="str">
        <f>IFERROR(IF(0=LEN(ReferenceData!$D$35),"",ReferenceData!$D$35),"")</f>
        <v>BS_TRADING_ASSETS</v>
      </c>
      <c r="E35" t="str">
        <f>IFERROR(IF(0=LEN(ReferenceData!$E$35),"",ReferenceData!$E$35),"")</f>
        <v>Dynamic</v>
      </c>
      <c r="F35" t="str">
        <f ca="1">IFERROR(IF(0=LEN(ReferenceData!$F$35),"",ReferenceData!$F$35),"")</f>
        <v/>
      </c>
      <c r="G35" t="str">
        <f ca="1">IFERROR(IF(0=LEN(ReferenceData!$G$35),"",ReferenceData!$G$35),"")</f>
        <v/>
      </c>
      <c r="H35" t="str">
        <f ca="1">IFERROR(IF(0=LEN(ReferenceData!$H$35),"",ReferenceData!$H$35),"")</f>
        <v/>
      </c>
      <c r="I35" t="str">
        <f ca="1">IFERROR(IF(0=LEN(ReferenceData!$I$35),"",ReferenceData!$I$35),"")</f>
        <v/>
      </c>
      <c r="J35" t="str">
        <f ca="1">IFERROR(IF(0=LEN(ReferenceData!$J$35),"",ReferenceData!$J$35),"")</f>
        <v/>
      </c>
      <c r="K35" t="str">
        <f ca="1">IFERROR(IF(0=LEN(ReferenceData!$K$35),"",ReferenceData!$K$35),"")</f>
        <v/>
      </c>
      <c r="L35" t="str">
        <f ca="1">IFERROR(IF(0=LEN(ReferenceData!$L$35),"",ReferenceData!$L$35),"")</f>
        <v/>
      </c>
      <c r="M35" t="str">
        <f ca="1">IFERROR(IF(0=LEN(ReferenceData!$M$35),"",ReferenceData!$M$35),"")</f>
        <v/>
      </c>
      <c r="N35" t="str">
        <f ca="1">IFERROR(IF(0=LEN(ReferenceData!$N$35),"",ReferenceData!$N$35),"")</f>
        <v/>
      </c>
      <c r="O35" t="str">
        <f ca="1">IFERROR(IF(0=LEN(ReferenceData!$O$35),"",ReferenceData!$O$35),"")</f>
        <v/>
      </c>
      <c r="P35" t="str">
        <f ca="1">IFERROR(IF(0=LEN(ReferenceData!$P$35),"",ReferenceData!$P$35),"")</f>
        <v/>
      </c>
      <c r="Q35" t="str">
        <f ca="1">IFERROR(IF(0=LEN(ReferenceData!$Q$35),"",ReferenceData!$Q$35),"")</f>
        <v/>
      </c>
      <c r="R35" t="str">
        <f ca="1">IFERROR(IF(0=LEN(ReferenceData!$R$35),"",ReferenceData!$R$35),"")</f>
        <v/>
      </c>
      <c r="S35" t="str">
        <f ca="1">IFERROR(IF(0=LEN(ReferenceData!$S$35),"",ReferenceData!$S$35),"")</f>
        <v/>
      </c>
      <c r="T35" t="str">
        <f ca="1">IFERROR(IF(0=LEN(ReferenceData!$T$35),"",ReferenceData!$T$35),"")</f>
        <v/>
      </c>
      <c r="U35" t="str">
        <f ca="1">IFERROR(IF(0=LEN(ReferenceData!$U$35),"",ReferenceData!$U$35),"")</f>
        <v/>
      </c>
      <c r="V35" t="str">
        <f ca="1">IFERROR(IF(0=LEN(ReferenceData!$V$35),"",ReferenceData!$V$35),"")</f>
        <v/>
      </c>
      <c r="W35" t="str">
        <f ca="1">IFERROR(IF(0=LEN(ReferenceData!$W$35),"",ReferenceData!$W$35),"")</f>
        <v/>
      </c>
      <c r="X35" t="str">
        <f ca="1">IFERROR(IF(0=LEN(ReferenceData!$X$35),"",ReferenceData!$X$35),"")</f>
        <v/>
      </c>
      <c r="Y35" t="str">
        <f ca="1">IFERROR(IF(0=LEN(ReferenceData!$Y$35),"",ReferenceData!$Y$35),"")</f>
        <v/>
      </c>
      <c r="Z35" t="str">
        <f ca="1">IFERROR(IF(0=LEN(ReferenceData!$Z$35),"",ReferenceData!$Z$35),"")</f>
        <v/>
      </c>
      <c r="AA35" t="str">
        <f ca="1">IFERROR(IF(0=LEN(ReferenceData!$AA$35),"",ReferenceData!$AA$35),"")</f>
        <v/>
      </c>
      <c r="AB35" t="str">
        <f ca="1">IFERROR(IF(0=LEN(ReferenceData!$AB$35),"",ReferenceData!$AB$35),"")</f>
        <v/>
      </c>
      <c r="AC35" t="str">
        <f ca="1">IFERROR(IF(0=LEN(ReferenceData!$AC$35),"",ReferenceData!$AC$35),"")</f>
        <v/>
      </c>
      <c r="AD35" t="str">
        <f ca="1">IFERROR(IF(0=LEN(ReferenceData!$AD$35),"",ReferenceData!$AD$35),"")</f>
        <v/>
      </c>
      <c r="AE35" t="str">
        <f ca="1">IFERROR(IF(0=LEN(ReferenceData!$AE$35),"",ReferenceData!$AE$35),"")</f>
        <v/>
      </c>
      <c r="AF35" t="str">
        <f ca="1">IFERROR(IF(0=LEN(ReferenceData!$AF$35),"",ReferenceData!$AF$35),"")</f>
        <v/>
      </c>
      <c r="AG35" t="str">
        <f ca="1">IFERROR(IF(0=LEN(ReferenceData!$AG$35),"",ReferenceData!$AG$35),"")</f>
        <v/>
      </c>
      <c r="AH35" t="str">
        <f ca="1">IFERROR(IF(0=LEN(ReferenceData!$AH$35),"",ReferenceData!$AH$35),"")</f>
        <v/>
      </c>
      <c r="AI35" t="str">
        <f ca="1">IFERROR(IF(0=LEN(ReferenceData!$AI$35),"",ReferenceData!$AI$35),"")</f>
        <v/>
      </c>
      <c r="AJ35" t="str">
        <f ca="1">IFERROR(IF(0=LEN(ReferenceData!$AJ$35),"",ReferenceData!$AJ$35),"")</f>
        <v/>
      </c>
      <c r="AK35" t="str">
        <f ca="1">IFERROR(IF(0=LEN(ReferenceData!$AK$35),"",ReferenceData!$AK$35),"")</f>
        <v/>
      </c>
      <c r="AL35" t="str">
        <f ca="1">IFERROR(IF(0=LEN(ReferenceData!$AL$35),"",ReferenceData!$AL$35),"")</f>
        <v/>
      </c>
      <c r="AM35" t="str">
        <f ca="1">IFERROR(IF(0=LEN(ReferenceData!$AM$35),"",ReferenceData!$AM$35),"")</f>
        <v/>
      </c>
      <c r="AN35" t="str">
        <f ca="1">IFERROR(IF(0=LEN(ReferenceData!$AN$35),"",ReferenceData!$AN$35),"")</f>
        <v/>
      </c>
      <c r="AO35" t="str">
        <f ca="1">IFERROR(IF(0=LEN(ReferenceData!$AO$35),"",ReferenceData!$AO$35),"")</f>
        <v/>
      </c>
      <c r="AP35" t="str">
        <f ca="1">IFERROR(IF(0=LEN(ReferenceData!$AP$35),"",ReferenceData!$AP$35),"")</f>
        <v/>
      </c>
      <c r="AQ35" t="str">
        <f ca="1">IFERROR(IF(0=LEN(ReferenceData!$AQ$35),"",ReferenceData!$AQ$35),"")</f>
        <v/>
      </c>
      <c r="AR35" t="str">
        <f ca="1">IFERROR(IF(0=LEN(ReferenceData!$AR$35),"",ReferenceData!$AR$35),"")</f>
        <v/>
      </c>
      <c r="AS35" t="str">
        <f ca="1">IFERROR(IF(0=LEN(ReferenceData!$AS$35),"",ReferenceData!$AS$35),"")</f>
        <v/>
      </c>
      <c r="AT35" t="str">
        <f ca="1">IFERROR(IF(0=LEN(ReferenceData!$AT$35),"",ReferenceData!$AT$35),"")</f>
        <v/>
      </c>
      <c r="AU35" t="str">
        <f ca="1">IFERROR(IF(0=LEN(ReferenceData!$AU$35),"",ReferenceData!$AU$35),"")</f>
        <v/>
      </c>
      <c r="AV35" t="str">
        <f ca="1">IFERROR(IF(0=LEN(ReferenceData!$AV$35),"",ReferenceData!$AV$35),"")</f>
        <v/>
      </c>
      <c r="AW35" t="str">
        <f ca="1">IFERROR(IF(0=LEN(ReferenceData!$AW$35),"",ReferenceData!$AW$35),"")</f>
        <v/>
      </c>
      <c r="AX35" t="str">
        <f ca="1">IFERROR(IF(0=LEN(ReferenceData!$AX$35),"",ReferenceData!$AX$35),"")</f>
        <v/>
      </c>
      <c r="AY35" t="str">
        <f ca="1">IFERROR(IF(0=LEN(ReferenceData!$AY$35),"",ReferenceData!$AY$35),"")</f>
        <v/>
      </c>
      <c r="AZ35" t="str">
        <f ca="1">IFERROR(IF(0=LEN(ReferenceData!$AZ$35),"",ReferenceData!$AZ$35),"")</f>
        <v/>
      </c>
      <c r="BA35" t="str">
        <f ca="1">IFERROR(IF(0=LEN(ReferenceData!$BA$35),"",ReferenceData!$BA$35),"")</f>
        <v/>
      </c>
      <c r="BB35" t="str">
        <f ca="1">IFERROR(IF(0=LEN(ReferenceData!$BB$35),"",ReferenceData!$BB$35),"")</f>
        <v/>
      </c>
      <c r="BC35" t="str">
        <f ca="1">IFERROR(IF(0=LEN(ReferenceData!$BC$35),"",ReferenceData!$BC$35),"")</f>
        <v/>
      </c>
      <c r="BD35" t="str">
        <f ca="1">IFERROR(IF(0=LEN(ReferenceData!$BD$35),"",ReferenceData!$BD$35),"")</f>
        <v/>
      </c>
      <c r="BE35" t="str">
        <f ca="1">IFERROR(IF(0=LEN(ReferenceData!$BE$35),"",ReferenceData!$BE$35),"")</f>
        <v/>
      </c>
      <c r="BF35" t="str">
        <f ca="1">IFERROR(IF(0=LEN(ReferenceData!$BF$35),"",ReferenceData!$BF$35),"")</f>
        <v/>
      </c>
      <c r="BG35" t="str">
        <f ca="1">IFERROR(IF(0=LEN(ReferenceData!$BG$35),"",ReferenceData!$BG$35),"")</f>
        <v/>
      </c>
      <c r="BH35" t="str">
        <f ca="1">IFERROR(IF(0=LEN(ReferenceData!$BH$35),"",ReferenceData!$BH$35),"")</f>
        <v/>
      </c>
      <c r="BI35" t="str">
        <f ca="1">IFERROR(IF(0=LEN(ReferenceData!$BI$35),"",ReferenceData!$BI$35),"")</f>
        <v/>
      </c>
      <c r="BJ35">
        <f ca="1">IFERROR(IF(0=LEN(ReferenceData!$BJ$35),"",ReferenceData!$BJ$35),"")</f>
        <v>17561.064610000001</v>
      </c>
      <c r="BK35" t="str">
        <f ca="1">IFERROR(IF(0=LEN(ReferenceData!$BK$35),"",ReferenceData!$BK$35),"")</f>
        <v/>
      </c>
      <c r="BL35" t="str">
        <f ca="1">IFERROR(IF(0=LEN(ReferenceData!$BL$35),"",ReferenceData!$BL$35),"")</f>
        <v/>
      </c>
      <c r="BM35" t="str">
        <f ca="1">IFERROR(IF(0=LEN(ReferenceData!$BM$35),"",ReferenceData!$BM$35),"")</f>
        <v/>
      </c>
    </row>
    <row r="36" spans="1:65" x14ac:dyDescent="0.25">
      <c r="A36" t="str">
        <f>IFERROR(IF(0=LEN(ReferenceData!$A$36),"",ReferenceData!$A$36),"")</f>
        <v xml:space="preserve">    Swedbank AB</v>
      </c>
      <c r="B36" t="str">
        <f>IFERROR(IF(0=LEN(ReferenceData!$B$36),"",ReferenceData!$B$36),"")</f>
        <v>SWEDA SS Equity</v>
      </c>
      <c r="C36" t="str">
        <f>IFERROR(IF(0=LEN(ReferenceData!$C$36),"",ReferenceData!$C$36),"")</f>
        <v>BM105</v>
      </c>
      <c r="D36" t="str">
        <f>IFERROR(IF(0=LEN(ReferenceData!$D$36),"",ReferenceData!$D$36),"")</f>
        <v>BS_TRADING_ASSETS</v>
      </c>
      <c r="E36" t="str">
        <f>IFERROR(IF(0=LEN(ReferenceData!$E$36),"",ReferenceData!$E$36),"")</f>
        <v>Dynamic</v>
      </c>
      <c r="F36" t="str">
        <f ca="1">IFERROR(IF(0=LEN(ReferenceData!$F$36),"",ReferenceData!$F$36),"")</f>
        <v/>
      </c>
      <c r="G36" t="str">
        <f ca="1">IFERROR(IF(0=LEN(ReferenceData!$G$36),"",ReferenceData!$G$36),"")</f>
        <v/>
      </c>
      <c r="H36" t="str">
        <f ca="1">IFERROR(IF(0=LEN(ReferenceData!$H$36),"",ReferenceData!$H$36),"")</f>
        <v/>
      </c>
      <c r="I36" t="str">
        <f ca="1">IFERROR(IF(0=LEN(ReferenceData!$I$36),"",ReferenceData!$I$36),"")</f>
        <v/>
      </c>
      <c r="J36" t="str">
        <f ca="1">IFERROR(IF(0=LEN(ReferenceData!$J$36),"",ReferenceData!$J$36),"")</f>
        <v/>
      </c>
      <c r="K36" t="str">
        <f ca="1">IFERROR(IF(0=LEN(ReferenceData!$K$36),"",ReferenceData!$K$36),"")</f>
        <v/>
      </c>
      <c r="L36" t="str">
        <f ca="1">IFERROR(IF(0=LEN(ReferenceData!$L$36),"",ReferenceData!$L$36),"")</f>
        <v/>
      </c>
      <c r="M36" t="str">
        <f ca="1">IFERROR(IF(0=LEN(ReferenceData!$M$36),"",ReferenceData!$M$36),"")</f>
        <v/>
      </c>
      <c r="N36" t="str">
        <f ca="1">IFERROR(IF(0=LEN(ReferenceData!$N$36),"",ReferenceData!$N$36),"")</f>
        <v/>
      </c>
      <c r="O36" t="str">
        <f ca="1">IFERROR(IF(0=LEN(ReferenceData!$O$36),"",ReferenceData!$O$36),"")</f>
        <v/>
      </c>
      <c r="P36" t="str">
        <f ca="1">IFERROR(IF(0=LEN(ReferenceData!$P$36),"",ReferenceData!$P$36),"")</f>
        <v/>
      </c>
      <c r="Q36" t="str">
        <f ca="1">IFERROR(IF(0=LEN(ReferenceData!$Q$36),"",ReferenceData!$Q$36),"")</f>
        <v/>
      </c>
      <c r="R36" t="str">
        <f ca="1">IFERROR(IF(0=LEN(ReferenceData!$R$36),"",ReferenceData!$R$36),"")</f>
        <v/>
      </c>
      <c r="S36" t="str">
        <f ca="1">IFERROR(IF(0=LEN(ReferenceData!$S$36),"",ReferenceData!$S$36),"")</f>
        <v/>
      </c>
      <c r="T36" t="str">
        <f ca="1">IFERROR(IF(0=LEN(ReferenceData!$T$36),"",ReferenceData!$T$36),"")</f>
        <v/>
      </c>
      <c r="U36" t="str">
        <f ca="1">IFERROR(IF(0=LEN(ReferenceData!$U$36),"",ReferenceData!$U$36),"")</f>
        <v/>
      </c>
      <c r="V36" t="str">
        <f ca="1">IFERROR(IF(0=LEN(ReferenceData!$V$36),"",ReferenceData!$V$36),"")</f>
        <v/>
      </c>
      <c r="W36" t="str">
        <f ca="1">IFERROR(IF(0=LEN(ReferenceData!$W$36),"",ReferenceData!$W$36),"")</f>
        <v/>
      </c>
      <c r="X36" t="str">
        <f ca="1">IFERROR(IF(0=LEN(ReferenceData!$X$36),"",ReferenceData!$X$36),"")</f>
        <v/>
      </c>
      <c r="Y36" t="str">
        <f ca="1">IFERROR(IF(0=LEN(ReferenceData!$Y$36),"",ReferenceData!$Y$36),"")</f>
        <v/>
      </c>
      <c r="Z36" t="str">
        <f ca="1">IFERROR(IF(0=LEN(ReferenceData!$Z$36),"",ReferenceData!$Z$36),"")</f>
        <v/>
      </c>
      <c r="AA36" t="str">
        <f ca="1">IFERROR(IF(0=LEN(ReferenceData!$AA$36),"",ReferenceData!$AA$36),"")</f>
        <v/>
      </c>
      <c r="AB36" t="str">
        <f ca="1">IFERROR(IF(0=LEN(ReferenceData!$AB$36),"",ReferenceData!$AB$36),"")</f>
        <v/>
      </c>
      <c r="AC36" t="str">
        <f ca="1">IFERROR(IF(0=LEN(ReferenceData!$AC$36),"",ReferenceData!$AC$36),"")</f>
        <v/>
      </c>
      <c r="AD36" t="str">
        <f ca="1">IFERROR(IF(0=LEN(ReferenceData!$AD$36),"",ReferenceData!$AD$36),"")</f>
        <v/>
      </c>
      <c r="AE36" t="str">
        <f ca="1">IFERROR(IF(0=LEN(ReferenceData!$AE$36),"",ReferenceData!$AE$36),"")</f>
        <v/>
      </c>
      <c r="AF36" t="str">
        <f ca="1">IFERROR(IF(0=LEN(ReferenceData!$AF$36),"",ReferenceData!$AF$36),"")</f>
        <v/>
      </c>
      <c r="AG36" t="str">
        <f ca="1">IFERROR(IF(0=LEN(ReferenceData!$AG$36),"",ReferenceData!$AG$36),"")</f>
        <v/>
      </c>
      <c r="AH36" t="str">
        <f ca="1">IFERROR(IF(0=LEN(ReferenceData!$AH$36),"",ReferenceData!$AH$36),"")</f>
        <v/>
      </c>
      <c r="AI36" t="str">
        <f ca="1">IFERROR(IF(0=LEN(ReferenceData!$AI$36),"",ReferenceData!$AI$36),"")</f>
        <v/>
      </c>
      <c r="AJ36" t="str">
        <f ca="1">IFERROR(IF(0=LEN(ReferenceData!$AJ$36),"",ReferenceData!$AJ$36),"")</f>
        <v/>
      </c>
      <c r="AK36" t="str">
        <f ca="1">IFERROR(IF(0=LEN(ReferenceData!$AK$36),"",ReferenceData!$AK$36),"")</f>
        <v/>
      </c>
      <c r="AL36" t="str">
        <f ca="1">IFERROR(IF(0=LEN(ReferenceData!$AL$36),"",ReferenceData!$AL$36),"")</f>
        <v/>
      </c>
      <c r="AM36" t="str">
        <f ca="1">IFERROR(IF(0=LEN(ReferenceData!$AM$36),"",ReferenceData!$AM$36),"")</f>
        <v/>
      </c>
      <c r="AN36" t="str">
        <f ca="1">IFERROR(IF(0=LEN(ReferenceData!$AN$36),"",ReferenceData!$AN$36),"")</f>
        <v/>
      </c>
      <c r="AO36" t="str">
        <f ca="1">IFERROR(IF(0=LEN(ReferenceData!$AO$36),"",ReferenceData!$AO$36),"")</f>
        <v/>
      </c>
      <c r="AP36" t="str">
        <f ca="1">IFERROR(IF(0=LEN(ReferenceData!$AP$36),"",ReferenceData!$AP$36),"")</f>
        <v/>
      </c>
      <c r="AQ36" t="str">
        <f ca="1">IFERROR(IF(0=LEN(ReferenceData!$AQ$36),"",ReferenceData!$AQ$36),"")</f>
        <v/>
      </c>
      <c r="AR36" t="str">
        <f ca="1">IFERROR(IF(0=LEN(ReferenceData!$AR$36),"",ReferenceData!$AR$36),"")</f>
        <v/>
      </c>
      <c r="AS36" t="str">
        <f ca="1">IFERROR(IF(0=LEN(ReferenceData!$AS$36),"",ReferenceData!$AS$36),"")</f>
        <v/>
      </c>
      <c r="AT36" t="str">
        <f ca="1">IFERROR(IF(0=LEN(ReferenceData!$AT$36),"",ReferenceData!$AT$36),"")</f>
        <v/>
      </c>
      <c r="AU36" t="str">
        <f ca="1">IFERROR(IF(0=LEN(ReferenceData!$AU$36),"",ReferenceData!$AU$36),"")</f>
        <v/>
      </c>
      <c r="AV36" t="str">
        <f ca="1">IFERROR(IF(0=LEN(ReferenceData!$AV$36),"",ReferenceData!$AV$36),"")</f>
        <v/>
      </c>
      <c r="AW36" t="str">
        <f ca="1">IFERROR(IF(0=LEN(ReferenceData!$AW$36),"",ReferenceData!$AW$36),"")</f>
        <v/>
      </c>
      <c r="AX36" t="str">
        <f ca="1">IFERROR(IF(0=LEN(ReferenceData!$AX$36),"",ReferenceData!$AX$36),"")</f>
        <v/>
      </c>
      <c r="AY36" t="str">
        <f ca="1">IFERROR(IF(0=LEN(ReferenceData!$AY$36),"",ReferenceData!$AY$36),"")</f>
        <v/>
      </c>
      <c r="AZ36" t="str">
        <f ca="1">IFERROR(IF(0=LEN(ReferenceData!$AZ$36),"",ReferenceData!$AZ$36),"")</f>
        <v/>
      </c>
      <c r="BA36" t="str">
        <f ca="1">IFERROR(IF(0=LEN(ReferenceData!$BA$36),"",ReferenceData!$BA$36),"")</f>
        <v/>
      </c>
      <c r="BB36" t="str">
        <f ca="1">IFERROR(IF(0=LEN(ReferenceData!$BB$36),"",ReferenceData!$BB$36),"")</f>
        <v/>
      </c>
      <c r="BC36" t="str">
        <f ca="1">IFERROR(IF(0=LEN(ReferenceData!$BC$36),"",ReferenceData!$BC$36),"")</f>
        <v/>
      </c>
      <c r="BD36" t="str">
        <f ca="1">IFERROR(IF(0=LEN(ReferenceData!$BD$36),"",ReferenceData!$BD$36),"")</f>
        <v/>
      </c>
      <c r="BE36" t="str">
        <f ca="1">IFERROR(IF(0=LEN(ReferenceData!$BE$36),"",ReferenceData!$BE$36),"")</f>
        <v/>
      </c>
      <c r="BF36" t="str">
        <f ca="1">IFERROR(IF(0=LEN(ReferenceData!$BF$36),"",ReferenceData!$BF$36),"")</f>
        <v/>
      </c>
      <c r="BG36" t="str">
        <f ca="1">IFERROR(IF(0=LEN(ReferenceData!$BG$36),"",ReferenceData!$BG$36),"")</f>
        <v/>
      </c>
      <c r="BH36" t="str">
        <f ca="1">IFERROR(IF(0=LEN(ReferenceData!$BH$36),"",ReferenceData!$BH$36),"")</f>
        <v/>
      </c>
      <c r="BI36" t="str">
        <f ca="1">IFERROR(IF(0=LEN(ReferenceData!$BI$36),"",ReferenceData!$BI$36),"")</f>
        <v/>
      </c>
      <c r="BJ36" t="str">
        <f ca="1">IFERROR(IF(0=LEN(ReferenceData!$BJ$36),"",ReferenceData!$BJ$36),"")</f>
        <v/>
      </c>
      <c r="BK36" t="str">
        <f ca="1">IFERROR(IF(0=LEN(ReferenceData!$BK$36),"",ReferenceData!$BK$36),"")</f>
        <v/>
      </c>
      <c r="BL36" t="str">
        <f ca="1">IFERROR(IF(0=LEN(ReferenceData!$BL$36),"",ReferenceData!$BL$36),"")</f>
        <v/>
      </c>
      <c r="BM36" t="str">
        <f ca="1">IFERROR(IF(0=LEN(ReferenceData!$BM$36),"",ReferenceData!$BM$36),"")</f>
        <v/>
      </c>
    </row>
    <row r="37" spans="1:65" x14ac:dyDescent="0.25">
      <c r="A37" t="str">
        <f>IFERROR(IF(0=LEN(ReferenceData!$A$37),"",ReferenceData!$A$37),"")</f>
        <v xml:space="preserve">    Societe Generale SA</v>
      </c>
      <c r="B37" t="str">
        <f>IFERROR(IF(0=LEN(ReferenceData!$B$37),"",ReferenceData!$B$37),"")</f>
        <v>GLE FP Equity</v>
      </c>
      <c r="C37" t="str">
        <f>IFERROR(IF(0=LEN(ReferenceData!$C$37),"",ReferenceData!$C$37),"")</f>
        <v>BM105</v>
      </c>
      <c r="D37" t="str">
        <f>IFERROR(IF(0=LEN(ReferenceData!$D$37),"",ReferenceData!$D$37),"")</f>
        <v>BS_TRADING_ASSETS</v>
      </c>
      <c r="E37" t="str">
        <f>IFERROR(IF(0=LEN(ReferenceData!$E$37),"",ReferenceData!$E$37),"")</f>
        <v>Dynamic</v>
      </c>
      <c r="F37">
        <f ca="1">IFERROR(IF(0=LEN(ReferenceData!$F$37),"",ReferenceData!$F$37),"")</f>
        <v>526048</v>
      </c>
      <c r="G37">
        <f ca="1">IFERROR(IF(0=LEN(ReferenceData!$G$37),"",ReferenceData!$G$37),"")</f>
        <v>528259</v>
      </c>
      <c r="H37">
        <f ca="1">IFERROR(IF(0=LEN(ReferenceData!$H$37),"",ReferenceData!$H$37),"")</f>
        <v>530826</v>
      </c>
      <c r="I37">
        <f ca="1">IFERROR(IF(0=LEN(ReferenceData!$I$37),"",ReferenceData!$I$37),"")</f>
        <v>531406</v>
      </c>
      <c r="J37">
        <f ca="1">IFERROR(IF(0=LEN(ReferenceData!$J$37),"",ReferenceData!$J$37),"")</f>
        <v>495882</v>
      </c>
      <c r="K37">
        <f ca="1">IFERROR(IF(0=LEN(ReferenceData!$K$37),"",ReferenceData!$K$37),"")</f>
        <v>490511</v>
      </c>
      <c r="L37">
        <f ca="1">IFERROR(IF(0=LEN(ReferenceData!$L$37),"",ReferenceData!$L$37),"")</f>
        <v>496362</v>
      </c>
      <c r="M37">
        <f ca="1">IFERROR(IF(0=LEN(ReferenceData!$M$37),"",ReferenceData!$M$37),"")</f>
        <v>494709</v>
      </c>
      <c r="N37">
        <f ca="1">IFERROR(IF(0=LEN(ReferenceData!$N$37),"",ReferenceData!$N$37),"")</f>
        <v>427151</v>
      </c>
      <c r="O37">
        <f ca="1">IFERROR(IF(0=LEN(ReferenceData!$O$37),"",ReferenceData!$O$37),"")</f>
        <v>396846</v>
      </c>
      <c r="P37">
        <f ca="1">IFERROR(IF(0=LEN(ReferenceData!$P$37),"",ReferenceData!$P$37),"")</f>
        <v>380165</v>
      </c>
      <c r="Q37">
        <f ca="1">IFERROR(IF(0=LEN(ReferenceData!$Q$37),"",ReferenceData!$Q$37),"")</f>
        <v>419946</v>
      </c>
      <c r="R37">
        <f ca="1">IFERROR(IF(0=LEN(ReferenceData!$R$37),"",ReferenceData!$R$37),"")</f>
        <v>342714</v>
      </c>
      <c r="S37">
        <f ca="1">IFERROR(IF(0=LEN(ReferenceData!$S$37),"",ReferenceData!$S$37),"")</f>
        <v>436594</v>
      </c>
      <c r="T37">
        <f ca="1">IFERROR(IF(0=LEN(ReferenceData!$T$37),"",ReferenceData!$T$37),"")</f>
        <v>440774</v>
      </c>
      <c r="U37">
        <f ca="1">IFERROR(IF(0=LEN(ReferenceData!$U$37),"",ReferenceData!$U$37),"")</f>
        <v>445009</v>
      </c>
      <c r="V37">
        <f ca="1">IFERROR(IF(0=LEN(ReferenceData!$V$37),"",ReferenceData!$V$37),"")</f>
        <v>429458</v>
      </c>
      <c r="W37">
        <f ca="1">IFERROR(IF(0=LEN(ReferenceData!$W$37),"",ReferenceData!$W$37),"")</f>
        <v>435295</v>
      </c>
      <c r="X37">
        <f ca="1">IFERROR(IF(0=LEN(ReferenceData!$X$37),"",ReferenceData!$X$37),"")</f>
        <v>419147</v>
      </c>
      <c r="Y37">
        <f ca="1">IFERROR(IF(0=LEN(ReferenceData!$Y$37),"",ReferenceData!$Y$37),"")</f>
        <v>464642</v>
      </c>
      <c r="Z37">
        <f ca="1">IFERROR(IF(0=LEN(ReferenceData!$Z$37),"",ReferenceData!$Z$37),"")</f>
        <v>385739</v>
      </c>
      <c r="AA37">
        <f ca="1">IFERROR(IF(0=LEN(ReferenceData!$AA$37),"",ReferenceData!$AA$37),"")</f>
        <v>434042</v>
      </c>
      <c r="AB37">
        <f ca="1">IFERROR(IF(0=LEN(ReferenceData!$AB$37),"",ReferenceData!$AB$37),"")</f>
        <v>420968</v>
      </c>
      <c r="AC37">
        <f ca="1">IFERROR(IF(0=LEN(ReferenceData!$AC$37),"",ReferenceData!$AC$37),"")</f>
        <v>406414</v>
      </c>
      <c r="AD37">
        <f ca="1">IFERROR(IF(0=LEN(ReferenceData!$AD$37),"",ReferenceData!$AD$37),"")</f>
        <v>365550</v>
      </c>
      <c r="AE37">
        <f ca="1">IFERROR(IF(0=LEN(ReferenceData!$AE$37),"",ReferenceData!$AE$37),"")</f>
        <v>373844</v>
      </c>
      <c r="AF37">
        <f ca="1">IFERROR(IF(0=LEN(ReferenceData!$AF$37),"",ReferenceData!$AF$37),"")</f>
        <v>382656</v>
      </c>
      <c r="AG37">
        <f ca="1">IFERROR(IF(0=LEN(ReferenceData!$AG$37),"",ReferenceData!$AG$37),"")</f>
        <v>367600</v>
      </c>
      <c r="AH37">
        <f ca="1">IFERROR(IF(0=LEN(ReferenceData!$AH$37),"",ReferenceData!$AH$37),"")</f>
        <v>419680</v>
      </c>
      <c r="AI37">
        <f ca="1">IFERROR(IF(0=LEN(ReferenceData!$AI$37),"",ReferenceData!$AI$37),"")</f>
        <v>490100</v>
      </c>
      <c r="AJ37">
        <f ca="1">IFERROR(IF(0=LEN(ReferenceData!$AJ$37),"",ReferenceData!$AJ$37),"")</f>
        <v>484746</v>
      </c>
      <c r="AK37">
        <f ca="1">IFERROR(IF(0=LEN(ReferenceData!$AK$37),"",ReferenceData!$AK$37),"")</f>
        <v>514900</v>
      </c>
      <c r="AL37">
        <f ca="1">IFERROR(IF(0=LEN(ReferenceData!$AL$37),"",ReferenceData!$AL$37),"")</f>
        <v>514715</v>
      </c>
      <c r="AM37">
        <f ca="1">IFERROR(IF(0=LEN(ReferenceData!$AM$37),"",ReferenceData!$AM$37),"")</f>
        <v>542300</v>
      </c>
      <c r="AN37">
        <f ca="1">IFERROR(IF(0=LEN(ReferenceData!$AN$37),"",ReferenceData!$AN$37),"")</f>
        <v>560281</v>
      </c>
      <c r="AO37">
        <f ca="1">IFERROR(IF(0=LEN(ReferenceData!$AO$37),"",ReferenceData!$AO$37),"")</f>
        <v>534200</v>
      </c>
      <c r="AP37">
        <f ca="1">IFERROR(IF(0=LEN(ReferenceData!$AP$37),"",ReferenceData!$AP$37),"")</f>
        <v>519600</v>
      </c>
      <c r="AQ37">
        <f ca="1">IFERROR(IF(0=LEN(ReferenceData!$AQ$37),"",ReferenceData!$AQ$37),"")</f>
        <v>513900</v>
      </c>
      <c r="AR37">
        <f ca="1">IFERROR(IF(0=LEN(ReferenceData!$AR$37),"",ReferenceData!$AR$37),"")</f>
        <v>527964</v>
      </c>
      <c r="AS37">
        <f ca="1">IFERROR(IF(0=LEN(ReferenceData!$AS$37),"",ReferenceData!$AS$37),"")</f>
        <v>595900</v>
      </c>
      <c r="AT37">
        <f ca="1">IFERROR(IF(0=LEN(ReferenceData!$AT$37),"",ReferenceData!$AT$37),"")</f>
        <v>530536</v>
      </c>
      <c r="AU37">
        <f ca="1">IFERROR(IF(0=LEN(ReferenceData!$AU$37),"",ReferenceData!$AU$37),"")</f>
        <v>514000</v>
      </c>
      <c r="AV37">
        <f ca="1">IFERROR(IF(0=LEN(ReferenceData!$AV$37),"",ReferenceData!$AV$37),"")</f>
        <v>563826</v>
      </c>
      <c r="AW37">
        <f ca="1">IFERROR(IF(0=LEN(ReferenceData!$AW$37),"",ReferenceData!$AW$37),"")</f>
        <v>544600</v>
      </c>
      <c r="AX37">
        <f ca="1">IFERROR(IF(0=LEN(ReferenceData!$AX$37),"",ReferenceData!$AX$37),"")</f>
        <v>479112</v>
      </c>
      <c r="AY37">
        <f ca="1">IFERROR(IF(0=LEN(ReferenceData!$AY$37),"",ReferenceData!$AY$37),"")</f>
        <v>498400</v>
      </c>
      <c r="AZ37">
        <f ca="1">IFERROR(IF(0=LEN(ReferenceData!$AZ$37),"",ReferenceData!$AZ$37),"")</f>
        <v>482359</v>
      </c>
      <c r="BA37">
        <f ca="1">IFERROR(IF(0=LEN(ReferenceData!$BA$37),"",ReferenceData!$BA$37),"")</f>
        <v>479300</v>
      </c>
      <c r="BB37">
        <f ca="1">IFERROR(IF(0=LEN(ReferenceData!$BB$37),"",ReferenceData!$BB$37),"")</f>
        <v>484026</v>
      </c>
      <c r="BC37">
        <f ca="1">IFERROR(IF(0=LEN(ReferenceData!$BC$37),"",ReferenceData!$BC$37),"")</f>
        <v>477800</v>
      </c>
      <c r="BD37">
        <f ca="1">IFERROR(IF(0=LEN(ReferenceData!$BD$37),"",ReferenceData!$BD$37),"")</f>
        <v>472254</v>
      </c>
      <c r="BE37">
        <f ca="1">IFERROR(IF(0=LEN(ReferenceData!$BE$37),"",ReferenceData!$BE$37),"")</f>
        <v>445900</v>
      </c>
      <c r="BF37">
        <f ca="1">IFERROR(IF(0=LEN(ReferenceData!$BF$37),"",ReferenceData!$BF$37),"")</f>
        <v>422494</v>
      </c>
      <c r="BG37">
        <f ca="1">IFERROR(IF(0=LEN(ReferenceData!$BG$37),"",ReferenceData!$BG$37),"")</f>
        <v>475100</v>
      </c>
      <c r="BH37">
        <f ca="1">IFERROR(IF(0=LEN(ReferenceData!$BH$37),"",ReferenceData!$BH$37),"")</f>
        <v>430974</v>
      </c>
      <c r="BI37">
        <f ca="1">IFERROR(IF(0=LEN(ReferenceData!$BI$37),"",ReferenceData!$BI$37),"")</f>
        <v>440300</v>
      </c>
      <c r="BJ37">
        <f ca="1">IFERROR(IF(0=LEN(ReferenceData!$BJ$37),"",ReferenceData!$BJ$37),"")</f>
        <v>455160</v>
      </c>
      <c r="BK37">
        <f ca="1">IFERROR(IF(0=LEN(ReferenceData!$BK$37),"",ReferenceData!$BK$37),"")</f>
        <v>481800</v>
      </c>
      <c r="BL37">
        <f ca="1">IFERROR(IF(0=LEN(ReferenceData!$BL$37),"",ReferenceData!$BL$37),"")</f>
        <v>460526</v>
      </c>
      <c r="BM37" t="str">
        <f ca="1">IFERROR(IF(0=LEN(ReferenceData!$BM$37),"",ReferenceData!$BM$37),"")</f>
        <v/>
      </c>
    </row>
    <row r="38" spans="1:65" x14ac:dyDescent="0.25">
      <c r="A38" t="str">
        <f>IFERROR(IF(0=LEN(ReferenceData!$A$38),"",ReferenceData!$A$38),"")</f>
        <v xml:space="preserve">    Standard Chartered PLC</v>
      </c>
      <c r="B38" t="str">
        <f>IFERROR(IF(0=LEN(ReferenceData!$B$38),"",ReferenceData!$B$38),"")</f>
        <v>STAN LN Equity</v>
      </c>
      <c r="C38" t="str">
        <f>IFERROR(IF(0=LEN(ReferenceData!$C$38),"",ReferenceData!$C$38),"")</f>
        <v>BM105</v>
      </c>
      <c r="D38" t="str">
        <f>IFERROR(IF(0=LEN(ReferenceData!$D$38),"",ReferenceData!$D$38),"")</f>
        <v>BS_TRADING_ASSETS</v>
      </c>
      <c r="E38" t="str">
        <f>IFERROR(IF(0=LEN(ReferenceData!$E$38),"",ReferenceData!$E$38),"")</f>
        <v>Dynamic</v>
      </c>
      <c r="F38" t="str">
        <f ca="1">IFERROR(IF(0=LEN(ReferenceData!$F$38),"",ReferenceData!$F$38),"")</f>
        <v/>
      </c>
      <c r="G38" t="str">
        <f ca="1">IFERROR(IF(0=LEN(ReferenceData!$G$38),"",ReferenceData!$G$38),"")</f>
        <v/>
      </c>
      <c r="H38" t="str">
        <f ca="1">IFERROR(IF(0=LEN(ReferenceData!$H$38),"",ReferenceData!$H$38),"")</f>
        <v/>
      </c>
      <c r="I38" t="str">
        <f ca="1">IFERROR(IF(0=LEN(ReferenceData!$I$38),"",ReferenceData!$I$38),"")</f>
        <v/>
      </c>
      <c r="J38" t="str">
        <f ca="1">IFERROR(IF(0=LEN(ReferenceData!$J$38),"",ReferenceData!$J$38),"")</f>
        <v/>
      </c>
      <c r="K38" t="str">
        <f ca="1">IFERROR(IF(0=LEN(ReferenceData!$K$38),"",ReferenceData!$K$38),"")</f>
        <v/>
      </c>
      <c r="L38" t="str">
        <f ca="1">IFERROR(IF(0=LEN(ReferenceData!$L$38),"",ReferenceData!$L$38),"")</f>
        <v/>
      </c>
      <c r="M38" t="str">
        <f ca="1">IFERROR(IF(0=LEN(ReferenceData!$M$38),"",ReferenceData!$M$38),"")</f>
        <v/>
      </c>
      <c r="N38" t="str">
        <f ca="1">IFERROR(IF(0=LEN(ReferenceData!$N$38),"",ReferenceData!$N$38),"")</f>
        <v/>
      </c>
      <c r="O38" t="str">
        <f ca="1">IFERROR(IF(0=LEN(ReferenceData!$O$38),"",ReferenceData!$O$38),"")</f>
        <v/>
      </c>
      <c r="P38" t="str">
        <f ca="1">IFERROR(IF(0=LEN(ReferenceData!$P$38),"",ReferenceData!$P$38),"")</f>
        <v/>
      </c>
      <c r="Q38" t="str">
        <f ca="1">IFERROR(IF(0=LEN(ReferenceData!$Q$38),"",ReferenceData!$Q$38),"")</f>
        <v/>
      </c>
      <c r="R38" t="str">
        <f ca="1">IFERROR(IF(0=LEN(ReferenceData!$R$38),"",ReferenceData!$R$38),"")</f>
        <v/>
      </c>
      <c r="S38" t="str">
        <f ca="1">IFERROR(IF(0=LEN(ReferenceData!$S$38),"",ReferenceData!$S$38),"")</f>
        <v/>
      </c>
      <c r="T38" t="str">
        <f ca="1">IFERROR(IF(0=LEN(ReferenceData!$T$38),"",ReferenceData!$T$38),"")</f>
        <v/>
      </c>
      <c r="U38" t="str">
        <f ca="1">IFERROR(IF(0=LEN(ReferenceData!$U$38),"",ReferenceData!$U$38),"")</f>
        <v/>
      </c>
      <c r="V38" t="str">
        <f ca="1">IFERROR(IF(0=LEN(ReferenceData!$V$38),"",ReferenceData!$V$38),"")</f>
        <v/>
      </c>
      <c r="W38" t="str">
        <f ca="1">IFERROR(IF(0=LEN(ReferenceData!$W$38),"",ReferenceData!$W$38),"")</f>
        <v/>
      </c>
      <c r="X38" t="str">
        <f ca="1">IFERROR(IF(0=LEN(ReferenceData!$X$38),"",ReferenceData!$X$38),"")</f>
        <v/>
      </c>
      <c r="Y38" t="str">
        <f ca="1">IFERROR(IF(0=LEN(ReferenceData!$Y$38),"",ReferenceData!$Y$38),"")</f>
        <v/>
      </c>
      <c r="Z38" t="str">
        <f ca="1">IFERROR(IF(0=LEN(ReferenceData!$Z$38),"",ReferenceData!$Z$38),"")</f>
        <v/>
      </c>
      <c r="AA38" t="str">
        <f ca="1">IFERROR(IF(0=LEN(ReferenceData!$AA$38),"",ReferenceData!$AA$38),"")</f>
        <v/>
      </c>
      <c r="AB38" t="str">
        <f ca="1">IFERROR(IF(0=LEN(ReferenceData!$AB$38),"",ReferenceData!$AB$38),"")</f>
        <v/>
      </c>
      <c r="AC38" t="str">
        <f ca="1">IFERROR(IF(0=LEN(ReferenceData!$AC$38),"",ReferenceData!$AC$38),"")</f>
        <v/>
      </c>
      <c r="AD38" t="str">
        <f ca="1">IFERROR(IF(0=LEN(ReferenceData!$AD$38),"",ReferenceData!$AD$38),"")</f>
        <v/>
      </c>
      <c r="AE38" t="str">
        <f ca="1">IFERROR(IF(0=LEN(ReferenceData!$AE$38),"",ReferenceData!$AE$38),"")</f>
        <v/>
      </c>
      <c r="AF38" t="str">
        <f ca="1">IFERROR(IF(0=LEN(ReferenceData!$AF$38),"",ReferenceData!$AF$38),"")</f>
        <v/>
      </c>
      <c r="AG38" t="str">
        <f ca="1">IFERROR(IF(0=LEN(ReferenceData!$AG$38),"",ReferenceData!$AG$38),"")</f>
        <v/>
      </c>
      <c r="AH38" t="str">
        <f ca="1">IFERROR(IF(0=LEN(ReferenceData!$AH$38),"",ReferenceData!$AH$38),"")</f>
        <v/>
      </c>
      <c r="AI38" t="str">
        <f ca="1">IFERROR(IF(0=LEN(ReferenceData!$AI$38),"",ReferenceData!$AI$38),"")</f>
        <v/>
      </c>
      <c r="AJ38" t="str">
        <f ca="1">IFERROR(IF(0=LEN(ReferenceData!$AJ$38),"",ReferenceData!$AJ$38),"")</f>
        <v/>
      </c>
      <c r="AK38" t="str">
        <f ca="1">IFERROR(IF(0=LEN(ReferenceData!$AK$38),"",ReferenceData!$AK$38),"")</f>
        <v/>
      </c>
      <c r="AL38" t="str">
        <f ca="1">IFERROR(IF(0=LEN(ReferenceData!$AL$38),"",ReferenceData!$AL$38),"")</f>
        <v/>
      </c>
      <c r="AM38" t="str">
        <f ca="1">IFERROR(IF(0=LEN(ReferenceData!$AM$38),"",ReferenceData!$AM$38),"")</f>
        <v/>
      </c>
      <c r="AN38" t="str">
        <f ca="1">IFERROR(IF(0=LEN(ReferenceData!$AN$38),"",ReferenceData!$AN$38),"")</f>
        <v/>
      </c>
      <c r="AO38" t="str">
        <f ca="1">IFERROR(IF(0=LEN(ReferenceData!$AO$38),"",ReferenceData!$AO$38),"")</f>
        <v/>
      </c>
      <c r="AP38" t="str">
        <f ca="1">IFERROR(IF(0=LEN(ReferenceData!$AP$38),"",ReferenceData!$AP$38),"")</f>
        <v/>
      </c>
      <c r="AQ38" t="str">
        <f ca="1">IFERROR(IF(0=LEN(ReferenceData!$AQ$38),"",ReferenceData!$AQ$38),"")</f>
        <v/>
      </c>
      <c r="AR38" t="str">
        <f ca="1">IFERROR(IF(0=LEN(ReferenceData!$AR$38),"",ReferenceData!$AR$38),"")</f>
        <v/>
      </c>
      <c r="AS38" t="str">
        <f ca="1">IFERROR(IF(0=LEN(ReferenceData!$AS$38),"",ReferenceData!$AS$38),"")</f>
        <v/>
      </c>
      <c r="AT38" t="str">
        <f ca="1">IFERROR(IF(0=LEN(ReferenceData!$AT$38),"",ReferenceData!$AT$38),"")</f>
        <v/>
      </c>
      <c r="AU38" t="str">
        <f ca="1">IFERROR(IF(0=LEN(ReferenceData!$AU$38),"",ReferenceData!$AU$38),"")</f>
        <v/>
      </c>
      <c r="AV38" t="str">
        <f ca="1">IFERROR(IF(0=LEN(ReferenceData!$AV$38),"",ReferenceData!$AV$38),"")</f>
        <v/>
      </c>
      <c r="AW38" t="str">
        <f ca="1">IFERROR(IF(0=LEN(ReferenceData!$AW$38),"",ReferenceData!$AW$38),"")</f>
        <v/>
      </c>
      <c r="AX38" t="str">
        <f ca="1">IFERROR(IF(0=LEN(ReferenceData!$AX$38),"",ReferenceData!$AX$38),"")</f>
        <v/>
      </c>
      <c r="AY38" t="str">
        <f ca="1">IFERROR(IF(0=LEN(ReferenceData!$AY$38),"",ReferenceData!$AY$38),"")</f>
        <v/>
      </c>
      <c r="AZ38" t="str">
        <f ca="1">IFERROR(IF(0=LEN(ReferenceData!$AZ$38),"",ReferenceData!$AZ$38),"")</f>
        <v/>
      </c>
      <c r="BA38" t="str">
        <f ca="1">IFERROR(IF(0=LEN(ReferenceData!$BA$38),"",ReferenceData!$BA$38),"")</f>
        <v/>
      </c>
      <c r="BB38" t="str">
        <f ca="1">IFERROR(IF(0=LEN(ReferenceData!$BB$38),"",ReferenceData!$BB$38),"")</f>
        <v/>
      </c>
      <c r="BC38" t="str">
        <f ca="1">IFERROR(IF(0=LEN(ReferenceData!$BC$38),"",ReferenceData!$BC$38),"")</f>
        <v/>
      </c>
      <c r="BD38" t="str">
        <f ca="1">IFERROR(IF(0=LEN(ReferenceData!$BD$38),"",ReferenceData!$BD$38),"")</f>
        <v/>
      </c>
      <c r="BE38" t="str">
        <f ca="1">IFERROR(IF(0=LEN(ReferenceData!$BE$38),"",ReferenceData!$BE$38),"")</f>
        <v/>
      </c>
      <c r="BF38" t="str">
        <f ca="1">IFERROR(IF(0=LEN(ReferenceData!$BF$38),"",ReferenceData!$BF$38),"")</f>
        <v/>
      </c>
      <c r="BG38" t="str">
        <f ca="1">IFERROR(IF(0=LEN(ReferenceData!$BG$38),"",ReferenceData!$BG$38),"")</f>
        <v/>
      </c>
      <c r="BH38" t="str">
        <f ca="1">IFERROR(IF(0=LEN(ReferenceData!$BH$38),"",ReferenceData!$BH$38),"")</f>
        <v/>
      </c>
      <c r="BI38" t="str">
        <f ca="1">IFERROR(IF(0=LEN(ReferenceData!$BI$38),"",ReferenceData!$BI$38),"")</f>
        <v/>
      </c>
      <c r="BJ38" t="str">
        <f ca="1">IFERROR(IF(0=LEN(ReferenceData!$BJ$38),"",ReferenceData!$BJ$38),"")</f>
        <v/>
      </c>
      <c r="BK38" t="str">
        <f ca="1">IFERROR(IF(0=LEN(ReferenceData!$BK$38),"",ReferenceData!$BK$38),"")</f>
        <v/>
      </c>
      <c r="BL38" t="str">
        <f ca="1">IFERROR(IF(0=LEN(ReferenceData!$BL$38),"",ReferenceData!$BL$38),"")</f>
        <v/>
      </c>
      <c r="BM38" t="str">
        <f ca="1">IFERROR(IF(0=LEN(ReferenceData!$BM$38),"",ReferenceData!$BM$38),"")</f>
        <v/>
      </c>
    </row>
    <row r="39" spans="1:65" x14ac:dyDescent="0.25">
      <c r="A39" t="str">
        <f>IFERROR(IF(0=LEN(ReferenceData!$A$39),"",ReferenceData!$A$39),"")</f>
        <v xml:space="preserve">    UBS Group AG</v>
      </c>
      <c r="B39" t="str">
        <f>IFERROR(IF(0=LEN(ReferenceData!$B$39),"",ReferenceData!$B$39),"")</f>
        <v>UBSG SW Equity</v>
      </c>
      <c r="C39" t="str">
        <f>IFERROR(IF(0=LEN(ReferenceData!$C$39),"",ReferenceData!$C$39),"")</f>
        <v>BM105</v>
      </c>
      <c r="D39" t="str">
        <f>IFERROR(IF(0=LEN(ReferenceData!$D$39),"",ReferenceData!$D$39),"")</f>
        <v>BS_TRADING_ASSETS</v>
      </c>
      <c r="E39" t="str">
        <f>IFERROR(IF(0=LEN(ReferenceData!$E$39),"",ReferenceData!$E$39),"")</f>
        <v>Dynamic</v>
      </c>
      <c r="F39">
        <f ca="1">IFERROR(IF(0=LEN(ReferenceData!$F$39),"",ReferenceData!$F$39),"")</f>
        <v>153700.8407</v>
      </c>
      <c r="G39">
        <f ca="1">IFERROR(IF(0=LEN(ReferenceData!$G$39),"",ReferenceData!$G$39),"")</f>
        <v>154272.51519999999</v>
      </c>
      <c r="H39">
        <f ca="1">IFERROR(IF(0=LEN(ReferenceData!$H$39),"",ReferenceData!$H$39),"")</f>
        <v>151199.1415</v>
      </c>
      <c r="I39">
        <f ca="1">IFERROR(IF(0=LEN(ReferenceData!$I$39),"",ReferenceData!$I$39),"")</f>
        <v>148395.58809999999</v>
      </c>
      <c r="J39">
        <f ca="1">IFERROR(IF(0=LEN(ReferenceData!$J$39),"",ReferenceData!$J$39),"")</f>
        <v>153319.7758</v>
      </c>
      <c r="K39">
        <f ca="1">IFERROR(IF(0=LEN(ReferenceData!$K$39),"",ReferenceData!$K$39),"")</f>
        <v>135080.35550000001</v>
      </c>
      <c r="L39">
        <f ca="1">IFERROR(IF(0=LEN(ReferenceData!$L$39),"",ReferenceData!$L$39),"")</f>
        <v>138393.47870000001</v>
      </c>
      <c r="M39">
        <f ca="1">IFERROR(IF(0=LEN(ReferenceData!$M$39),"",ReferenceData!$M$39),"")</f>
        <v>108342.0738</v>
      </c>
      <c r="N39">
        <f ca="1">IFERROR(IF(0=LEN(ReferenceData!$N$39),"",ReferenceData!$N$39),"")</f>
        <v>100705.8165</v>
      </c>
      <c r="O39">
        <f ca="1">IFERROR(IF(0=LEN(ReferenceData!$O$39),"",ReferenceData!$O$39),"")</f>
        <v>86398.365680000003</v>
      </c>
      <c r="P39">
        <f ca="1">IFERROR(IF(0=LEN(ReferenceData!$P$39),"",ReferenceData!$P$39),"")</f>
        <v>94922.255080000003</v>
      </c>
      <c r="Q39">
        <f ca="1">IFERROR(IF(0=LEN(ReferenceData!$Q$39),"",ReferenceData!$Q$39),"")</f>
        <v>103540.8771</v>
      </c>
      <c r="R39">
        <f ca="1">IFERROR(IF(0=LEN(ReferenceData!$R$39),"",ReferenceData!$R$39),"")</f>
        <v>114896.364</v>
      </c>
      <c r="S39">
        <f ca="1">IFERROR(IF(0=LEN(ReferenceData!$S$39),"",ReferenceData!$S$39),"")</f>
        <v>108435.7445</v>
      </c>
      <c r="T39">
        <f ca="1">IFERROR(IF(0=LEN(ReferenceData!$T$39),"",ReferenceData!$T$39),"")</f>
        <v>103369.0607</v>
      </c>
      <c r="U39">
        <f ca="1">IFERROR(IF(0=LEN(ReferenceData!$U$39),"",ReferenceData!$U$39),"")</f>
        <v>102617.8723</v>
      </c>
      <c r="V39">
        <f ca="1">IFERROR(IF(0=LEN(ReferenceData!$V$39),"",ReferenceData!$V$39),"")</f>
        <v>102574.2331</v>
      </c>
      <c r="W39">
        <f ca="1">IFERROR(IF(0=LEN(ReferenceData!$W$39),"",ReferenceData!$W$39),"")</f>
        <v>92269.237330000004</v>
      </c>
      <c r="X39">
        <f ca="1">IFERROR(IF(0=LEN(ReferenceData!$X$39),"",ReferenceData!$X$39),"")</f>
        <v>87206.261670000007</v>
      </c>
      <c r="Y39">
        <f ca="1">IFERROR(IF(0=LEN(ReferenceData!$Y$39),"",ReferenceData!$Y$39),"")</f>
        <v>82481.086500000005</v>
      </c>
      <c r="Z39">
        <f ca="1">IFERROR(IF(0=LEN(ReferenceData!$Z$39),"",ReferenceData!$Z$39),"")</f>
        <v>113557.7522</v>
      </c>
      <c r="AA39">
        <f ca="1">IFERROR(IF(0=LEN(ReferenceData!$AA$39),"",ReferenceData!$AA$39),"")</f>
        <v>106245.98729999999</v>
      </c>
      <c r="AB39">
        <f ca="1">IFERROR(IF(0=LEN(ReferenceData!$AB$39),"",ReferenceData!$AB$39),"")</f>
        <v>105795.4045</v>
      </c>
      <c r="AC39">
        <f ca="1">IFERROR(IF(0=LEN(ReferenceData!$AC$39),"",ReferenceData!$AC$39),"")</f>
        <v>97661.527489999993</v>
      </c>
      <c r="AD39">
        <f ca="1">IFERROR(IF(0=LEN(ReferenceData!$AD$39),"",ReferenceData!$AD$39),"")</f>
        <v>91136.919320000001</v>
      </c>
      <c r="AE39">
        <f ca="1">IFERROR(IF(0=LEN(ReferenceData!$AE$39),"",ReferenceData!$AE$39),"")</f>
        <v>104049.4231</v>
      </c>
      <c r="AF39">
        <f ca="1">IFERROR(IF(0=LEN(ReferenceData!$AF$39),"",ReferenceData!$AF$39),"")</f>
        <v>96018.669179999997</v>
      </c>
      <c r="AG39">
        <f ca="1">IFERROR(IF(0=LEN(ReferenceData!$AG$39),"",ReferenceData!$AG$39),"")</f>
        <v>85628.295610000001</v>
      </c>
      <c r="AH39">
        <f ca="1">IFERROR(IF(0=LEN(ReferenceData!$AH$39),"",ReferenceData!$AH$39),"")</f>
        <v>119031.7751</v>
      </c>
      <c r="AI39">
        <f ca="1">IFERROR(IF(0=LEN(ReferenceData!$AI$39),"",ReferenceData!$AI$39),"")</f>
        <v>110913.32709999999</v>
      </c>
      <c r="AJ39">
        <f ca="1">IFERROR(IF(0=LEN(ReferenceData!$AJ$39),"",ReferenceData!$AJ$39),"")</f>
        <v>107544.0287</v>
      </c>
      <c r="AK39">
        <f ca="1">IFERROR(IF(0=LEN(ReferenceData!$AK$39),"",ReferenceData!$AK$39),"")</f>
        <v>117542.83779999999</v>
      </c>
      <c r="AL39">
        <f ca="1">IFERROR(IF(0=LEN(ReferenceData!$AL$39),"",ReferenceData!$AL$39),"")</f>
        <v>104103.0466</v>
      </c>
      <c r="AM39">
        <f ca="1">IFERROR(IF(0=LEN(ReferenceData!$AM$39),"",ReferenceData!$AM$39),"")</f>
        <v>113357.47930000001</v>
      </c>
      <c r="AN39">
        <f ca="1">IFERROR(IF(0=LEN(ReferenceData!$AN$39),"",ReferenceData!$AN$39),"")</f>
        <v>120669.2932</v>
      </c>
      <c r="AO39">
        <f ca="1">IFERROR(IF(0=LEN(ReferenceData!$AO$39),"",ReferenceData!$AO$39),"")</f>
        <v>126184.3308</v>
      </c>
      <c r="AP39">
        <f ca="1">IFERROR(IF(0=LEN(ReferenceData!$AP$39),"",ReferenceData!$AP$39),"")</f>
        <v>137735.96460000001</v>
      </c>
      <c r="AQ39">
        <f ca="1">IFERROR(IF(0=LEN(ReferenceData!$AQ$39),"",ReferenceData!$AQ$39),"")</f>
        <v>142867.86499999999</v>
      </c>
      <c r="AR39">
        <f ca="1">IFERROR(IF(0=LEN(ReferenceData!$AR$39),"",ReferenceData!$AR$39),"")</f>
        <v>149722.65</v>
      </c>
      <c r="AS39">
        <f ca="1">IFERROR(IF(0=LEN(ReferenceData!$AS$39),"",ReferenceData!$AS$39),"")</f>
        <v>153068.19</v>
      </c>
      <c r="AT39">
        <f ca="1">IFERROR(IF(0=LEN(ReferenceData!$AT$39),"",ReferenceData!$AT$39),"")</f>
        <v>134888.1067</v>
      </c>
      <c r="AU39">
        <f ca="1">IFERROR(IF(0=LEN(ReferenceData!$AU$39),"",ReferenceData!$AU$39),"")</f>
        <v>129745.55499999999</v>
      </c>
      <c r="AV39">
        <f ca="1">IFERROR(IF(0=LEN(ReferenceData!$AV$39),"",ReferenceData!$AV$39),"")</f>
        <v>134370.5852</v>
      </c>
      <c r="AW39">
        <f ca="1">IFERROR(IF(0=LEN(ReferenceData!$AW$39),"",ReferenceData!$AW$39),"")</f>
        <v>127914.4379</v>
      </c>
      <c r="AX39">
        <f ca="1">IFERROR(IF(0=LEN(ReferenceData!$AX$39),"",ReferenceData!$AX$39),"")</f>
        <v>122700.6943</v>
      </c>
      <c r="AY39">
        <f ca="1">IFERROR(IF(0=LEN(ReferenceData!$AY$39),"",ReferenceData!$AY$39),"")</f>
        <v>128865.2254</v>
      </c>
      <c r="AZ39">
        <f ca="1">IFERROR(IF(0=LEN(ReferenceData!$AZ$39),"",ReferenceData!$AZ$39),"")</f>
        <v>127522.44070000001</v>
      </c>
      <c r="BA39">
        <f ca="1">IFERROR(IF(0=LEN(ReferenceData!$BA$39),"",ReferenceData!$BA$39),"")</f>
        <v>148960.59099999999</v>
      </c>
      <c r="BB39">
        <f ca="1">IFERROR(IF(0=LEN(ReferenceData!$BB$39),"",ReferenceData!$BB$39),"")</f>
        <v>133026.77429999999</v>
      </c>
      <c r="BC39">
        <f ca="1">IFERROR(IF(0=LEN(ReferenceData!$BC$39),"",ReferenceData!$BC$39),"")</f>
        <v>197912.9895</v>
      </c>
      <c r="BD39">
        <f ca="1">IFERROR(IF(0=LEN(ReferenceData!$BD$39),"",ReferenceData!$BD$39),"")</f>
        <v>192680.63370000001</v>
      </c>
      <c r="BE39">
        <f ca="1">IFERROR(IF(0=LEN(ReferenceData!$BE$39),"",ReferenceData!$BE$39),"")</f>
        <v>197468.52299999999</v>
      </c>
      <c r="BF39">
        <f ca="1">IFERROR(IF(0=LEN(ReferenceData!$BF$39),"",ReferenceData!$BF$39),"")</f>
        <v>197515.08189999999</v>
      </c>
      <c r="BG39">
        <f ca="1">IFERROR(IF(0=LEN(ReferenceData!$BG$39),"",ReferenceData!$BG$39),"")</f>
        <v>213361.432</v>
      </c>
      <c r="BH39">
        <f ca="1">IFERROR(IF(0=LEN(ReferenceData!$BH$39),"",ReferenceData!$BH$39),"")</f>
        <v>231832.0889</v>
      </c>
      <c r="BI39">
        <f ca="1">IFERROR(IF(0=LEN(ReferenceData!$BI$39),"",ReferenceData!$BI$39),"")</f>
        <v>228962.19699999999</v>
      </c>
      <c r="BJ39">
        <f ca="1">IFERROR(IF(0=LEN(ReferenceData!$BJ$39),"",ReferenceData!$BJ$39),"")</f>
        <v>183308.52340000001</v>
      </c>
      <c r="BK39">
        <f ca="1">IFERROR(IF(0=LEN(ReferenceData!$BK$39),"",ReferenceData!$BK$39),"")</f>
        <v>237310.39780000001</v>
      </c>
      <c r="BL39">
        <f ca="1">IFERROR(IF(0=LEN(ReferenceData!$BL$39),"",ReferenceData!$BL$39),"")</f>
        <v>223714.7</v>
      </c>
      <c r="BM39" t="str">
        <f ca="1">IFERROR(IF(0=LEN(ReferenceData!$BM$39),"",ReferenceData!$BM$39),"")</f>
        <v/>
      </c>
    </row>
    <row r="40" spans="1:65" x14ac:dyDescent="0.25">
      <c r="A40" t="str">
        <f>IFERROR(IF(0=LEN(ReferenceData!$A$40),"",ReferenceData!$A$40),"")</f>
        <v xml:space="preserve">    UniCredit SpA</v>
      </c>
      <c r="B40" t="str">
        <f>IFERROR(IF(0=LEN(ReferenceData!$B$40),"",ReferenceData!$B$40),"")</f>
        <v>UCG IM Equity</v>
      </c>
      <c r="C40" t="str">
        <f>IFERROR(IF(0=LEN(ReferenceData!$C$40),"",ReferenceData!$C$40),"")</f>
        <v>BM105</v>
      </c>
      <c r="D40" t="str">
        <f>IFERROR(IF(0=LEN(ReferenceData!$D$40),"",ReferenceData!$D$40),"")</f>
        <v>BS_TRADING_ASSETS</v>
      </c>
      <c r="E40" t="str">
        <f>IFERROR(IF(0=LEN(ReferenceData!$E$40),"",ReferenceData!$E$40),"")</f>
        <v>Dynamic</v>
      </c>
      <c r="F40">
        <f ca="1">IFERROR(IF(0=LEN(ReferenceData!$F$40),"",ReferenceData!$F$40),"")</f>
        <v>55083</v>
      </c>
      <c r="G40">
        <f ca="1">IFERROR(IF(0=LEN(ReferenceData!$G$40),"",ReferenceData!$G$40),"")</f>
        <v>58286</v>
      </c>
      <c r="H40">
        <f ca="1">IFERROR(IF(0=LEN(ReferenceData!$H$40),"",ReferenceData!$H$40),"")</f>
        <v>55674</v>
      </c>
      <c r="I40">
        <f ca="1">IFERROR(IF(0=LEN(ReferenceData!$I$40),"",ReferenceData!$I$40),"")</f>
        <v>55472</v>
      </c>
      <c r="J40">
        <f ca="1">IFERROR(IF(0=LEN(ReferenceData!$J$40),"",ReferenceData!$J$40),"")</f>
        <v>57274</v>
      </c>
      <c r="K40">
        <f ca="1">IFERROR(IF(0=LEN(ReferenceData!$K$40),"",ReferenceData!$K$40),"")</f>
        <v>62938</v>
      </c>
      <c r="L40">
        <f ca="1">IFERROR(IF(0=LEN(ReferenceData!$L$40),"",ReferenceData!$L$40),"")</f>
        <v>66942</v>
      </c>
      <c r="M40">
        <f ca="1">IFERROR(IF(0=LEN(ReferenceData!$M$40),"",ReferenceData!$M$40),"")</f>
        <v>62293</v>
      </c>
      <c r="N40">
        <f ca="1">IFERROR(IF(0=LEN(ReferenceData!$N$40),"",ReferenceData!$N$40),"")</f>
        <v>64443</v>
      </c>
      <c r="O40">
        <f ca="1">IFERROR(IF(0=LEN(ReferenceData!$O$40),"",ReferenceData!$O$40),"")</f>
        <v>79136</v>
      </c>
      <c r="P40">
        <f ca="1">IFERROR(IF(0=LEN(ReferenceData!$P$40),"",ReferenceData!$P$40),"")</f>
        <v>74668</v>
      </c>
      <c r="Q40">
        <f ca="1">IFERROR(IF(0=LEN(ReferenceData!$Q$40),"",ReferenceData!$Q$40),"")</f>
        <v>76144</v>
      </c>
      <c r="R40">
        <f ca="1">IFERROR(IF(0=LEN(ReferenceData!$R$40),"",ReferenceData!$R$40),"")</f>
        <v>80109</v>
      </c>
      <c r="S40">
        <f ca="1">IFERROR(IF(0=LEN(ReferenceData!$S$40),"",ReferenceData!$S$40),"")</f>
        <v>80545</v>
      </c>
      <c r="T40">
        <f ca="1">IFERROR(IF(0=LEN(ReferenceData!$T$40),"",ReferenceData!$T$40),"")</f>
        <v>78991</v>
      </c>
      <c r="U40">
        <f ca="1">IFERROR(IF(0=LEN(ReferenceData!$U$40),"",ReferenceData!$U$40),"")</f>
        <v>73925</v>
      </c>
      <c r="V40">
        <f ca="1">IFERROR(IF(0=LEN(ReferenceData!$V$40),"",ReferenceData!$V$40),"")</f>
        <v>72705</v>
      </c>
      <c r="W40">
        <f ca="1">IFERROR(IF(0=LEN(ReferenceData!$W$40),"",ReferenceData!$W$40),"")</f>
        <v>73165</v>
      </c>
      <c r="X40">
        <f ca="1">IFERROR(IF(0=LEN(ReferenceData!$X$40),"",ReferenceData!$X$40),"")</f>
        <v>67236</v>
      </c>
      <c r="Y40">
        <f ca="1">IFERROR(IF(0=LEN(ReferenceData!$Y$40),"",ReferenceData!$Y$40),"")</f>
        <v>69756</v>
      </c>
      <c r="Z40">
        <f ca="1">IFERROR(IF(0=LEN(ReferenceData!$Z$40),"",ReferenceData!$Z$40),"")</f>
        <v>63280</v>
      </c>
      <c r="AA40">
        <f ca="1">IFERROR(IF(0=LEN(ReferenceData!$AA$40),"",ReferenceData!$AA$40),"")</f>
        <v>74871</v>
      </c>
      <c r="AB40">
        <f ca="1">IFERROR(IF(0=LEN(ReferenceData!$AB$40),"",ReferenceData!$AB$40),"")</f>
        <v>67344</v>
      </c>
      <c r="AC40">
        <f ca="1">IFERROR(IF(0=LEN(ReferenceData!$AC$40),"",ReferenceData!$AC$40),"")</f>
        <v>67135</v>
      </c>
      <c r="AD40">
        <f ca="1">IFERROR(IF(0=LEN(ReferenceData!$AD$40),"",ReferenceData!$AD$40),"")</f>
        <v>65231</v>
      </c>
      <c r="AE40">
        <f ca="1">IFERROR(IF(0=LEN(ReferenceData!$AE$40),"",ReferenceData!$AE$40),"")</f>
        <v>81258</v>
      </c>
      <c r="AF40">
        <f ca="1">IFERROR(IF(0=LEN(ReferenceData!$AF$40),"",ReferenceData!$AF$40),"")</f>
        <v>83261.558999999994</v>
      </c>
      <c r="AG40">
        <f ca="1">IFERROR(IF(0=LEN(ReferenceData!$AG$40),"",ReferenceData!$AG$40),"")</f>
        <v>80324</v>
      </c>
      <c r="AH40">
        <f ca="1">IFERROR(IF(0=LEN(ReferenceData!$AH$40),"",ReferenceData!$AH$40),"")</f>
        <v>74685.89</v>
      </c>
      <c r="AI40">
        <f ca="1">IFERROR(IF(0=LEN(ReferenceData!$AI$40),"",ReferenceData!$AI$40),"")</f>
        <v>81493</v>
      </c>
      <c r="AJ40">
        <f ca="1">IFERROR(IF(0=LEN(ReferenceData!$AJ$40),"",ReferenceData!$AJ$40),"")</f>
        <v>79529.274999999994</v>
      </c>
      <c r="AK40">
        <f ca="1">IFERROR(IF(0=LEN(ReferenceData!$AK$40),"",ReferenceData!$AK$40),"")</f>
        <v>86191</v>
      </c>
      <c r="AL40" t="str">
        <f ca="1">IFERROR(IF(0=LEN(ReferenceData!$AL$40),"",ReferenceData!$AL$40),"")</f>
        <v/>
      </c>
      <c r="AM40">
        <f ca="1">IFERROR(IF(0=LEN(ReferenceData!$AM$40),"",ReferenceData!$AM$40),"")</f>
        <v>93433</v>
      </c>
      <c r="AN40">
        <f ca="1">IFERROR(IF(0=LEN(ReferenceData!$AN$40),"",ReferenceData!$AN$40),"")</f>
        <v>105074.558</v>
      </c>
      <c r="AO40">
        <f ca="1">IFERROR(IF(0=LEN(ReferenceData!$AO$40),"",ReferenceData!$AO$40),"")</f>
        <v>97239</v>
      </c>
      <c r="AP40">
        <f ca="1">IFERROR(IF(0=LEN(ReferenceData!$AP$40),"",ReferenceData!$AP$40),"")</f>
        <v>89994.911999999997</v>
      </c>
      <c r="AQ40">
        <f ca="1">IFERROR(IF(0=LEN(ReferenceData!$AQ$40),"",ReferenceData!$AQ$40),"")</f>
        <v>90306</v>
      </c>
      <c r="AR40">
        <f ca="1">IFERROR(IF(0=LEN(ReferenceData!$AR$40),"",ReferenceData!$AR$40),"")</f>
        <v>97625.888000000006</v>
      </c>
      <c r="AS40">
        <f ca="1">IFERROR(IF(0=LEN(ReferenceData!$AS$40),"",ReferenceData!$AS$40),"")</f>
        <v>113249</v>
      </c>
      <c r="AT40">
        <f ca="1">IFERROR(IF(0=LEN(ReferenceData!$AT$40),"",ReferenceData!$AT$40),"")</f>
        <v>101225.546</v>
      </c>
      <c r="AU40">
        <f ca="1">IFERROR(IF(0=LEN(ReferenceData!$AU$40),"",ReferenceData!$AU$40),"")</f>
        <v>93026</v>
      </c>
      <c r="AV40">
        <f ca="1">IFERROR(IF(0=LEN(ReferenceData!$AV$40),"",ReferenceData!$AV$40),"")</f>
        <v>84079.335999999996</v>
      </c>
      <c r="AW40">
        <f ca="1">IFERROR(IF(0=LEN(ReferenceData!$AW$40),"",ReferenceData!$AW$40),"")</f>
        <v>79368</v>
      </c>
      <c r="AX40">
        <f ca="1">IFERROR(IF(0=LEN(ReferenceData!$AX$40),"",ReferenceData!$AX$40),"")</f>
        <v>80700.678</v>
      </c>
      <c r="AY40">
        <f ca="1">IFERROR(IF(0=LEN(ReferenceData!$AY$40),"",ReferenceData!$AY$40),"")</f>
        <v>87802</v>
      </c>
      <c r="AZ40">
        <f ca="1">IFERROR(IF(0=LEN(ReferenceData!$AZ$40),"",ReferenceData!$AZ$40),"")</f>
        <v>93771.944000000003</v>
      </c>
      <c r="BA40">
        <f ca="1">IFERROR(IF(0=LEN(ReferenceData!$BA$40),"",ReferenceData!$BA$40),"")</f>
        <v>98593</v>
      </c>
      <c r="BB40">
        <f ca="1">IFERROR(IF(0=LEN(ReferenceData!$BB$40),"",ReferenceData!$BB$40),"")</f>
        <v>107118.564</v>
      </c>
      <c r="BC40">
        <f ca="1">IFERROR(IF(0=LEN(ReferenceData!$BC$40),"",ReferenceData!$BC$40),"")</f>
        <v>112902</v>
      </c>
      <c r="BD40">
        <f ca="1">IFERROR(IF(0=LEN(ReferenceData!$BD$40),"",ReferenceData!$BD$40),"")</f>
        <v>126174.77</v>
      </c>
      <c r="BE40">
        <f ca="1">IFERROR(IF(0=LEN(ReferenceData!$BE$40),"",ReferenceData!$BE$40),"")</f>
        <v>119109</v>
      </c>
      <c r="BF40">
        <f ca="1">IFERROR(IF(0=LEN(ReferenceData!$BF$40),"",ReferenceData!$BF$40),"")</f>
        <v>130985.409</v>
      </c>
      <c r="BG40">
        <f ca="1">IFERROR(IF(0=LEN(ReferenceData!$BG$40),"",ReferenceData!$BG$40),"")</f>
        <v>140008</v>
      </c>
      <c r="BH40">
        <f ca="1">IFERROR(IF(0=LEN(ReferenceData!$BH$40),"",ReferenceData!$BH$40),"")</f>
        <v>107202.94899999999</v>
      </c>
      <c r="BI40">
        <f ca="1">IFERROR(IF(0=LEN(ReferenceData!$BI$40),"",ReferenceData!$BI$40),"")</f>
        <v>106400</v>
      </c>
      <c r="BJ40">
        <f ca="1">IFERROR(IF(0=LEN(ReferenceData!$BJ$40),"",ReferenceData!$BJ$40),"")</f>
        <v>122551.402</v>
      </c>
      <c r="BK40">
        <f ca="1">IFERROR(IF(0=LEN(ReferenceData!$BK$40),"",ReferenceData!$BK$40),"")</f>
        <v>156983</v>
      </c>
      <c r="BL40">
        <f ca="1">IFERROR(IF(0=LEN(ReferenceData!$BL$40),"",ReferenceData!$BL$40),"")</f>
        <v>152099.80900000001</v>
      </c>
      <c r="BM40" t="str">
        <f ca="1">IFERROR(IF(0=LEN(ReferenceData!$BM$40),"",ReferenceData!$BM$40),"")</f>
        <v/>
      </c>
    </row>
    <row r="41" spans="1:65" x14ac:dyDescent="0.25">
      <c r="A41" t="str">
        <f>IFERROR(IF(0=LEN(ReferenceData!$A$41),"",ReferenceData!$A$41),"")</f>
        <v>Trading Derivatives</v>
      </c>
      <c r="B41" t="str">
        <f>IFERROR(IF(0=LEN(ReferenceData!$B$41),"",ReferenceData!$B$41),"")</f>
        <v/>
      </c>
      <c r="C41" t="str">
        <f>IFERROR(IF(0=LEN(ReferenceData!$C$41),"",ReferenceData!$C$41),"")</f>
        <v/>
      </c>
      <c r="D41" t="str">
        <f>IFERROR(IF(0=LEN(ReferenceData!$D$41),"",ReferenceData!$D$41),"")</f>
        <v/>
      </c>
      <c r="E41" t="str">
        <f>IFERROR(IF(0=LEN(ReferenceData!$E$41),"",ReferenceData!$E$41),"")</f>
        <v>Sum</v>
      </c>
      <c r="F41">
        <f ca="1">IFERROR(IF(0=LEN(ReferenceData!$F$41),"",ReferenceData!$F$41),"")</f>
        <v>1452096.7237859999</v>
      </c>
      <c r="G41">
        <f ca="1">IFERROR(IF(0=LEN(ReferenceData!$G$41),"",ReferenceData!$G$41),"")</f>
        <v>559913.50244119996</v>
      </c>
      <c r="H41">
        <f ca="1">IFERROR(IF(0=LEN(ReferenceData!$H$41),"",ReferenceData!$H$41),"")</f>
        <v>1165540.4282</v>
      </c>
      <c r="I41">
        <f ca="1">IFERROR(IF(0=LEN(ReferenceData!$I$41),"",ReferenceData!$I$41),"")</f>
        <v>551044.88838100003</v>
      </c>
      <c r="J41">
        <f ca="1">IFERROR(IF(0=LEN(ReferenceData!$J$41),"",ReferenceData!$J$41),"")</f>
        <v>1339415.8067369997</v>
      </c>
      <c r="K41">
        <f ca="1">IFERROR(IF(0=LEN(ReferenceData!$K$41),"",ReferenceData!$K$41),"")</f>
        <v>665366.7149599999</v>
      </c>
      <c r="L41">
        <f ca="1">IFERROR(IF(0=LEN(ReferenceData!$L$41),"",ReferenceData!$L$41),"")</f>
        <v>1140478.4847800001</v>
      </c>
      <c r="M41">
        <f ca="1">IFERROR(IF(0=LEN(ReferenceData!$M$41),"",ReferenceData!$M$41),"")</f>
        <v>568683.622034</v>
      </c>
      <c r="N41">
        <f ca="1">IFERROR(IF(0=LEN(ReferenceData!$N$41),"",ReferenceData!$N$41),"")</f>
        <v>1588369.9830389998</v>
      </c>
      <c r="O41">
        <f ca="1">IFERROR(IF(0=LEN(ReferenceData!$O$41),"",ReferenceData!$O$41),"")</f>
        <v>915049.67498999997</v>
      </c>
      <c r="P41">
        <f ca="1">IFERROR(IF(0=LEN(ReferenceData!$P$41),"",ReferenceData!$P$41),"")</f>
        <v>1369859.207678</v>
      </c>
      <c r="Q41">
        <f ca="1">IFERROR(IF(0=LEN(ReferenceData!$Q$41),"",ReferenceData!$Q$41),"")</f>
        <v>614620.65990100009</v>
      </c>
      <c r="R41">
        <f ca="1">IFERROR(IF(0=LEN(ReferenceData!$R$41),"",ReferenceData!$R$41),"")</f>
        <v>1449708.677289</v>
      </c>
      <c r="S41">
        <f ca="1">IFERROR(IF(0=LEN(ReferenceData!$S$41),"",ReferenceData!$S$41),"")</f>
        <v>557668.38677800004</v>
      </c>
      <c r="T41">
        <f ca="1">IFERROR(IF(0=LEN(ReferenceData!$T$41),"",ReferenceData!$T$41),"")</f>
        <v>1196269.1102</v>
      </c>
      <c r="U41">
        <f ca="1">IFERROR(IF(0=LEN(ReferenceData!$U$41),"",ReferenceData!$U$41),"")</f>
        <v>585399.28349499998</v>
      </c>
      <c r="V41">
        <f ca="1">IFERROR(IF(0=LEN(ReferenceData!$V$41),"",ReferenceData!$V$41),"")</f>
        <v>1771161.529535</v>
      </c>
      <c r="W41">
        <f ca="1">IFERROR(IF(0=LEN(ReferenceData!$W$41),"",ReferenceData!$W$41),"")</f>
        <v>705654.13478399999</v>
      </c>
      <c r="X41">
        <f ca="1">IFERROR(IF(0=LEN(ReferenceData!$X$41),"",ReferenceData!$X$41),"")</f>
        <v>1145906.9721330001</v>
      </c>
      <c r="Y41">
        <f ca="1">IFERROR(IF(0=LEN(ReferenceData!$Y$41),"",ReferenceData!$Y$41),"")</f>
        <v>908953.28612800001</v>
      </c>
      <c r="Z41">
        <f ca="1">IFERROR(IF(0=LEN(ReferenceData!$Z$41),"",ReferenceData!$Z$41),"")</f>
        <v>1627781.168936</v>
      </c>
      <c r="AA41">
        <f ca="1">IFERROR(IF(0=LEN(ReferenceData!$AA$41),"",ReferenceData!$AA$41),"")</f>
        <v>466033.457306</v>
      </c>
      <c r="AB41">
        <f ca="1">IFERROR(IF(0=LEN(ReferenceData!$AB$41),"",ReferenceData!$AB$41),"")</f>
        <v>1106063.1292601998</v>
      </c>
      <c r="AC41">
        <f ca="1">IFERROR(IF(0=LEN(ReferenceData!$AC$41),"",ReferenceData!$AC$41),"")</f>
        <v>706055.44459900004</v>
      </c>
      <c r="AD41">
        <f ca="1">IFERROR(IF(0=LEN(ReferenceData!$AD$41),"",ReferenceData!$AD$41),"")</f>
        <v>1503788.1113269001</v>
      </c>
      <c r="AE41">
        <f ca="1">IFERROR(IF(0=LEN(ReferenceData!$AE$41),"",ReferenceData!$AE$41),"")</f>
        <v>377322.59416199999</v>
      </c>
      <c r="AF41">
        <f ca="1">IFERROR(IF(0=LEN(ReferenceData!$AF$41),"",ReferenceData!$AF$41),"")</f>
        <v>679708.75608600001</v>
      </c>
      <c r="AG41">
        <f ca="1">IFERROR(IF(0=LEN(ReferenceData!$AG$41),"",ReferenceData!$AG$41),"")</f>
        <v>304917.26203500002</v>
      </c>
      <c r="AH41">
        <f ca="1">IFERROR(IF(0=LEN(ReferenceData!$AH$41),"",ReferenceData!$AH$41),"")</f>
        <v>1283380.173066</v>
      </c>
      <c r="AI41">
        <f ca="1">IFERROR(IF(0=LEN(ReferenceData!$AI$41),"",ReferenceData!$AI$41),"")</f>
        <v>733282.126911</v>
      </c>
      <c r="AJ41">
        <f ca="1">IFERROR(IF(0=LEN(ReferenceData!$AJ$41),"",ReferenceData!$AJ$41),"")</f>
        <v>593405.33807599999</v>
      </c>
      <c r="AK41">
        <f ca="1">IFERROR(IF(0=LEN(ReferenceData!$AK$41),"",ReferenceData!$AK$41),"")</f>
        <v>349721.92432300001</v>
      </c>
      <c r="AL41">
        <f ca="1">IFERROR(IF(0=LEN(ReferenceData!$AL$41),"",ReferenceData!$AL$41),"")</f>
        <v>1512835.5240310002</v>
      </c>
      <c r="AM41">
        <f ca="1">IFERROR(IF(0=LEN(ReferenceData!$AM$41),"",ReferenceData!$AM$41),"")</f>
        <v>506915.33188399998</v>
      </c>
      <c r="AN41">
        <f ca="1">IFERROR(IF(0=LEN(ReferenceData!$AN$41),"",ReferenceData!$AN$41),"")</f>
        <v>632870.49602599989</v>
      </c>
      <c r="AO41">
        <f ca="1">IFERROR(IF(0=LEN(ReferenceData!$AO$41),"",ReferenceData!$AO$41),"")</f>
        <v>542636.69416399999</v>
      </c>
      <c r="AP41">
        <f ca="1">IFERROR(IF(0=LEN(ReferenceData!$AP$41),"",ReferenceData!$AP$41),"")</f>
        <v>1755174.9374885999</v>
      </c>
      <c r="AQ41">
        <f ca="1">IFERROR(IF(0=LEN(ReferenceData!$AQ$41),"",ReferenceData!$AQ$41),"")</f>
        <v>176912.82595999999</v>
      </c>
      <c r="AR41">
        <f ca="1">IFERROR(IF(0=LEN(ReferenceData!$AR$41),"",ReferenceData!$AR$41),"")</f>
        <v>624370.67718799994</v>
      </c>
      <c r="AS41">
        <f ca="1">IFERROR(IF(0=LEN(ReferenceData!$AS$41),"",ReferenceData!$AS$41),"")</f>
        <v>226524.50029599998</v>
      </c>
      <c r="AT41">
        <f ca="1">IFERROR(IF(0=LEN(ReferenceData!$AT$41),"",ReferenceData!$AT$41),"")</f>
        <v>1303390.3732193999</v>
      </c>
      <c r="AU41">
        <f ca="1">IFERROR(IF(0=LEN(ReferenceData!$AU$41),"",ReferenceData!$AU$41),"")</f>
        <v>188034</v>
      </c>
      <c r="AV41">
        <f ca="1">IFERROR(IF(0=LEN(ReferenceData!$AV$41),"",ReferenceData!$AV$41),"")</f>
        <v>877846.02522900002</v>
      </c>
      <c r="AW41">
        <f ca="1">IFERROR(IF(0=LEN(ReferenceData!$AW$41),"",ReferenceData!$AW$41),"")</f>
        <v>139048.957226</v>
      </c>
      <c r="AX41">
        <f ca="1">IFERROR(IF(0=LEN(ReferenceData!$AX$41),"",ReferenceData!$AX$41),"")</f>
        <v>1821378.8844620001</v>
      </c>
      <c r="AY41">
        <f ca="1">IFERROR(IF(0=LEN(ReferenceData!$AY$41),"",ReferenceData!$AY$41),"")</f>
        <v>248830.04133000001</v>
      </c>
      <c r="AZ41">
        <f ca="1">IFERROR(IF(0=LEN(ReferenceData!$AZ$41),"",ReferenceData!$AZ$41),"")</f>
        <v>547597.7426</v>
      </c>
      <c r="BA41">
        <f ca="1">IFERROR(IF(0=LEN(ReferenceData!$BA$41),"",ReferenceData!$BA$41),"")</f>
        <v>237287.82711000001</v>
      </c>
      <c r="BB41">
        <f ca="1">IFERROR(IF(0=LEN(ReferenceData!$BB$41),"",ReferenceData!$BB$41),"")</f>
        <v>2842103.1978950002</v>
      </c>
      <c r="BC41">
        <f ca="1">IFERROR(IF(0=LEN(ReferenceData!$BC$41),"",ReferenceData!$BC$41),"")</f>
        <v>426587.93908000004</v>
      </c>
      <c r="BD41">
        <f ca="1">IFERROR(IF(0=LEN(ReferenceData!$BD$41),"",ReferenceData!$BD$41),"")</f>
        <v>1396396.4302399999</v>
      </c>
      <c r="BE41">
        <f ca="1">IFERROR(IF(0=LEN(ReferenceData!$BE$41),"",ReferenceData!$BE$41),"")</f>
        <v>857411.66001999995</v>
      </c>
      <c r="BF41">
        <f ca="1">IFERROR(IF(0=LEN(ReferenceData!$BF$41),"",ReferenceData!$BF$41),"")</f>
        <v>3637466.7629699996</v>
      </c>
      <c r="BG41">
        <f ca="1">IFERROR(IF(0=LEN(ReferenceData!$BG$41),"",ReferenceData!$BG$41),"")</f>
        <v>308971</v>
      </c>
      <c r="BH41">
        <f ca="1">IFERROR(IF(0=LEN(ReferenceData!$BH$41),"",ReferenceData!$BH$41),"")</f>
        <v>1472168.7203960002</v>
      </c>
      <c r="BI41">
        <f ca="1">IFERROR(IF(0=LEN(ReferenceData!$BI$41),"",ReferenceData!$BI$41),"")</f>
        <v>159438.84680100001</v>
      </c>
      <c r="BJ41">
        <f ca="1">IFERROR(IF(0=LEN(ReferenceData!$BJ$41),"",ReferenceData!$BJ$41),"")</f>
        <v>2809837.9479869995</v>
      </c>
      <c r="BK41">
        <f ca="1">IFERROR(IF(0=LEN(ReferenceData!$BK$41),"",ReferenceData!$BK$41),"")</f>
        <v>1837553.0551100001</v>
      </c>
      <c r="BL41">
        <f ca="1">IFERROR(IF(0=LEN(ReferenceData!$BL$41),"",ReferenceData!$BL$41),"")</f>
        <v>2831540.8745060004</v>
      </c>
      <c r="BM41">
        <f ca="1">IFERROR(IF(0=LEN(ReferenceData!$BM$41),"",ReferenceData!$BM$41),"")</f>
        <v>190899.968964</v>
      </c>
    </row>
    <row r="42" spans="1:65" x14ac:dyDescent="0.25">
      <c r="A42" t="str">
        <f>IFERROR(IF(0=LEN(ReferenceData!$A$42),"",ReferenceData!$A$42),"")</f>
        <v xml:space="preserve">    ABN AMRO Bank NV</v>
      </c>
      <c r="B42" t="str">
        <f>IFERROR(IF(0=LEN(ReferenceData!$B$42),"",ReferenceData!$B$42),"")</f>
        <v>ABN NA Equity</v>
      </c>
      <c r="C42" t="str">
        <f>IFERROR(IF(0=LEN(ReferenceData!$C$42),"",ReferenceData!$C$42),"")</f>
        <v>BM109</v>
      </c>
      <c r="D42" t="str">
        <f>IFERROR(IF(0=LEN(ReferenceData!$D$42),"",ReferenceData!$D$42),"")</f>
        <v>BS_TRADING_SECURITIES_DERIVS</v>
      </c>
      <c r="E42" t="str">
        <f>IFERROR(IF(0=LEN(ReferenceData!$E$42),"",ReferenceData!$E$42),"")</f>
        <v>Dynamic</v>
      </c>
      <c r="F42">
        <f ca="1">IFERROR(IF(0=LEN(ReferenceData!$F$42),"",ReferenceData!$F$42),"")</f>
        <v>3886</v>
      </c>
      <c r="G42" t="str">
        <f ca="1">IFERROR(IF(0=LEN(ReferenceData!$G$42),"",ReferenceData!$G$42),"")</f>
        <v/>
      </c>
      <c r="H42">
        <f ca="1">IFERROR(IF(0=LEN(ReferenceData!$H$42),"",ReferenceData!$H$42),"")</f>
        <v>4218</v>
      </c>
      <c r="I42" t="str">
        <f ca="1">IFERROR(IF(0=LEN(ReferenceData!$I$42),"",ReferenceData!$I$42),"")</f>
        <v/>
      </c>
      <c r="J42">
        <f ca="1">IFERROR(IF(0=LEN(ReferenceData!$J$42),"",ReferenceData!$J$42),"")</f>
        <v>4034</v>
      </c>
      <c r="K42" t="str">
        <f ca="1">IFERROR(IF(0=LEN(ReferenceData!$K$42),"",ReferenceData!$K$42),"")</f>
        <v/>
      </c>
      <c r="L42">
        <f ca="1">IFERROR(IF(0=LEN(ReferenceData!$L$42),"",ReferenceData!$L$42),"")</f>
        <v>4768</v>
      </c>
      <c r="M42" t="str">
        <f ca="1">IFERROR(IF(0=LEN(ReferenceData!$M$42),"",ReferenceData!$M$42),"")</f>
        <v/>
      </c>
      <c r="N42">
        <f ca="1">IFERROR(IF(0=LEN(ReferenceData!$N$42),"",ReferenceData!$N$42),"")</f>
        <v>4831</v>
      </c>
      <c r="O42" t="str">
        <f ca="1">IFERROR(IF(0=LEN(ReferenceData!$O$42),"",ReferenceData!$O$42),"")</f>
        <v/>
      </c>
      <c r="P42">
        <f ca="1">IFERROR(IF(0=LEN(ReferenceData!$P$42),"",ReferenceData!$P$42),"")</f>
        <v>4516</v>
      </c>
      <c r="Q42" t="str">
        <f ca="1">IFERROR(IF(0=LEN(ReferenceData!$Q$42),"",ReferenceData!$Q$42),"")</f>
        <v/>
      </c>
      <c r="R42">
        <f ca="1">IFERROR(IF(0=LEN(ReferenceData!$R$42),"",ReferenceData!$R$42),"")</f>
        <v>2975</v>
      </c>
      <c r="S42" t="str">
        <f ca="1">IFERROR(IF(0=LEN(ReferenceData!$S$42),"",ReferenceData!$S$42),"")</f>
        <v/>
      </c>
      <c r="T42">
        <f ca="1">IFERROR(IF(0=LEN(ReferenceData!$T$42),"",ReferenceData!$T$42),"")</f>
        <v>3880</v>
      </c>
      <c r="U42" t="str">
        <f ca="1">IFERROR(IF(0=LEN(ReferenceData!$U$42),"",ReferenceData!$U$42),"")</f>
        <v/>
      </c>
      <c r="V42">
        <f ca="1">IFERROR(IF(0=LEN(ReferenceData!$V$42),"",ReferenceData!$V$42),"")</f>
        <v>5040</v>
      </c>
      <c r="W42" t="str">
        <f ca="1">IFERROR(IF(0=LEN(ReferenceData!$W$42),"",ReferenceData!$W$42),"")</f>
        <v/>
      </c>
      <c r="X42">
        <f ca="1">IFERROR(IF(0=LEN(ReferenceData!$X$42),"",ReferenceData!$X$42),"")</f>
        <v>5921</v>
      </c>
      <c r="Y42" t="str">
        <f ca="1">IFERROR(IF(0=LEN(ReferenceData!$Y$42),"",ReferenceData!$Y$42),"")</f>
        <v/>
      </c>
      <c r="Z42">
        <f ca="1">IFERROR(IF(0=LEN(ReferenceData!$Z$42),"",ReferenceData!$Z$42),"")</f>
        <v>4499</v>
      </c>
      <c r="AA42" t="str">
        <f ca="1">IFERROR(IF(0=LEN(ReferenceData!$AA$42),"",ReferenceData!$AA$42),"")</f>
        <v/>
      </c>
      <c r="AB42">
        <f ca="1">IFERROR(IF(0=LEN(ReferenceData!$AB$42),"",ReferenceData!$AB$42),"")</f>
        <v>5232</v>
      </c>
      <c r="AC42" t="str">
        <f ca="1">IFERROR(IF(0=LEN(ReferenceData!$AC$42),"",ReferenceData!$AC$42),"")</f>
        <v/>
      </c>
      <c r="AD42">
        <f ca="1">IFERROR(IF(0=LEN(ReferenceData!$AD$42),"",ReferenceData!$AD$42),"")</f>
        <v>4839</v>
      </c>
      <c r="AE42" t="str">
        <f ca="1">IFERROR(IF(0=LEN(ReferenceData!$AE$42),"",ReferenceData!$AE$42),"")</f>
        <v/>
      </c>
      <c r="AF42" t="str">
        <f ca="1">IFERROR(IF(0=LEN(ReferenceData!$AF$42),"",ReferenceData!$AF$42),"")</f>
        <v/>
      </c>
      <c r="AG42" t="str">
        <f ca="1">IFERROR(IF(0=LEN(ReferenceData!$AG$42),"",ReferenceData!$AG$42),"")</f>
        <v/>
      </c>
      <c r="AH42" t="str">
        <f ca="1">IFERROR(IF(0=LEN(ReferenceData!$AH$42),"",ReferenceData!$AH$42),"")</f>
        <v/>
      </c>
      <c r="AI42" t="str">
        <f ca="1">IFERROR(IF(0=LEN(ReferenceData!$AI$42),"",ReferenceData!$AI$42),"")</f>
        <v/>
      </c>
      <c r="AJ42" t="str">
        <f ca="1">IFERROR(IF(0=LEN(ReferenceData!$AJ$42),"",ReferenceData!$AJ$42),"")</f>
        <v/>
      </c>
      <c r="AK42" t="str">
        <f ca="1">IFERROR(IF(0=LEN(ReferenceData!$AK$42),"",ReferenceData!$AK$42),"")</f>
        <v/>
      </c>
      <c r="AL42" t="str">
        <f ca="1">IFERROR(IF(0=LEN(ReferenceData!$AL$42),"",ReferenceData!$AL$42),"")</f>
        <v/>
      </c>
      <c r="AM42" t="str">
        <f ca="1">IFERROR(IF(0=LEN(ReferenceData!$AM$42),"",ReferenceData!$AM$42),"")</f>
        <v/>
      </c>
      <c r="AN42" t="str">
        <f ca="1">IFERROR(IF(0=LEN(ReferenceData!$AN$42),"",ReferenceData!$AN$42),"")</f>
        <v/>
      </c>
      <c r="AO42" t="str">
        <f ca="1">IFERROR(IF(0=LEN(ReferenceData!$AO$42),"",ReferenceData!$AO$42),"")</f>
        <v/>
      </c>
      <c r="AP42" t="str">
        <f ca="1">IFERROR(IF(0=LEN(ReferenceData!$AP$42),"",ReferenceData!$AP$42),"")</f>
        <v/>
      </c>
      <c r="AQ42" t="str">
        <f ca="1">IFERROR(IF(0=LEN(ReferenceData!$AQ$42),"",ReferenceData!$AQ$42),"")</f>
        <v/>
      </c>
      <c r="AR42" t="str">
        <f ca="1">IFERROR(IF(0=LEN(ReferenceData!$AR$42),"",ReferenceData!$AR$42),"")</f>
        <v/>
      </c>
      <c r="AS42" t="str">
        <f ca="1">IFERROR(IF(0=LEN(ReferenceData!$AS$42),"",ReferenceData!$AS$42),"")</f>
        <v/>
      </c>
      <c r="AT42" t="str">
        <f ca="1">IFERROR(IF(0=LEN(ReferenceData!$AT$42),"",ReferenceData!$AT$42),"")</f>
        <v/>
      </c>
      <c r="AU42" t="str">
        <f ca="1">IFERROR(IF(0=LEN(ReferenceData!$AU$42),"",ReferenceData!$AU$42),"")</f>
        <v/>
      </c>
      <c r="AV42" t="str">
        <f ca="1">IFERROR(IF(0=LEN(ReferenceData!$AV$42),"",ReferenceData!$AV$42),"")</f>
        <v/>
      </c>
      <c r="AW42" t="str">
        <f ca="1">IFERROR(IF(0=LEN(ReferenceData!$AW$42),"",ReferenceData!$AW$42),"")</f>
        <v/>
      </c>
      <c r="AX42" t="str">
        <f ca="1">IFERROR(IF(0=LEN(ReferenceData!$AX$42),"",ReferenceData!$AX$42),"")</f>
        <v/>
      </c>
      <c r="AY42" t="str">
        <f ca="1">IFERROR(IF(0=LEN(ReferenceData!$AY$42),"",ReferenceData!$AY$42),"")</f>
        <v/>
      </c>
      <c r="AZ42" t="str">
        <f ca="1">IFERROR(IF(0=LEN(ReferenceData!$AZ$42),"",ReferenceData!$AZ$42),"")</f>
        <v/>
      </c>
      <c r="BA42" t="str">
        <f ca="1">IFERROR(IF(0=LEN(ReferenceData!$BA$42),"",ReferenceData!$BA$42),"")</f>
        <v/>
      </c>
      <c r="BB42" t="str">
        <f ca="1">IFERROR(IF(0=LEN(ReferenceData!$BB$42),"",ReferenceData!$BB$42),"")</f>
        <v/>
      </c>
      <c r="BC42" t="str">
        <f ca="1">IFERROR(IF(0=LEN(ReferenceData!$BC$42),"",ReferenceData!$BC$42),"")</f>
        <v/>
      </c>
      <c r="BD42" t="str">
        <f ca="1">IFERROR(IF(0=LEN(ReferenceData!$BD$42),"",ReferenceData!$BD$42),"")</f>
        <v/>
      </c>
      <c r="BE42" t="str">
        <f ca="1">IFERROR(IF(0=LEN(ReferenceData!$BE$42),"",ReferenceData!$BE$42),"")</f>
        <v/>
      </c>
      <c r="BF42" t="str">
        <f ca="1">IFERROR(IF(0=LEN(ReferenceData!$BF$42),"",ReferenceData!$BF$42),"")</f>
        <v/>
      </c>
      <c r="BG42" t="str">
        <f ca="1">IFERROR(IF(0=LEN(ReferenceData!$BG$42),"",ReferenceData!$BG$42),"")</f>
        <v/>
      </c>
      <c r="BH42" t="str">
        <f ca="1">IFERROR(IF(0=LEN(ReferenceData!$BH$42),"",ReferenceData!$BH$42),"")</f>
        <v/>
      </c>
      <c r="BI42" t="str">
        <f ca="1">IFERROR(IF(0=LEN(ReferenceData!$BI$42),"",ReferenceData!$BI$42),"")</f>
        <v/>
      </c>
      <c r="BJ42" t="str">
        <f ca="1">IFERROR(IF(0=LEN(ReferenceData!$BJ$42),"",ReferenceData!$BJ$42),"")</f>
        <v/>
      </c>
      <c r="BK42" t="str">
        <f ca="1">IFERROR(IF(0=LEN(ReferenceData!$BK$42),"",ReferenceData!$BK$42),"")</f>
        <v/>
      </c>
      <c r="BL42" t="str">
        <f ca="1">IFERROR(IF(0=LEN(ReferenceData!$BL$42),"",ReferenceData!$BL$42),"")</f>
        <v/>
      </c>
      <c r="BM42" t="str">
        <f ca="1">IFERROR(IF(0=LEN(ReferenceData!$BM$42),"",ReferenceData!$BM$42),"")</f>
        <v/>
      </c>
    </row>
    <row r="43" spans="1:65" x14ac:dyDescent="0.25">
      <c r="A43" t="str">
        <f>IFERROR(IF(0=LEN(ReferenceData!$A$43),"",ReferenceData!$A$43),"")</f>
        <v xml:space="preserve">    AIB Group PLC</v>
      </c>
      <c r="B43" t="str">
        <f>IFERROR(IF(0=LEN(ReferenceData!$B$43),"",ReferenceData!$B$43),"")</f>
        <v>AIBG ID Equity</v>
      </c>
      <c r="C43" t="str">
        <f>IFERROR(IF(0=LEN(ReferenceData!$C$43),"",ReferenceData!$C$43),"")</f>
        <v>BM109</v>
      </c>
      <c r="D43" t="str">
        <f>IFERROR(IF(0=LEN(ReferenceData!$D$43),"",ReferenceData!$D$43),"")</f>
        <v>BS_TRADING_SECURITIES_DERIVS</v>
      </c>
      <c r="E43" t="str">
        <f>IFERROR(IF(0=LEN(ReferenceData!$E$43),"",ReferenceData!$E$43),"")</f>
        <v>Dynamic</v>
      </c>
      <c r="F43" t="str">
        <f ca="1">IFERROR(IF(0=LEN(ReferenceData!$F$43),"",ReferenceData!$F$43),"")</f>
        <v/>
      </c>
      <c r="G43" t="str">
        <f ca="1">IFERROR(IF(0=LEN(ReferenceData!$G$43),"",ReferenceData!$G$43),"")</f>
        <v/>
      </c>
      <c r="H43" t="str">
        <f ca="1">IFERROR(IF(0=LEN(ReferenceData!$H$43),"",ReferenceData!$H$43),"")</f>
        <v/>
      </c>
      <c r="I43" t="str">
        <f ca="1">IFERROR(IF(0=LEN(ReferenceData!$I$43),"",ReferenceData!$I$43),"")</f>
        <v/>
      </c>
      <c r="J43" t="str">
        <f ca="1">IFERROR(IF(0=LEN(ReferenceData!$J$43),"",ReferenceData!$J$43),"")</f>
        <v/>
      </c>
      <c r="K43" t="str">
        <f ca="1">IFERROR(IF(0=LEN(ReferenceData!$K$43),"",ReferenceData!$K$43),"")</f>
        <v/>
      </c>
      <c r="L43" t="str">
        <f ca="1">IFERROR(IF(0=LEN(ReferenceData!$L$43),"",ReferenceData!$L$43),"")</f>
        <v/>
      </c>
      <c r="M43" t="str">
        <f ca="1">IFERROR(IF(0=LEN(ReferenceData!$M$43),"",ReferenceData!$M$43),"")</f>
        <v/>
      </c>
      <c r="N43" t="str">
        <f ca="1">IFERROR(IF(0=LEN(ReferenceData!$N$43),"",ReferenceData!$N$43),"")</f>
        <v/>
      </c>
      <c r="O43" t="str">
        <f ca="1">IFERROR(IF(0=LEN(ReferenceData!$O$43),"",ReferenceData!$O$43),"")</f>
        <v/>
      </c>
      <c r="P43" t="str">
        <f ca="1">IFERROR(IF(0=LEN(ReferenceData!$P$43),"",ReferenceData!$P$43),"")</f>
        <v/>
      </c>
      <c r="Q43" t="str">
        <f ca="1">IFERROR(IF(0=LEN(ReferenceData!$Q$43),"",ReferenceData!$Q$43),"")</f>
        <v/>
      </c>
      <c r="R43" t="str">
        <f ca="1">IFERROR(IF(0=LEN(ReferenceData!$R$43),"",ReferenceData!$R$43),"")</f>
        <v/>
      </c>
      <c r="S43" t="str">
        <f ca="1">IFERROR(IF(0=LEN(ReferenceData!$S$43),"",ReferenceData!$S$43),"")</f>
        <v/>
      </c>
      <c r="T43" t="str">
        <f ca="1">IFERROR(IF(0=LEN(ReferenceData!$T$43),"",ReferenceData!$T$43),"")</f>
        <v/>
      </c>
      <c r="U43" t="str">
        <f ca="1">IFERROR(IF(0=LEN(ReferenceData!$U$43),"",ReferenceData!$U$43),"")</f>
        <v/>
      </c>
      <c r="V43" t="str">
        <f ca="1">IFERROR(IF(0=LEN(ReferenceData!$V$43),"",ReferenceData!$V$43),"")</f>
        <v/>
      </c>
      <c r="W43" t="str">
        <f ca="1">IFERROR(IF(0=LEN(ReferenceData!$W$43),"",ReferenceData!$W$43),"")</f>
        <v/>
      </c>
      <c r="X43" t="str">
        <f ca="1">IFERROR(IF(0=LEN(ReferenceData!$X$43),"",ReferenceData!$X$43),"")</f>
        <v/>
      </c>
      <c r="Y43" t="str">
        <f ca="1">IFERROR(IF(0=LEN(ReferenceData!$Y$43),"",ReferenceData!$Y$43),"")</f>
        <v/>
      </c>
      <c r="Z43" t="str">
        <f ca="1">IFERROR(IF(0=LEN(ReferenceData!$Z$43),"",ReferenceData!$Z$43),"")</f>
        <v/>
      </c>
      <c r="AA43" t="str">
        <f ca="1">IFERROR(IF(0=LEN(ReferenceData!$AA$43),"",ReferenceData!$AA$43),"")</f>
        <v/>
      </c>
      <c r="AB43" t="str">
        <f ca="1">IFERROR(IF(0=LEN(ReferenceData!$AB$43),"",ReferenceData!$AB$43),"")</f>
        <v/>
      </c>
      <c r="AC43" t="str">
        <f ca="1">IFERROR(IF(0=LEN(ReferenceData!$AC$43),"",ReferenceData!$AC$43),"")</f>
        <v/>
      </c>
      <c r="AD43" t="str">
        <f ca="1">IFERROR(IF(0=LEN(ReferenceData!$AD$43),"",ReferenceData!$AD$43),"")</f>
        <v/>
      </c>
      <c r="AE43" t="str">
        <f ca="1">IFERROR(IF(0=LEN(ReferenceData!$AE$43),"",ReferenceData!$AE$43),"")</f>
        <v/>
      </c>
      <c r="AF43" t="str">
        <f ca="1">IFERROR(IF(0=LEN(ReferenceData!$AF$43),"",ReferenceData!$AF$43),"")</f>
        <v/>
      </c>
      <c r="AG43" t="str">
        <f ca="1">IFERROR(IF(0=LEN(ReferenceData!$AG$43),"",ReferenceData!$AG$43),"")</f>
        <v/>
      </c>
      <c r="AH43" t="str">
        <f ca="1">IFERROR(IF(0=LEN(ReferenceData!$AH$43),"",ReferenceData!$AH$43),"")</f>
        <v/>
      </c>
      <c r="AI43" t="str">
        <f ca="1">IFERROR(IF(0=LEN(ReferenceData!$AI$43),"",ReferenceData!$AI$43),"")</f>
        <v/>
      </c>
      <c r="AJ43" t="str">
        <f ca="1">IFERROR(IF(0=LEN(ReferenceData!$AJ$43),"",ReferenceData!$AJ$43),"")</f>
        <v/>
      </c>
      <c r="AK43" t="str">
        <f ca="1">IFERROR(IF(0=LEN(ReferenceData!$AK$43),"",ReferenceData!$AK$43),"")</f>
        <v/>
      </c>
      <c r="AL43" t="str">
        <f ca="1">IFERROR(IF(0=LEN(ReferenceData!$AL$43),"",ReferenceData!$AL$43),"")</f>
        <v/>
      </c>
      <c r="AM43" t="str">
        <f ca="1">IFERROR(IF(0=LEN(ReferenceData!$AM$43),"",ReferenceData!$AM$43),"")</f>
        <v/>
      </c>
      <c r="AN43" t="str">
        <f ca="1">IFERROR(IF(0=LEN(ReferenceData!$AN$43),"",ReferenceData!$AN$43),"")</f>
        <v/>
      </c>
      <c r="AO43" t="str">
        <f ca="1">IFERROR(IF(0=LEN(ReferenceData!$AO$43),"",ReferenceData!$AO$43),"")</f>
        <v/>
      </c>
      <c r="AP43" t="str">
        <f ca="1">IFERROR(IF(0=LEN(ReferenceData!$AP$43),"",ReferenceData!$AP$43),"")</f>
        <v/>
      </c>
      <c r="AQ43" t="str">
        <f ca="1">IFERROR(IF(0=LEN(ReferenceData!$AQ$43),"",ReferenceData!$AQ$43),"")</f>
        <v/>
      </c>
      <c r="AR43" t="str">
        <f ca="1">IFERROR(IF(0=LEN(ReferenceData!$AR$43),"",ReferenceData!$AR$43),"")</f>
        <v/>
      </c>
      <c r="AS43" t="str">
        <f ca="1">IFERROR(IF(0=LEN(ReferenceData!$AS$43),"",ReferenceData!$AS$43),"")</f>
        <v/>
      </c>
      <c r="AT43" t="str">
        <f ca="1">IFERROR(IF(0=LEN(ReferenceData!$AT$43),"",ReferenceData!$AT$43),"")</f>
        <v/>
      </c>
      <c r="AU43" t="str">
        <f ca="1">IFERROR(IF(0=LEN(ReferenceData!$AU$43),"",ReferenceData!$AU$43),"")</f>
        <v/>
      </c>
      <c r="AV43" t="str">
        <f ca="1">IFERROR(IF(0=LEN(ReferenceData!$AV$43),"",ReferenceData!$AV$43),"")</f>
        <v/>
      </c>
      <c r="AW43" t="str">
        <f ca="1">IFERROR(IF(0=LEN(ReferenceData!$AW$43),"",ReferenceData!$AW$43),"")</f>
        <v/>
      </c>
      <c r="AX43" t="str">
        <f ca="1">IFERROR(IF(0=LEN(ReferenceData!$AX$43),"",ReferenceData!$AX$43),"")</f>
        <v/>
      </c>
      <c r="AY43" t="str">
        <f ca="1">IFERROR(IF(0=LEN(ReferenceData!$AY$43),"",ReferenceData!$AY$43),"")</f>
        <v/>
      </c>
      <c r="AZ43" t="str">
        <f ca="1">IFERROR(IF(0=LEN(ReferenceData!$AZ$43),"",ReferenceData!$AZ$43),"")</f>
        <v/>
      </c>
      <c r="BA43" t="str">
        <f ca="1">IFERROR(IF(0=LEN(ReferenceData!$BA$43),"",ReferenceData!$BA$43),"")</f>
        <v/>
      </c>
      <c r="BB43" t="str">
        <f ca="1">IFERROR(IF(0=LEN(ReferenceData!$BB$43),"",ReferenceData!$BB$43),"")</f>
        <v/>
      </c>
      <c r="BC43" t="str">
        <f ca="1">IFERROR(IF(0=LEN(ReferenceData!$BC$43),"",ReferenceData!$BC$43),"")</f>
        <v/>
      </c>
      <c r="BD43" t="str">
        <f ca="1">IFERROR(IF(0=LEN(ReferenceData!$BD$43),"",ReferenceData!$BD$43),"")</f>
        <v/>
      </c>
      <c r="BE43" t="str">
        <f ca="1">IFERROR(IF(0=LEN(ReferenceData!$BE$43),"",ReferenceData!$BE$43),"")</f>
        <v/>
      </c>
      <c r="BF43" t="str">
        <f ca="1">IFERROR(IF(0=LEN(ReferenceData!$BF$43),"",ReferenceData!$BF$43),"")</f>
        <v/>
      </c>
      <c r="BG43" t="str">
        <f ca="1">IFERROR(IF(0=LEN(ReferenceData!$BG$43),"",ReferenceData!$BG$43),"")</f>
        <v/>
      </c>
      <c r="BH43" t="str">
        <f ca="1">IFERROR(IF(0=LEN(ReferenceData!$BH$43),"",ReferenceData!$BH$43),"")</f>
        <v/>
      </c>
      <c r="BI43" t="str">
        <f ca="1">IFERROR(IF(0=LEN(ReferenceData!$BI$43),"",ReferenceData!$BI$43),"")</f>
        <v/>
      </c>
      <c r="BJ43" t="str">
        <f ca="1">IFERROR(IF(0=LEN(ReferenceData!$BJ$43),"",ReferenceData!$BJ$43),"")</f>
        <v/>
      </c>
      <c r="BK43" t="str">
        <f ca="1">IFERROR(IF(0=LEN(ReferenceData!$BK$43),"",ReferenceData!$BK$43),"")</f>
        <v/>
      </c>
      <c r="BL43" t="str">
        <f ca="1">IFERROR(IF(0=LEN(ReferenceData!$BL$43),"",ReferenceData!$BL$43),"")</f>
        <v/>
      </c>
      <c r="BM43" t="str">
        <f ca="1">IFERROR(IF(0=LEN(ReferenceData!$BM$43),"",ReferenceData!$BM$43),"")</f>
        <v/>
      </c>
    </row>
    <row r="44" spans="1:65" x14ac:dyDescent="0.25">
      <c r="A44" t="str">
        <f>IFERROR(IF(0=LEN(ReferenceData!$A$44),"",ReferenceData!$A$44),"")</f>
        <v xml:space="preserve">    Banco de Sabadell SA</v>
      </c>
      <c r="B44" t="str">
        <f>IFERROR(IF(0=LEN(ReferenceData!$B$44),"",ReferenceData!$B$44),"")</f>
        <v>SAB SM Equity</v>
      </c>
      <c r="C44" t="str">
        <f>IFERROR(IF(0=LEN(ReferenceData!$C$44),"",ReferenceData!$C$44),"")</f>
        <v>BM109</v>
      </c>
      <c r="D44" t="str">
        <f>IFERROR(IF(0=LEN(ReferenceData!$D$44),"",ReferenceData!$D$44),"")</f>
        <v>BS_TRADING_SECURITIES_DERIVS</v>
      </c>
      <c r="E44" t="str">
        <f>IFERROR(IF(0=LEN(ReferenceData!$E$44),"",ReferenceData!$E$44),"")</f>
        <v>Dynamic</v>
      </c>
      <c r="F44">
        <f ca="1">IFERROR(IF(0=LEN(ReferenceData!$F$44),"",ReferenceData!$F$44),"")</f>
        <v>2017.999</v>
      </c>
      <c r="G44" t="str">
        <f ca="1">IFERROR(IF(0=LEN(ReferenceData!$G$44),"",ReferenceData!$G$44),"")</f>
        <v/>
      </c>
      <c r="H44" t="str">
        <f ca="1">IFERROR(IF(0=LEN(ReferenceData!$H$44),"",ReferenceData!$H$44),"")</f>
        <v/>
      </c>
      <c r="I44" t="str">
        <f ca="1">IFERROR(IF(0=LEN(ReferenceData!$I$44),"",ReferenceData!$I$44),"")</f>
        <v/>
      </c>
      <c r="J44">
        <f ca="1">IFERROR(IF(0=LEN(ReferenceData!$J$44),"",ReferenceData!$J$44),"")</f>
        <v>2563.9940000000001</v>
      </c>
      <c r="K44" t="str">
        <f ca="1">IFERROR(IF(0=LEN(ReferenceData!$K$44),"",ReferenceData!$K$44),"")</f>
        <v/>
      </c>
      <c r="L44">
        <f ca="1">IFERROR(IF(0=LEN(ReferenceData!$L$44),"",ReferenceData!$L$44),"")</f>
        <v>3505.1329999999998</v>
      </c>
      <c r="M44" t="str">
        <f ca="1">IFERROR(IF(0=LEN(ReferenceData!$M$44),"",ReferenceData!$M$44),"")</f>
        <v/>
      </c>
      <c r="N44">
        <f ca="1">IFERROR(IF(0=LEN(ReferenceData!$N$44),"",ReferenceData!$N$44),"")</f>
        <v>3600.1219999999998</v>
      </c>
      <c r="O44" t="str">
        <f ca="1">IFERROR(IF(0=LEN(ReferenceData!$O$44),"",ReferenceData!$O$44),"")</f>
        <v/>
      </c>
      <c r="P44">
        <f ca="1">IFERROR(IF(0=LEN(ReferenceData!$P$44),"",ReferenceData!$P$44),"")</f>
        <v>2628.3609999999999</v>
      </c>
      <c r="Q44" t="str">
        <f ca="1">IFERROR(IF(0=LEN(ReferenceData!$Q$44),"",ReferenceData!$Q$44),"")</f>
        <v/>
      </c>
      <c r="R44">
        <f ca="1">IFERROR(IF(0=LEN(ReferenceData!$R$44),"",ReferenceData!$R$44),"")</f>
        <v>1378.998</v>
      </c>
      <c r="S44" t="str">
        <f ca="1">IFERROR(IF(0=LEN(ReferenceData!$S$44),"",ReferenceData!$S$44),"")</f>
        <v/>
      </c>
      <c r="T44">
        <f ca="1">IFERROR(IF(0=LEN(ReferenceData!$T$44),"",ReferenceData!$T$44),"")</f>
        <v>1720.079</v>
      </c>
      <c r="U44" t="str">
        <f ca="1">IFERROR(IF(0=LEN(ReferenceData!$U$44),"",ReferenceData!$U$44),"")</f>
        <v/>
      </c>
      <c r="V44">
        <f ca="1">IFERROR(IF(0=LEN(ReferenceData!$V$44),"",ReferenceData!$V$44),"")</f>
        <v>2364.5949999999998</v>
      </c>
      <c r="W44" t="str">
        <f ca="1">IFERROR(IF(0=LEN(ReferenceData!$W$44),"",ReferenceData!$W$44),"")</f>
        <v/>
      </c>
      <c r="X44">
        <f ca="1">IFERROR(IF(0=LEN(ReferenceData!$X$44),"",ReferenceData!$X$44),"")</f>
        <v>2607.569</v>
      </c>
      <c r="Y44" t="str">
        <f ca="1">IFERROR(IF(0=LEN(ReferenceData!$Y$44),"",ReferenceData!$Y$44),"")</f>
        <v/>
      </c>
      <c r="Z44">
        <f ca="1">IFERROR(IF(0=LEN(ReferenceData!$Z$44),"",ReferenceData!$Z$44),"")</f>
        <v>1840.2449999999999</v>
      </c>
      <c r="AA44" t="str">
        <f ca="1">IFERROR(IF(0=LEN(ReferenceData!$AA$44),"",ReferenceData!$AA$44),"")</f>
        <v/>
      </c>
      <c r="AB44">
        <f ca="1">IFERROR(IF(0=LEN(ReferenceData!$AB$44),"",ReferenceData!$AB$44),"")</f>
        <v>1950.7049999999999</v>
      </c>
      <c r="AC44" t="str">
        <f ca="1">IFERROR(IF(0=LEN(ReferenceData!$AC$44),"",ReferenceData!$AC$44),"")</f>
        <v/>
      </c>
      <c r="AD44">
        <f ca="1">IFERROR(IF(0=LEN(ReferenceData!$AD$44),"",ReferenceData!$AD$44),"")</f>
        <v>1720.2739999999999</v>
      </c>
      <c r="AE44" t="str">
        <f ca="1">IFERROR(IF(0=LEN(ReferenceData!$AE$44),"",ReferenceData!$AE$44),"")</f>
        <v/>
      </c>
      <c r="AF44">
        <f ca="1">IFERROR(IF(0=LEN(ReferenceData!$AF$44),"",ReferenceData!$AF$44),"")</f>
        <v>1842.021</v>
      </c>
      <c r="AG44" t="str">
        <f ca="1">IFERROR(IF(0=LEN(ReferenceData!$AG$44),"",ReferenceData!$AG$44),"")</f>
        <v/>
      </c>
      <c r="AH44" t="str">
        <f ca="1">IFERROR(IF(0=LEN(ReferenceData!$AH$44),"",ReferenceData!$AH$44),"")</f>
        <v/>
      </c>
      <c r="AI44" t="str">
        <f ca="1">IFERROR(IF(0=LEN(ReferenceData!$AI$44),"",ReferenceData!$AI$44),"")</f>
        <v/>
      </c>
      <c r="AJ44" t="str">
        <f ca="1">IFERROR(IF(0=LEN(ReferenceData!$AJ$44),"",ReferenceData!$AJ$44),"")</f>
        <v/>
      </c>
      <c r="AK44" t="str">
        <f ca="1">IFERROR(IF(0=LEN(ReferenceData!$AK$44),"",ReferenceData!$AK$44),"")</f>
        <v/>
      </c>
      <c r="AL44" t="str">
        <f ca="1">IFERROR(IF(0=LEN(ReferenceData!$AL$44),"",ReferenceData!$AL$44),"")</f>
        <v/>
      </c>
      <c r="AM44" t="str">
        <f ca="1">IFERROR(IF(0=LEN(ReferenceData!$AM$44),"",ReferenceData!$AM$44),"")</f>
        <v/>
      </c>
      <c r="AN44" t="str">
        <f ca="1">IFERROR(IF(0=LEN(ReferenceData!$AN$44),"",ReferenceData!$AN$44),"")</f>
        <v/>
      </c>
      <c r="AO44" t="str">
        <f ca="1">IFERROR(IF(0=LEN(ReferenceData!$AO$44),"",ReferenceData!$AO$44),"")</f>
        <v/>
      </c>
      <c r="AP44" t="str">
        <f ca="1">IFERROR(IF(0=LEN(ReferenceData!$AP$44),"",ReferenceData!$AP$44),"")</f>
        <v/>
      </c>
      <c r="AQ44" t="str">
        <f ca="1">IFERROR(IF(0=LEN(ReferenceData!$AQ$44),"",ReferenceData!$AQ$44),"")</f>
        <v/>
      </c>
      <c r="AR44" t="str">
        <f ca="1">IFERROR(IF(0=LEN(ReferenceData!$AR$44),"",ReferenceData!$AR$44),"")</f>
        <v/>
      </c>
      <c r="AS44" t="str">
        <f ca="1">IFERROR(IF(0=LEN(ReferenceData!$AS$44),"",ReferenceData!$AS$44),"")</f>
        <v/>
      </c>
      <c r="AT44" t="str">
        <f ca="1">IFERROR(IF(0=LEN(ReferenceData!$AT$44),"",ReferenceData!$AT$44),"")</f>
        <v/>
      </c>
      <c r="AU44" t="str">
        <f ca="1">IFERROR(IF(0=LEN(ReferenceData!$AU$44),"",ReferenceData!$AU$44),"")</f>
        <v/>
      </c>
      <c r="AV44" t="str">
        <f ca="1">IFERROR(IF(0=LEN(ReferenceData!$AV$44),"",ReferenceData!$AV$44),"")</f>
        <v/>
      </c>
      <c r="AW44" t="str">
        <f ca="1">IFERROR(IF(0=LEN(ReferenceData!$AW$44),"",ReferenceData!$AW$44),"")</f>
        <v/>
      </c>
      <c r="AX44" t="str">
        <f ca="1">IFERROR(IF(0=LEN(ReferenceData!$AX$44),"",ReferenceData!$AX$44),"")</f>
        <v/>
      </c>
      <c r="AY44" t="str">
        <f ca="1">IFERROR(IF(0=LEN(ReferenceData!$AY$44),"",ReferenceData!$AY$44),"")</f>
        <v/>
      </c>
      <c r="AZ44" t="str">
        <f ca="1">IFERROR(IF(0=LEN(ReferenceData!$AZ$44),"",ReferenceData!$AZ$44),"")</f>
        <v/>
      </c>
      <c r="BA44" t="str">
        <f ca="1">IFERROR(IF(0=LEN(ReferenceData!$BA$44),"",ReferenceData!$BA$44),"")</f>
        <v/>
      </c>
      <c r="BB44" t="str">
        <f ca="1">IFERROR(IF(0=LEN(ReferenceData!$BB$44),"",ReferenceData!$BB$44),"")</f>
        <v/>
      </c>
      <c r="BC44" t="str">
        <f ca="1">IFERROR(IF(0=LEN(ReferenceData!$BC$44),"",ReferenceData!$BC$44),"")</f>
        <v/>
      </c>
      <c r="BD44" t="str">
        <f ca="1">IFERROR(IF(0=LEN(ReferenceData!$BD$44),"",ReferenceData!$BD$44),"")</f>
        <v/>
      </c>
      <c r="BE44" t="str">
        <f ca="1">IFERROR(IF(0=LEN(ReferenceData!$BE$44),"",ReferenceData!$BE$44),"")</f>
        <v/>
      </c>
      <c r="BF44" t="str">
        <f ca="1">IFERROR(IF(0=LEN(ReferenceData!$BF$44),"",ReferenceData!$BF$44),"")</f>
        <v/>
      </c>
      <c r="BG44" t="str">
        <f ca="1">IFERROR(IF(0=LEN(ReferenceData!$BG$44),"",ReferenceData!$BG$44),"")</f>
        <v/>
      </c>
      <c r="BH44" t="str">
        <f ca="1">IFERROR(IF(0=LEN(ReferenceData!$BH$44),"",ReferenceData!$BH$44),"")</f>
        <v/>
      </c>
      <c r="BI44" t="str">
        <f ca="1">IFERROR(IF(0=LEN(ReferenceData!$BI$44),"",ReferenceData!$BI$44),"")</f>
        <v/>
      </c>
      <c r="BJ44" t="str">
        <f ca="1">IFERROR(IF(0=LEN(ReferenceData!$BJ$44),"",ReferenceData!$BJ$44),"")</f>
        <v/>
      </c>
      <c r="BK44" t="str">
        <f ca="1">IFERROR(IF(0=LEN(ReferenceData!$BK$44),"",ReferenceData!$BK$44),"")</f>
        <v/>
      </c>
      <c r="BL44" t="str">
        <f ca="1">IFERROR(IF(0=LEN(ReferenceData!$BL$44),"",ReferenceData!$BL$44),"")</f>
        <v/>
      </c>
      <c r="BM44" t="str">
        <f ca="1">IFERROR(IF(0=LEN(ReferenceData!$BM$44),"",ReferenceData!$BM$44),"")</f>
        <v/>
      </c>
    </row>
    <row r="45" spans="1:65" x14ac:dyDescent="0.25">
      <c r="A45" t="str">
        <f>IFERROR(IF(0=LEN(ReferenceData!$A$45),"",ReferenceData!$A$45),"")</f>
        <v xml:space="preserve">    Banco Santander SA</v>
      </c>
      <c r="B45" t="str">
        <f>IFERROR(IF(0=LEN(ReferenceData!$B$45),"",ReferenceData!$B$45),"")</f>
        <v>SAN SM Equity</v>
      </c>
      <c r="C45" t="str">
        <f>IFERROR(IF(0=LEN(ReferenceData!$C$45),"",ReferenceData!$C$45),"")</f>
        <v>BM109</v>
      </c>
      <c r="D45" t="str">
        <f>IFERROR(IF(0=LEN(ReferenceData!$D$45),"",ReferenceData!$D$45),"")</f>
        <v>BS_TRADING_SECURITIES_DERIVS</v>
      </c>
      <c r="E45" t="str">
        <f>IFERROR(IF(0=LEN(ReferenceData!$E$45),"",ReferenceData!$E$45),"")</f>
        <v>Dynamic</v>
      </c>
      <c r="F45" t="str">
        <f ca="1">IFERROR(IF(0=LEN(ReferenceData!$F$45),"",ReferenceData!$F$45),"")</f>
        <v/>
      </c>
      <c r="G45" t="str">
        <f ca="1">IFERROR(IF(0=LEN(ReferenceData!$G$45),"",ReferenceData!$G$45),"")</f>
        <v/>
      </c>
      <c r="H45" t="str">
        <f ca="1">IFERROR(IF(0=LEN(ReferenceData!$H$45),"",ReferenceData!$H$45),"")</f>
        <v/>
      </c>
      <c r="I45" t="str">
        <f ca="1">IFERROR(IF(0=LEN(ReferenceData!$I$45),"",ReferenceData!$I$45),"")</f>
        <v/>
      </c>
      <c r="J45" t="str">
        <f ca="1">IFERROR(IF(0=LEN(ReferenceData!$J$45),"",ReferenceData!$J$45),"")</f>
        <v/>
      </c>
      <c r="K45" t="str">
        <f ca="1">IFERROR(IF(0=LEN(ReferenceData!$K$45),"",ReferenceData!$K$45),"")</f>
        <v/>
      </c>
      <c r="L45" t="str">
        <f ca="1">IFERROR(IF(0=LEN(ReferenceData!$L$45),"",ReferenceData!$L$45),"")</f>
        <v/>
      </c>
      <c r="M45" t="str">
        <f ca="1">IFERROR(IF(0=LEN(ReferenceData!$M$45),"",ReferenceData!$M$45),"")</f>
        <v/>
      </c>
      <c r="N45" t="str">
        <f ca="1">IFERROR(IF(0=LEN(ReferenceData!$N$45),"",ReferenceData!$N$45),"")</f>
        <v/>
      </c>
      <c r="O45" t="str">
        <f ca="1">IFERROR(IF(0=LEN(ReferenceData!$O$45),"",ReferenceData!$O$45),"")</f>
        <v/>
      </c>
      <c r="P45" t="str">
        <f ca="1">IFERROR(IF(0=LEN(ReferenceData!$P$45),"",ReferenceData!$P$45),"")</f>
        <v/>
      </c>
      <c r="Q45" t="str">
        <f ca="1">IFERROR(IF(0=LEN(ReferenceData!$Q$45),"",ReferenceData!$Q$45),"")</f>
        <v/>
      </c>
      <c r="R45" t="str">
        <f ca="1">IFERROR(IF(0=LEN(ReferenceData!$R$45),"",ReferenceData!$R$45),"")</f>
        <v/>
      </c>
      <c r="S45" t="str">
        <f ca="1">IFERROR(IF(0=LEN(ReferenceData!$S$45),"",ReferenceData!$S$45),"")</f>
        <v/>
      </c>
      <c r="T45" t="str">
        <f ca="1">IFERROR(IF(0=LEN(ReferenceData!$T$45),"",ReferenceData!$T$45),"")</f>
        <v/>
      </c>
      <c r="U45" t="str">
        <f ca="1">IFERROR(IF(0=LEN(ReferenceData!$U$45),"",ReferenceData!$U$45),"")</f>
        <v/>
      </c>
      <c r="V45" t="str">
        <f ca="1">IFERROR(IF(0=LEN(ReferenceData!$V$45),"",ReferenceData!$V$45),"")</f>
        <v/>
      </c>
      <c r="W45" t="str">
        <f ca="1">IFERROR(IF(0=LEN(ReferenceData!$W$45),"",ReferenceData!$W$45),"")</f>
        <v/>
      </c>
      <c r="X45" t="str">
        <f ca="1">IFERROR(IF(0=LEN(ReferenceData!$X$45),"",ReferenceData!$X$45),"")</f>
        <v/>
      </c>
      <c r="Y45" t="str">
        <f ca="1">IFERROR(IF(0=LEN(ReferenceData!$Y$45),"",ReferenceData!$Y$45),"")</f>
        <v/>
      </c>
      <c r="Z45">
        <f ca="1">IFERROR(IF(0=LEN(ReferenceData!$Z$45),"",ReferenceData!$Z$45),"")</f>
        <v>63397</v>
      </c>
      <c r="AA45">
        <f ca="1">IFERROR(IF(0=LEN(ReferenceData!$AA$45),"",ReferenceData!$AA$45),"")</f>
        <v>68673</v>
      </c>
      <c r="AB45">
        <f ca="1">IFERROR(IF(0=LEN(ReferenceData!$AB$45),"",ReferenceData!$AB$45),"")</f>
        <v>57798</v>
      </c>
      <c r="AC45">
        <f ca="1">IFERROR(IF(0=LEN(ReferenceData!$AC$45),"",ReferenceData!$AC$45),"")</f>
        <v>56207</v>
      </c>
      <c r="AD45">
        <f ca="1">IFERROR(IF(0=LEN(ReferenceData!$AD$45),"",ReferenceData!$AD$45),"")</f>
        <v>55939</v>
      </c>
      <c r="AE45">
        <f ca="1">IFERROR(IF(0=LEN(ReferenceData!$AE$45),"",ReferenceData!$AE$45),"")</f>
        <v>52677</v>
      </c>
      <c r="AF45">
        <f ca="1">IFERROR(IF(0=LEN(ReferenceData!$AF$45),"",ReferenceData!$AF$45),"")</f>
        <v>55997</v>
      </c>
      <c r="AG45" t="str">
        <f ca="1">IFERROR(IF(0=LEN(ReferenceData!$AG$45),"",ReferenceData!$AG$45),"")</f>
        <v/>
      </c>
      <c r="AH45">
        <f ca="1">IFERROR(IF(0=LEN(ReferenceData!$AH$45),"",ReferenceData!$AH$45),"")</f>
        <v>57243</v>
      </c>
      <c r="AI45">
        <f ca="1">IFERROR(IF(0=LEN(ReferenceData!$AI$45),"",ReferenceData!$AI$45),"")</f>
        <v>56913</v>
      </c>
      <c r="AJ45">
        <f ca="1">IFERROR(IF(0=LEN(ReferenceData!$AJ$45),"",ReferenceData!$AJ$45),"")</f>
        <v>58210</v>
      </c>
      <c r="AK45" t="str">
        <f ca="1">IFERROR(IF(0=LEN(ReferenceData!$AK$45),"",ReferenceData!$AK$45),"")</f>
        <v/>
      </c>
      <c r="AL45">
        <f ca="1">IFERROR(IF(0=LEN(ReferenceData!$AL$45),"",ReferenceData!$AL$45),"")</f>
        <v>72043</v>
      </c>
      <c r="AM45">
        <f ca="1">IFERROR(IF(0=LEN(ReferenceData!$AM$45),"",ReferenceData!$AM$45),"")</f>
        <v>83756</v>
      </c>
      <c r="AN45">
        <f ca="1">IFERROR(IF(0=LEN(ReferenceData!$AN$45),"",ReferenceData!$AN$45),"")</f>
        <v>87275</v>
      </c>
      <c r="AO45">
        <f ca="1">IFERROR(IF(0=LEN(ReferenceData!$AO$45),"",ReferenceData!$AO$45),"")</f>
        <v>76643</v>
      </c>
      <c r="AP45">
        <f ca="1">IFERROR(IF(0=LEN(ReferenceData!$AP$45),"",ReferenceData!$AP$45),"")</f>
        <v>76724</v>
      </c>
      <c r="AQ45">
        <f ca="1">IFERROR(IF(0=LEN(ReferenceData!$AQ$45),"",ReferenceData!$AQ$45),"")</f>
        <v>80425</v>
      </c>
      <c r="AR45">
        <f ca="1">IFERROR(IF(0=LEN(ReferenceData!$AR$45),"",ReferenceData!$AR$45),"")</f>
        <v>72557</v>
      </c>
      <c r="AS45">
        <f ca="1">IFERROR(IF(0=LEN(ReferenceData!$AS$45),"",ReferenceData!$AS$45),"")</f>
        <v>89305</v>
      </c>
      <c r="AT45">
        <f ca="1">IFERROR(IF(0=LEN(ReferenceData!$AT$45),"",ReferenceData!$AT$45),"")</f>
        <v>76858</v>
      </c>
      <c r="AU45">
        <f ca="1">IFERROR(IF(0=LEN(ReferenceData!$AU$45),"",ReferenceData!$AU$45),"")</f>
        <v>71533</v>
      </c>
      <c r="AV45">
        <f ca="1">IFERROR(IF(0=LEN(ReferenceData!$AV$45),"",ReferenceData!$AV$45),"")</f>
        <v>64335</v>
      </c>
      <c r="AW45">
        <f ca="1">IFERROR(IF(0=LEN(ReferenceData!$AW$45),"",ReferenceData!$AW$45),"")</f>
        <v>60252</v>
      </c>
      <c r="AX45">
        <f ca="1">IFERROR(IF(0=LEN(ReferenceData!$AX$45),"",ReferenceData!$AX$45),"")</f>
        <v>58899</v>
      </c>
      <c r="AY45">
        <f ca="1">IFERROR(IF(0=LEN(ReferenceData!$AY$45),"",ReferenceData!$AY$45),"")</f>
        <v>79669</v>
      </c>
      <c r="AZ45">
        <f ca="1">IFERROR(IF(0=LEN(ReferenceData!$AZ$45),"",ReferenceData!$AZ$45),"")</f>
        <v>91437</v>
      </c>
      <c r="BA45">
        <f ca="1">IFERROR(IF(0=LEN(ReferenceData!$BA$45),"",ReferenceData!$BA$45),"")</f>
        <v>105391</v>
      </c>
      <c r="BB45">
        <f ca="1">IFERROR(IF(0=LEN(ReferenceData!$BB$45),"",ReferenceData!$BB$45),"")</f>
        <v>110319</v>
      </c>
      <c r="BC45">
        <f ca="1">IFERROR(IF(0=LEN(ReferenceData!$BC$45),"",ReferenceData!$BC$45),"")</f>
        <v>122472</v>
      </c>
      <c r="BD45">
        <f ca="1">IFERROR(IF(0=LEN(ReferenceData!$BD$45),"",ReferenceData!$BD$45),"")</f>
        <v>112303</v>
      </c>
      <c r="BE45" t="str">
        <f ca="1">IFERROR(IF(0=LEN(ReferenceData!$BE$45),"",ReferenceData!$BE$45),"")</f>
        <v/>
      </c>
      <c r="BF45">
        <f ca="1">IFERROR(IF(0=LEN(ReferenceData!$BF$45),"",ReferenceData!$BF$45),"")</f>
        <v>102498</v>
      </c>
      <c r="BG45" t="str">
        <f ca="1">IFERROR(IF(0=LEN(ReferenceData!$BG$45),"",ReferenceData!$BG$45),"")</f>
        <v/>
      </c>
      <c r="BH45">
        <f ca="1">IFERROR(IF(0=LEN(ReferenceData!$BH$45),"",ReferenceData!$BH$45),"")</f>
        <v>68494</v>
      </c>
      <c r="BI45">
        <f ca="1">IFERROR(IF(0=LEN(ReferenceData!$BI$45),"",ReferenceData!$BI$45),"")</f>
        <v>62509</v>
      </c>
      <c r="BJ45">
        <f ca="1">IFERROR(IF(0=LEN(ReferenceData!$BJ$45),"",ReferenceData!$BJ$45),"")</f>
        <v>73068.769</v>
      </c>
      <c r="BK45" t="str">
        <f ca="1">IFERROR(IF(0=LEN(ReferenceData!$BK$45),"",ReferenceData!$BK$45),"")</f>
        <v/>
      </c>
      <c r="BL45">
        <f ca="1">IFERROR(IF(0=LEN(ReferenceData!$BL$45),"",ReferenceData!$BL$45),"")</f>
        <v>85357</v>
      </c>
      <c r="BM45" t="str">
        <f ca="1">IFERROR(IF(0=LEN(ReferenceData!$BM$45),"",ReferenceData!$BM$45),"")</f>
        <v/>
      </c>
    </row>
    <row r="46" spans="1:65" x14ac:dyDescent="0.25">
      <c r="A46" t="str">
        <f>IFERROR(IF(0=LEN(ReferenceData!$A$46),"",ReferenceData!$A$46),"")</f>
        <v xml:space="preserve">    Barclays PLC</v>
      </c>
      <c r="B46" t="str">
        <f>IFERROR(IF(0=LEN(ReferenceData!$B$46),"",ReferenceData!$B$46),"")</f>
        <v>BARC LN Equity</v>
      </c>
      <c r="C46" t="str">
        <f>IFERROR(IF(0=LEN(ReferenceData!$C$46),"",ReferenceData!$C$46),"")</f>
        <v>BM109</v>
      </c>
      <c r="D46" t="str">
        <f>IFERROR(IF(0=LEN(ReferenceData!$D$46),"",ReferenceData!$D$46),"")</f>
        <v>BS_TRADING_SECURITIES_DERIVS</v>
      </c>
      <c r="E46" t="str">
        <f>IFERROR(IF(0=LEN(ReferenceData!$E$46),"",ReferenceData!$E$46),"")</f>
        <v>Dynamic</v>
      </c>
      <c r="F46">
        <f ca="1">IFERROR(IF(0=LEN(ReferenceData!$F$46),"",ReferenceData!$F$46),"")</f>
        <v>352006.60249999998</v>
      </c>
      <c r="G46" t="str">
        <f ca="1">IFERROR(IF(0=LEN(ReferenceData!$G$46),"",ReferenceData!$G$46),"")</f>
        <v/>
      </c>
      <c r="H46">
        <f ca="1">IFERROR(IF(0=LEN(ReferenceData!$H$46),"",ReferenceData!$H$46),"")</f>
        <v>295814.07</v>
      </c>
      <c r="I46" t="str">
        <f ca="1">IFERROR(IF(0=LEN(ReferenceData!$I$46),"",ReferenceData!$I$46),"")</f>
        <v/>
      </c>
      <c r="J46">
        <f ca="1">IFERROR(IF(0=LEN(ReferenceData!$J$46),"",ReferenceData!$J$46),"")</f>
        <v>293746.25890000002</v>
      </c>
      <c r="K46" t="str">
        <f ca="1">IFERROR(IF(0=LEN(ReferenceData!$K$46),"",ReferenceData!$K$46),"")</f>
        <v/>
      </c>
      <c r="L46">
        <f ca="1">IFERROR(IF(0=LEN(ReferenceData!$L$46),"",ReferenceData!$L$46),"")</f>
        <v>308219.1618</v>
      </c>
      <c r="M46" t="str">
        <f ca="1">IFERROR(IF(0=LEN(ReferenceData!$M$46),"",ReferenceData!$M$46),"")</f>
        <v/>
      </c>
      <c r="N46">
        <f ca="1">IFERROR(IF(0=LEN(ReferenceData!$N$46),"",ReferenceData!$N$46),"")</f>
        <v>340708.18839999998</v>
      </c>
      <c r="O46" t="str">
        <f ca="1">IFERROR(IF(0=LEN(ReferenceData!$O$46),"",ReferenceData!$O$46),"")</f>
        <v/>
      </c>
      <c r="P46">
        <f ca="1">IFERROR(IF(0=LEN(ReferenceData!$P$46),"",ReferenceData!$P$46),"")</f>
        <v>399622.35359999997</v>
      </c>
      <c r="Q46" t="str">
        <f ca="1">IFERROR(IF(0=LEN(ReferenceData!$Q$46),"",ReferenceData!$Q$46),"")</f>
        <v/>
      </c>
      <c r="R46">
        <f ca="1">IFERROR(IF(0=LEN(ReferenceData!$R$46),"",ReferenceData!$R$46),"")</f>
        <v>311067.25189999997</v>
      </c>
      <c r="S46" t="str">
        <f ca="1">IFERROR(IF(0=LEN(ReferenceData!$S$46),"",ReferenceData!$S$46),"")</f>
        <v/>
      </c>
      <c r="T46">
        <f ca="1">IFERROR(IF(0=LEN(ReferenceData!$T$46),"",ReferenceData!$T$46),"")</f>
        <v>297797.6876</v>
      </c>
      <c r="U46" t="str">
        <f ca="1">IFERROR(IF(0=LEN(ReferenceData!$U$46),"",ReferenceData!$U$46),"")</f>
        <v/>
      </c>
      <c r="V46">
        <f ca="1">IFERROR(IF(0=LEN(ReferenceData!$V$46),"",ReferenceData!$V$46),"")</f>
        <v>337093.15990000003</v>
      </c>
      <c r="W46" t="str">
        <f ca="1">IFERROR(IF(0=LEN(ReferenceData!$W$46),"",ReferenceData!$W$46),"")</f>
        <v/>
      </c>
      <c r="X46" t="str">
        <f ca="1">IFERROR(IF(0=LEN(ReferenceData!$X$46),"",ReferenceData!$X$46),"")</f>
        <v/>
      </c>
      <c r="Y46" t="str">
        <f ca="1">IFERROR(IF(0=LEN(ReferenceData!$Y$46),"",ReferenceData!$Y$46),"")</f>
        <v/>
      </c>
      <c r="Z46">
        <f ca="1">IFERROR(IF(0=LEN(ReferenceData!$Z$46),"",ReferenceData!$Z$46),"")</f>
        <v>270555.04220000003</v>
      </c>
      <c r="AA46" t="str">
        <f ca="1">IFERROR(IF(0=LEN(ReferenceData!$AA$46),"",ReferenceData!$AA$46),"")</f>
        <v/>
      </c>
      <c r="AB46" t="str">
        <f ca="1">IFERROR(IF(0=LEN(ReferenceData!$AB$46),"",ReferenceData!$AB$46),"")</f>
        <v/>
      </c>
      <c r="AC46" t="str">
        <f ca="1">IFERROR(IF(0=LEN(ReferenceData!$AC$46),"",ReferenceData!$AC$46),"")</f>
        <v/>
      </c>
      <c r="AD46">
        <f ca="1">IFERROR(IF(0=LEN(ReferenceData!$AD$46),"",ReferenceData!$AD$46),"")</f>
        <v>247511.91620000001</v>
      </c>
      <c r="AE46" t="str">
        <f ca="1">IFERROR(IF(0=LEN(ReferenceData!$AE$46),"",ReferenceData!$AE$46),"")</f>
        <v/>
      </c>
      <c r="AF46" t="str">
        <f ca="1">IFERROR(IF(0=LEN(ReferenceData!$AF$46),"",ReferenceData!$AF$46),"")</f>
        <v/>
      </c>
      <c r="AG46" t="str">
        <f ca="1">IFERROR(IF(0=LEN(ReferenceData!$AG$46),"",ReferenceData!$AG$46),"")</f>
        <v/>
      </c>
      <c r="AH46">
        <f ca="1">IFERROR(IF(0=LEN(ReferenceData!$AH$46),"",ReferenceData!$AH$46),"")</f>
        <v>267177.18320000003</v>
      </c>
      <c r="AI46" t="str">
        <f ca="1">IFERROR(IF(0=LEN(ReferenceData!$AI$46),"",ReferenceData!$AI$46),"")</f>
        <v/>
      </c>
      <c r="AJ46" t="str">
        <f ca="1">IFERROR(IF(0=LEN(ReferenceData!$AJ$46),"",ReferenceData!$AJ$46),"")</f>
        <v/>
      </c>
      <c r="AK46" t="str">
        <f ca="1">IFERROR(IF(0=LEN(ReferenceData!$AK$46),"",ReferenceData!$AK$46),"")</f>
        <v/>
      </c>
      <c r="AL46">
        <f ca="1">IFERROR(IF(0=LEN(ReferenceData!$AL$46),"",ReferenceData!$AL$46),"")</f>
        <v>404544.25709999999</v>
      </c>
      <c r="AM46" t="str">
        <f ca="1">IFERROR(IF(0=LEN(ReferenceData!$AM$46),"",ReferenceData!$AM$46),"")</f>
        <v/>
      </c>
      <c r="AN46" t="str">
        <f ca="1">IFERROR(IF(0=LEN(ReferenceData!$AN$46),"",ReferenceData!$AN$46),"")</f>
        <v/>
      </c>
      <c r="AO46" t="str">
        <f ca="1">IFERROR(IF(0=LEN(ReferenceData!$AO$46),"",ReferenceData!$AO$46),"")</f>
        <v/>
      </c>
      <c r="AP46">
        <f ca="1">IFERROR(IF(0=LEN(ReferenceData!$AP$46),"",ReferenceData!$AP$46),"")</f>
        <v>443093.93040000001</v>
      </c>
      <c r="AQ46" t="str">
        <f ca="1">IFERROR(IF(0=LEN(ReferenceData!$AQ$46),"",ReferenceData!$AQ$46),"")</f>
        <v/>
      </c>
      <c r="AR46" t="str">
        <f ca="1">IFERROR(IF(0=LEN(ReferenceData!$AR$46),"",ReferenceData!$AR$46),"")</f>
        <v/>
      </c>
      <c r="AS46" t="str">
        <f ca="1">IFERROR(IF(0=LEN(ReferenceData!$AS$46),"",ReferenceData!$AS$46),"")</f>
        <v/>
      </c>
      <c r="AT46" t="str">
        <f ca="1">IFERROR(IF(0=LEN(ReferenceData!$AT$46),"",ReferenceData!$AT$46),"")</f>
        <v/>
      </c>
      <c r="AU46" t="str">
        <f ca="1">IFERROR(IF(0=LEN(ReferenceData!$AU$46),"",ReferenceData!$AU$46),"")</f>
        <v/>
      </c>
      <c r="AV46" t="str">
        <f ca="1">IFERROR(IF(0=LEN(ReferenceData!$AV$46),"",ReferenceData!$AV$46),"")</f>
        <v/>
      </c>
      <c r="AW46" t="str">
        <f ca="1">IFERROR(IF(0=LEN(ReferenceData!$AW$46),"",ReferenceData!$AW$46),"")</f>
        <v/>
      </c>
      <c r="AX46" t="str">
        <f ca="1">IFERROR(IF(0=LEN(ReferenceData!$AX$46),"",ReferenceData!$AX$46),"")</f>
        <v/>
      </c>
      <c r="AY46" t="str">
        <f ca="1">IFERROR(IF(0=LEN(ReferenceData!$AY$46),"",ReferenceData!$AY$46),"")</f>
        <v/>
      </c>
      <c r="AZ46" t="str">
        <f ca="1">IFERROR(IF(0=LEN(ReferenceData!$AZ$46),"",ReferenceData!$AZ$46),"")</f>
        <v/>
      </c>
      <c r="BA46" t="str">
        <f ca="1">IFERROR(IF(0=LEN(ReferenceData!$BA$46),"",ReferenceData!$BA$46),"")</f>
        <v/>
      </c>
      <c r="BB46" t="str">
        <f ca="1">IFERROR(IF(0=LEN(ReferenceData!$BB$46),"",ReferenceData!$BB$46),"")</f>
        <v/>
      </c>
      <c r="BC46" t="str">
        <f ca="1">IFERROR(IF(0=LEN(ReferenceData!$BC$46),"",ReferenceData!$BC$46),"")</f>
        <v/>
      </c>
      <c r="BD46">
        <f ca="1">IFERROR(IF(0=LEN(ReferenceData!$BD$46),"",ReferenceData!$BD$46),"")</f>
        <v>635533.16229999997</v>
      </c>
      <c r="BE46" t="str">
        <f ca="1">IFERROR(IF(0=LEN(ReferenceData!$BE$46),"",ReferenceData!$BE$46),"")</f>
        <v/>
      </c>
      <c r="BF46">
        <f ca="1">IFERROR(IF(0=LEN(ReferenceData!$BF$46),"",ReferenceData!$BF$46),"")</f>
        <v>640591.10759999999</v>
      </c>
      <c r="BG46" t="str">
        <f ca="1">IFERROR(IF(0=LEN(ReferenceData!$BG$46),"",ReferenceData!$BG$46),"")</f>
        <v/>
      </c>
      <c r="BH46">
        <f ca="1">IFERROR(IF(0=LEN(ReferenceData!$BH$46),"",ReferenceData!$BH$46),"")</f>
        <v>418344.37410000002</v>
      </c>
      <c r="BI46" t="str">
        <f ca="1">IFERROR(IF(0=LEN(ReferenceData!$BI$46),"",ReferenceData!$BI$46),"")</f>
        <v/>
      </c>
      <c r="BJ46">
        <f ca="1">IFERROR(IF(0=LEN(ReferenceData!$BJ$46),"",ReferenceData!$BJ$46),"")</f>
        <v>488266.82069999998</v>
      </c>
      <c r="BK46" t="str">
        <f ca="1">IFERROR(IF(0=LEN(ReferenceData!$BK$46),"",ReferenceData!$BK$46),"")</f>
        <v/>
      </c>
      <c r="BL46">
        <f ca="1">IFERROR(IF(0=LEN(ReferenceData!$BL$46),"",ReferenceData!$BL$46),"")</f>
        <v>614816.08279999997</v>
      </c>
      <c r="BM46" t="str">
        <f ca="1">IFERROR(IF(0=LEN(ReferenceData!$BM$46),"",ReferenceData!$BM$46),"")</f>
        <v/>
      </c>
    </row>
    <row r="47" spans="1:65" x14ac:dyDescent="0.25">
      <c r="A47" t="str">
        <f>IFERROR(IF(0=LEN(ReferenceData!$A$47),"",ReferenceData!$A$47),"")</f>
        <v xml:space="preserve">    BAWAG Group AG</v>
      </c>
      <c r="B47" t="str">
        <f>IFERROR(IF(0=LEN(ReferenceData!$B$47),"",ReferenceData!$B$47),"")</f>
        <v>BG AV Equity</v>
      </c>
      <c r="C47" t="str">
        <f>IFERROR(IF(0=LEN(ReferenceData!$C$47),"",ReferenceData!$C$47),"")</f>
        <v>BM109</v>
      </c>
      <c r="D47" t="str">
        <f>IFERROR(IF(0=LEN(ReferenceData!$D$47),"",ReferenceData!$D$47),"")</f>
        <v>BS_TRADING_SECURITIES_DERIVS</v>
      </c>
      <c r="E47" t="str">
        <f>IFERROR(IF(0=LEN(ReferenceData!$E$47),"",ReferenceData!$E$47),"")</f>
        <v>Dynamic</v>
      </c>
      <c r="F47" t="str">
        <f ca="1">IFERROR(IF(0=LEN(ReferenceData!$F$47),"",ReferenceData!$F$47),"")</f>
        <v/>
      </c>
      <c r="G47" t="str">
        <f ca="1">IFERROR(IF(0=LEN(ReferenceData!$G$47),"",ReferenceData!$G$47),"")</f>
        <v/>
      </c>
      <c r="H47">
        <f ca="1">IFERROR(IF(0=LEN(ReferenceData!$H$47),"",ReferenceData!$H$47),"")</f>
        <v>58</v>
      </c>
      <c r="I47" t="str">
        <f ca="1">IFERROR(IF(0=LEN(ReferenceData!$I$47),"",ReferenceData!$I$47),"")</f>
        <v/>
      </c>
      <c r="J47" t="str">
        <f ca="1">IFERROR(IF(0=LEN(ReferenceData!$J$47),"",ReferenceData!$J$47),"")</f>
        <v/>
      </c>
      <c r="K47" t="str">
        <f ca="1">IFERROR(IF(0=LEN(ReferenceData!$K$47),"",ReferenceData!$K$47),"")</f>
        <v/>
      </c>
      <c r="L47" t="str">
        <f ca="1">IFERROR(IF(0=LEN(ReferenceData!$L$47),"",ReferenceData!$L$47),"")</f>
        <v/>
      </c>
      <c r="M47" t="str">
        <f ca="1">IFERROR(IF(0=LEN(ReferenceData!$M$47),"",ReferenceData!$M$47),"")</f>
        <v/>
      </c>
      <c r="N47">
        <f ca="1">IFERROR(IF(0=LEN(ReferenceData!$N$47),"",ReferenceData!$N$47),"")</f>
        <v>156</v>
      </c>
      <c r="O47" t="str">
        <f ca="1">IFERROR(IF(0=LEN(ReferenceData!$O$47),"",ReferenceData!$O$47),"")</f>
        <v/>
      </c>
      <c r="P47" t="str">
        <f ca="1">IFERROR(IF(0=LEN(ReferenceData!$P$47),"",ReferenceData!$P$47),"")</f>
        <v/>
      </c>
      <c r="Q47" t="str">
        <f ca="1">IFERROR(IF(0=LEN(ReferenceData!$Q$47),"",ReferenceData!$Q$47),"")</f>
        <v/>
      </c>
      <c r="R47" t="str">
        <f ca="1">IFERROR(IF(0=LEN(ReferenceData!$R$47),"",ReferenceData!$R$47),"")</f>
        <v/>
      </c>
      <c r="S47" t="str">
        <f ca="1">IFERROR(IF(0=LEN(ReferenceData!$S$47),"",ReferenceData!$S$47),"")</f>
        <v/>
      </c>
      <c r="T47" t="str">
        <f ca="1">IFERROR(IF(0=LEN(ReferenceData!$T$47),"",ReferenceData!$T$47),"")</f>
        <v/>
      </c>
      <c r="U47" t="str">
        <f ca="1">IFERROR(IF(0=LEN(ReferenceData!$U$47),"",ReferenceData!$U$47),"")</f>
        <v/>
      </c>
      <c r="V47" t="str">
        <f ca="1">IFERROR(IF(0=LEN(ReferenceData!$V$47),"",ReferenceData!$V$47),"")</f>
        <v/>
      </c>
      <c r="W47" t="str">
        <f ca="1">IFERROR(IF(0=LEN(ReferenceData!$W$47),"",ReferenceData!$W$47),"")</f>
        <v/>
      </c>
      <c r="X47" t="str">
        <f ca="1">IFERROR(IF(0=LEN(ReferenceData!$X$47),"",ReferenceData!$X$47),"")</f>
        <v/>
      </c>
      <c r="Y47" t="str">
        <f ca="1">IFERROR(IF(0=LEN(ReferenceData!$Y$47),"",ReferenceData!$Y$47),"")</f>
        <v/>
      </c>
      <c r="Z47" t="str">
        <f ca="1">IFERROR(IF(0=LEN(ReferenceData!$Z$47),"",ReferenceData!$Z$47),"")</f>
        <v/>
      </c>
      <c r="AA47" t="str">
        <f ca="1">IFERROR(IF(0=LEN(ReferenceData!$AA$47),"",ReferenceData!$AA$47),"")</f>
        <v/>
      </c>
      <c r="AB47">
        <f ca="1">IFERROR(IF(0=LEN(ReferenceData!$AB$47),"",ReferenceData!$AB$47),"")</f>
        <v>494</v>
      </c>
      <c r="AC47" t="str">
        <f ca="1">IFERROR(IF(0=LEN(ReferenceData!$AC$47),"",ReferenceData!$AC$47),"")</f>
        <v/>
      </c>
      <c r="AD47" t="str">
        <f ca="1">IFERROR(IF(0=LEN(ReferenceData!$AD$47),"",ReferenceData!$AD$47),"")</f>
        <v/>
      </c>
      <c r="AE47" t="str">
        <f ca="1">IFERROR(IF(0=LEN(ReferenceData!$AE$47),"",ReferenceData!$AE$47),"")</f>
        <v/>
      </c>
      <c r="AF47">
        <f ca="1">IFERROR(IF(0=LEN(ReferenceData!$AF$47),"",ReferenceData!$AF$47),"")</f>
        <v>440</v>
      </c>
      <c r="AG47" t="str">
        <f ca="1">IFERROR(IF(0=LEN(ReferenceData!$AG$47),"",ReferenceData!$AG$47),"")</f>
        <v/>
      </c>
      <c r="AH47" t="str">
        <f ca="1">IFERROR(IF(0=LEN(ReferenceData!$AH$47),"",ReferenceData!$AH$47),"")</f>
        <v/>
      </c>
      <c r="AI47" t="str">
        <f ca="1">IFERROR(IF(0=LEN(ReferenceData!$AI$47),"",ReferenceData!$AI$47),"")</f>
        <v/>
      </c>
      <c r="AJ47" t="str">
        <f ca="1">IFERROR(IF(0=LEN(ReferenceData!$AJ$47),"",ReferenceData!$AJ$47),"")</f>
        <v/>
      </c>
      <c r="AK47" t="str">
        <f ca="1">IFERROR(IF(0=LEN(ReferenceData!$AK$47),"",ReferenceData!$AK$47),"")</f>
        <v/>
      </c>
      <c r="AL47" t="str">
        <f ca="1">IFERROR(IF(0=LEN(ReferenceData!$AL$47),"",ReferenceData!$AL$47),"")</f>
        <v/>
      </c>
      <c r="AM47" t="str">
        <f ca="1">IFERROR(IF(0=LEN(ReferenceData!$AM$47),"",ReferenceData!$AM$47),"")</f>
        <v/>
      </c>
      <c r="AN47" t="str">
        <f ca="1">IFERROR(IF(0=LEN(ReferenceData!$AN$47),"",ReferenceData!$AN$47),"")</f>
        <v/>
      </c>
      <c r="AO47" t="str">
        <f ca="1">IFERROR(IF(0=LEN(ReferenceData!$AO$47),"",ReferenceData!$AO$47),"")</f>
        <v/>
      </c>
      <c r="AP47" t="str">
        <f ca="1">IFERROR(IF(0=LEN(ReferenceData!$AP$47),"",ReferenceData!$AP$47),"")</f>
        <v/>
      </c>
      <c r="AQ47" t="str">
        <f ca="1">IFERROR(IF(0=LEN(ReferenceData!$AQ$47),"",ReferenceData!$AQ$47),"")</f>
        <v/>
      </c>
      <c r="AR47" t="str">
        <f ca="1">IFERROR(IF(0=LEN(ReferenceData!$AR$47),"",ReferenceData!$AR$47),"")</f>
        <v/>
      </c>
      <c r="AS47" t="str">
        <f ca="1">IFERROR(IF(0=LEN(ReferenceData!$AS$47),"",ReferenceData!$AS$47),"")</f>
        <v/>
      </c>
      <c r="AT47" t="str">
        <f ca="1">IFERROR(IF(0=LEN(ReferenceData!$AT$47),"",ReferenceData!$AT$47),"")</f>
        <v/>
      </c>
      <c r="AU47" t="str">
        <f ca="1">IFERROR(IF(0=LEN(ReferenceData!$AU$47),"",ReferenceData!$AU$47),"")</f>
        <v/>
      </c>
      <c r="AV47" t="str">
        <f ca="1">IFERROR(IF(0=LEN(ReferenceData!$AV$47),"",ReferenceData!$AV$47),"")</f>
        <v/>
      </c>
      <c r="AW47" t="str">
        <f ca="1">IFERROR(IF(0=LEN(ReferenceData!$AW$47),"",ReferenceData!$AW$47),"")</f>
        <v/>
      </c>
      <c r="AX47" t="str">
        <f ca="1">IFERROR(IF(0=LEN(ReferenceData!$AX$47),"",ReferenceData!$AX$47),"")</f>
        <v/>
      </c>
      <c r="AY47" t="str">
        <f ca="1">IFERROR(IF(0=LEN(ReferenceData!$AY$47),"",ReferenceData!$AY$47),"")</f>
        <v/>
      </c>
      <c r="AZ47" t="str">
        <f ca="1">IFERROR(IF(0=LEN(ReferenceData!$AZ$47),"",ReferenceData!$AZ$47),"")</f>
        <v/>
      </c>
      <c r="BA47" t="str">
        <f ca="1">IFERROR(IF(0=LEN(ReferenceData!$BA$47),"",ReferenceData!$BA$47),"")</f>
        <v/>
      </c>
      <c r="BB47" t="str">
        <f ca="1">IFERROR(IF(0=LEN(ReferenceData!$BB$47),"",ReferenceData!$BB$47),"")</f>
        <v/>
      </c>
      <c r="BC47" t="str">
        <f ca="1">IFERROR(IF(0=LEN(ReferenceData!$BC$47),"",ReferenceData!$BC$47),"")</f>
        <v/>
      </c>
      <c r="BD47" t="str">
        <f ca="1">IFERROR(IF(0=LEN(ReferenceData!$BD$47),"",ReferenceData!$BD$47),"")</f>
        <v/>
      </c>
      <c r="BE47" t="str">
        <f ca="1">IFERROR(IF(0=LEN(ReferenceData!$BE$47),"",ReferenceData!$BE$47),"")</f>
        <v/>
      </c>
      <c r="BF47" t="str">
        <f ca="1">IFERROR(IF(0=LEN(ReferenceData!$BF$47),"",ReferenceData!$BF$47),"")</f>
        <v/>
      </c>
      <c r="BG47" t="str">
        <f ca="1">IFERROR(IF(0=LEN(ReferenceData!$BG$47),"",ReferenceData!$BG$47),"")</f>
        <v/>
      </c>
      <c r="BH47" t="str">
        <f ca="1">IFERROR(IF(0=LEN(ReferenceData!$BH$47),"",ReferenceData!$BH$47),"")</f>
        <v/>
      </c>
      <c r="BI47" t="str">
        <f ca="1">IFERROR(IF(0=LEN(ReferenceData!$BI$47),"",ReferenceData!$BI$47),"")</f>
        <v/>
      </c>
      <c r="BJ47" t="str">
        <f ca="1">IFERROR(IF(0=LEN(ReferenceData!$BJ$47),"",ReferenceData!$BJ$47),"")</f>
        <v/>
      </c>
      <c r="BK47" t="str">
        <f ca="1">IFERROR(IF(0=LEN(ReferenceData!$BK$47),"",ReferenceData!$BK$47),"")</f>
        <v/>
      </c>
      <c r="BL47" t="str">
        <f ca="1">IFERROR(IF(0=LEN(ReferenceData!$BL$47),"",ReferenceData!$BL$47),"")</f>
        <v/>
      </c>
      <c r="BM47" t="str">
        <f ca="1">IFERROR(IF(0=LEN(ReferenceData!$BM$47),"",ReferenceData!$BM$47),"")</f>
        <v/>
      </c>
    </row>
    <row r="48" spans="1:65" x14ac:dyDescent="0.25">
      <c r="A48" t="str">
        <f>IFERROR(IF(0=LEN(ReferenceData!$A$48),"",ReferenceData!$A$48),"")</f>
        <v xml:space="preserve">    BNP Paribas SA</v>
      </c>
      <c r="B48" t="str">
        <f>IFERROR(IF(0=LEN(ReferenceData!$B$48),"",ReferenceData!$B$48),"")</f>
        <v>BNP FP Equity</v>
      </c>
      <c r="C48" t="str">
        <f>IFERROR(IF(0=LEN(ReferenceData!$C$48),"",ReferenceData!$C$48),"")</f>
        <v>BM109</v>
      </c>
      <c r="D48" t="str">
        <f>IFERROR(IF(0=LEN(ReferenceData!$D$48),"",ReferenceData!$D$48),"")</f>
        <v>BS_TRADING_SECURITIES_DERIVS</v>
      </c>
      <c r="E48" t="str">
        <f>IFERROR(IF(0=LEN(ReferenceData!$E$48),"",ReferenceData!$E$48),"")</f>
        <v>Dynamic</v>
      </c>
      <c r="F48">
        <f ca="1">IFERROR(IF(0=LEN(ReferenceData!$F$48),"",ReferenceData!$F$48),"")</f>
        <v>322631</v>
      </c>
      <c r="G48">
        <f ca="1">IFERROR(IF(0=LEN(ReferenceData!$G$48),"",ReferenceData!$G$48),"")</f>
        <v>282380</v>
      </c>
      <c r="H48">
        <f ca="1">IFERROR(IF(0=LEN(ReferenceData!$H$48),"",ReferenceData!$H$48),"")</f>
        <v>278668</v>
      </c>
      <c r="I48">
        <f ca="1">IFERROR(IF(0=LEN(ReferenceData!$I$48),"",ReferenceData!$I$48),"")</f>
        <v>282436</v>
      </c>
      <c r="J48">
        <f ca="1">IFERROR(IF(0=LEN(ReferenceData!$J$48),"",ReferenceData!$J$48),"")</f>
        <v>292079</v>
      </c>
      <c r="K48">
        <f ca="1">IFERROR(IF(0=LEN(ReferenceData!$K$48),"",ReferenceData!$K$48),"")</f>
        <v>332004</v>
      </c>
      <c r="L48">
        <f ca="1">IFERROR(IF(0=LEN(ReferenceData!$L$48),"",ReferenceData!$L$48),"")</f>
        <v>312894</v>
      </c>
      <c r="M48">
        <f ca="1">IFERROR(IF(0=LEN(ReferenceData!$M$48),"",ReferenceData!$M$48),"")</f>
        <v>278949</v>
      </c>
      <c r="N48">
        <f ca="1">IFERROR(IF(0=LEN(ReferenceData!$N$48),"",ReferenceData!$N$48),"")</f>
        <v>327932</v>
      </c>
      <c r="O48">
        <f ca="1">IFERROR(IF(0=LEN(ReferenceData!$O$48),"",ReferenceData!$O$48),"")</f>
        <v>458962</v>
      </c>
      <c r="P48">
        <f ca="1">IFERROR(IF(0=LEN(ReferenceData!$P$48),"",ReferenceData!$P$48),"")</f>
        <v>354070</v>
      </c>
      <c r="Q48">
        <f ca="1">IFERROR(IF(0=LEN(ReferenceData!$Q$48),"",ReferenceData!$Q$48),"")</f>
        <v>283413</v>
      </c>
      <c r="R48">
        <f ca="1">IFERROR(IF(0=LEN(ReferenceData!$R$48),"",ReferenceData!$R$48),"")</f>
        <v>240423</v>
      </c>
      <c r="S48">
        <f ca="1">IFERROR(IF(0=LEN(ReferenceData!$S$48),"",ReferenceData!$S$48),"")</f>
        <v>244187</v>
      </c>
      <c r="T48">
        <f ca="1">IFERROR(IF(0=LEN(ReferenceData!$T$48),"",ReferenceData!$T$48),"")</f>
        <v>237889</v>
      </c>
      <c r="U48">
        <f ca="1">IFERROR(IF(0=LEN(ReferenceData!$U$48),"",ReferenceData!$U$48),"")</f>
        <v>254337</v>
      </c>
      <c r="V48">
        <f ca="1">IFERROR(IF(0=LEN(ReferenceData!$V$48),"",ReferenceData!$V$48),"")</f>
        <v>276779</v>
      </c>
      <c r="W48">
        <f ca="1">IFERROR(IF(0=LEN(ReferenceData!$W$48),"",ReferenceData!$W$48),"")</f>
        <v>272013</v>
      </c>
      <c r="X48">
        <f ca="1">IFERROR(IF(0=LEN(ReferenceData!$X$48),"",ReferenceData!$X$48),"")</f>
        <v>292798</v>
      </c>
      <c r="Y48">
        <f ca="1">IFERROR(IF(0=LEN(ReferenceData!$Y$48),"",ReferenceData!$Y$48),"")</f>
        <v>369561</v>
      </c>
      <c r="Z48">
        <f ca="1">IFERROR(IF(0=LEN(ReferenceData!$Z$48),"",ReferenceData!$Z$48),"")</f>
        <v>247287</v>
      </c>
      <c r="AA48">
        <f ca="1">IFERROR(IF(0=LEN(ReferenceData!$AA$48),"",ReferenceData!$AA$48),"")</f>
        <v>297716</v>
      </c>
      <c r="AB48">
        <f ca="1">IFERROR(IF(0=LEN(ReferenceData!$AB$48),"",ReferenceData!$AB$48),"")</f>
        <v>256250</v>
      </c>
      <c r="AC48">
        <f ca="1">IFERROR(IF(0=LEN(ReferenceData!$AC$48),"",ReferenceData!$AC$48),"")</f>
        <v>237779</v>
      </c>
      <c r="AD48">
        <f ca="1">IFERROR(IF(0=LEN(ReferenceData!$AD$48),"",ReferenceData!$AD$48),"")</f>
        <v>232895</v>
      </c>
      <c r="AE48">
        <f ca="1">IFERROR(IF(0=LEN(ReferenceData!$AE$48),"",ReferenceData!$AE$48),"")</f>
        <v>241176</v>
      </c>
      <c r="AF48">
        <f ca="1">IFERROR(IF(0=LEN(ReferenceData!$AF$48),"",ReferenceData!$AF$48),"")</f>
        <v>240778</v>
      </c>
      <c r="AG48">
        <f ca="1">IFERROR(IF(0=LEN(ReferenceData!$AG$48),"",ReferenceData!$AG$48),"")</f>
        <v>226162</v>
      </c>
      <c r="AH48">
        <f ca="1">IFERROR(IF(0=LEN(ReferenceData!$AH$48),"",ReferenceData!$AH$48),"")</f>
        <v>229896</v>
      </c>
      <c r="AI48">
        <f ca="1">IFERROR(IF(0=LEN(ReferenceData!$AI$48),"",ReferenceData!$AI$48),"")</f>
        <v>241399</v>
      </c>
      <c r="AJ48">
        <f ca="1">IFERROR(IF(0=LEN(ReferenceData!$AJ$48),"",ReferenceData!$AJ$48),"")</f>
        <v>253559</v>
      </c>
      <c r="AK48">
        <f ca="1">IFERROR(IF(0=LEN(ReferenceData!$AK$48),"",ReferenceData!$AK$48),"")</f>
        <v>272369</v>
      </c>
      <c r="AL48">
        <f ca="1">IFERROR(IF(0=LEN(ReferenceData!$AL$48),"",ReferenceData!$AL$48),"")</f>
        <v>328162</v>
      </c>
      <c r="AM48">
        <f ca="1">IFERROR(IF(0=LEN(ReferenceData!$AM$48),"",ReferenceData!$AM$48),"")</f>
        <v>334356</v>
      </c>
      <c r="AN48">
        <f ca="1">IFERROR(IF(0=LEN(ReferenceData!$AN$48),"",ReferenceData!$AN$48),"")</f>
        <v>383444</v>
      </c>
      <c r="AO48">
        <f ca="1">IFERROR(IF(0=LEN(ReferenceData!$AO$48),"",ReferenceData!$AO$48),"")</f>
        <v>363226</v>
      </c>
      <c r="AP48">
        <f ca="1">IFERROR(IF(0=LEN(ReferenceData!$AP$48),"",ReferenceData!$AP$48),"")</f>
        <v>336624</v>
      </c>
      <c r="AQ48" t="str">
        <f ca="1">IFERROR(IF(0=LEN(ReferenceData!$AQ$48),"",ReferenceData!$AQ$48),"")</f>
        <v/>
      </c>
      <c r="AR48">
        <f ca="1">IFERROR(IF(0=LEN(ReferenceData!$AR$48),"",ReferenceData!$AR$48),"")</f>
        <v>359092</v>
      </c>
      <c r="AS48" t="str">
        <f ca="1">IFERROR(IF(0=LEN(ReferenceData!$AS$48),"",ReferenceData!$AS$48),"")</f>
        <v/>
      </c>
      <c r="AT48">
        <f ca="1">IFERROR(IF(0=LEN(ReferenceData!$AT$48),"",ReferenceData!$AT$48),"")</f>
        <v>412498</v>
      </c>
      <c r="AU48" t="str">
        <f ca="1">IFERROR(IF(0=LEN(ReferenceData!$AU$48),"",ReferenceData!$AU$48),"")</f>
        <v/>
      </c>
      <c r="AV48">
        <f ca="1">IFERROR(IF(0=LEN(ReferenceData!$AV$48),"",ReferenceData!$AV$48),"")</f>
        <v>303388</v>
      </c>
      <c r="AW48" t="str">
        <f ca="1">IFERROR(IF(0=LEN(ReferenceData!$AW$48),"",ReferenceData!$AW$48),"")</f>
        <v/>
      </c>
      <c r="AX48">
        <f ca="1">IFERROR(IF(0=LEN(ReferenceData!$AX$48),"",ReferenceData!$AX$48),"")</f>
        <v>305643</v>
      </c>
      <c r="AY48" t="str">
        <f ca="1">IFERROR(IF(0=LEN(ReferenceData!$AY$48),"",ReferenceData!$AY$48),"")</f>
        <v/>
      </c>
      <c r="AZ48" t="str">
        <f ca="1">IFERROR(IF(0=LEN(ReferenceData!$AZ$48),"",ReferenceData!$AZ$48),"")</f>
        <v/>
      </c>
      <c r="BA48" t="str">
        <f ca="1">IFERROR(IF(0=LEN(ReferenceData!$BA$48),"",ReferenceData!$BA$48),"")</f>
        <v/>
      </c>
      <c r="BB48">
        <f ca="1">IFERROR(IF(0=LEN(ReferenceData!$BB$48),"",ReferenceData!$BB$48),"")</f>
        <v>410635</v>
      </c>
      <c r="BC48" t="str">
        <f ca="1">IFERROR(IF(0=LEN(ReferenceData!$BC$48),"",ReferenceData!$BC$48),"")</f>
        <v/>
      </c>
      <c r="BD48" t="str">
        <f ca="1">IFERROR(IF(0=LEN(ReferenceData!$BD$48),"",ReferenceData!$BD$48),"")</f>
        <v/>
      </c>
      <c r="BE48" t="str">
        <f ca="1">IFERROR(IF(0=LEN(ReferenceData!$BE$48),"",ReferenceData!$BE$48),"")</f>
        <v/>
      </c>
      <c r="BF48">
        <f ca="1">IFERROR(IF(0=LEN(ReferenceData!$BF$48),"",ReferenceData!$BF$48),"")</f>
        <v>451967</v>
      </c>
      <c r="BG48" t="str">
        <f ca="1">IFERROR(IF(0=LEN(ReferenceData!$BG$48),"",ReferenceData!$BG$48),"")</f>
        <v/>
      </c>
      <c r="BH48" t="str">
        <f ca="1">IFERROR(IF(0=LEN(ReferenceData!$BH$48),"",ReferenceData!$BH$48),"")</f>
        <v/>
      </c>
      <c r="BI48" t="str">
        <f ca="1">IFERROR(IF(0=LEN(ReferenceData!$BI$48),"",ReferenceData!$BI$48),"")</f>
        <v/>
      </c>
      <c r="BJ48">
        <f ca="1">IFERROR(IF(0=LEN(ReferenceData!$BJ$48),"",ReferenceData!$BJ$48),"")</f>
        <v>347783</v>
      </c>
      <c r="BK48" t="str">
        <f ca="1">IFERROR(IF(0=LEN(ReferenceData!$BK$48),"",ReferenceData!$BK$48),"")</f>
        <v/>
      </c>
      <c r="BL48" t="str">
        <f ca="1">IFERROR(IF(0=LEN(ReferenceData!$BL$48),"",ReferenceData!$BL$48),"")</f>
        <v/>
      </c>
      <c r="BM48" t="str">
        <f ca="1">IFERROR(IF(0=LEN(ReferenceData!$BM$48),"",ReferenceData!$BM$48),"")</f>
        <v/>
      </c>
    </row>
    <row r="49" spans="1:65" x14ac:dyDescent="0.25">
      <c r="A49" t="str">
        <f>IFERROR(IF(0=LEN(ReferenceData!$A$49),"",ReferenceData!$A$49),"")</f>
        <v xml:space="preserve">    Banco BPM SpA</v>
      </c>
      <c r="B49" t="str">
        <f>IFERROR(IF(0=LEN(ReferenceData!$B$49),"",ReferenceData!$B$49),"")</f>
        <v>BAMI IM Equity</v>
      </c>
      <c r="C49" t="str">
        <f>IFERROR(IF(0=LEN(ReferenceData!$C$49),"",ReferenceData!$C$49),"")</f>
        <v>BM109</v>
      </c>
      <c r="D49" t="str">
        <f>IFERROR(IF(0=LEN(ReferenceData!$D$49),"",ReferenceData!$D$49),"")</f>
        <v>BS_TRADING_SECURITIES_DERIVS</v>
      </c>
      <c r="E49" t="str">
        <f>IFERROR(IF(0=LEN(ReferenceData!$E$49),"",ReferenceData!$E$49),"")</f>
        <v>Dynamic</v>
      </c>
      <c r="F49" t="str">
        <f ca="1">IFERROR(IF(0=LEN(ReferenceData!$F$49),"",ReferenceData!$F$49),"")</f>
        <v/>
      </c>
      <c r="G49" t="str">
        <f ca="1">IFERROR(IF(0=LEN(ReferenceData!$G$49),"",ReferenceData!$G$49),"")</f>
        <v/>
      </c>
      <c r="H49">
        <f ca="1">IFERROR(IF(0=LEN(ReferenceData!$H$49),"",ReferenceData!$H$49),"")</f>
        <v>1839.6369999999999</v>
      </c>
      <c r="I49" t="str">
        <f ca="1">IFERROR(IF(0=LEN(ReferenceData!$I$49),"",ReferenceData!$I$49),"")</f>
        <v/>
      </c>
      <c r="J49">
        <f ca="1">IFERROR(IF(0=LEN(ReferenceData!$J$49),"",ReferenceData!$J$49),"")</f>
        <v>1892.8140000000001</v>
      </c>
      <c r="K49" t="str">
        <f ca="1">IFERROR(IF(0=LEN(ReferenceData!$K$49),"",ReferenceData!$K$49),"")</f>
        <v/>
      </c>
      <c r="L49">
        <f ca="1">IFERROR(IF(0=LEN(ReferenceData!$L$49),"",ReferenceData!$L$49),"")</f>
        <v>2307.7109999999998</v>
      </c>
      <c r="M49" t="str">
        <f ca="1">IFERROR(IF(0=LEN(ReferenceData!$M$49),"",ReferenceData!$M$49),"")</f>
        <v/>
      </c>
      <c r="N49">
        <f ca="1">IFERROR(IF(0=LEN(ReferenceData!$N$49),"",ReferenceData!$N$49),"")</f>
        <v>2724.0030000000002</v>
      </c>
      <c r="O49" t="str">
        <f ca="1">IFERROR(IF(0=LEN(ReferenceData!$O$49),"",ReferenceData!$O$49),"")</f>
        <v/>
      </c>
      <c r="P49">
        <f ca="1">IFERROR(IF(0=LEN(ReferenceData!$P$49),"",ReferenceData!$P$49),"")</f>
        <v>3587.4070000000002</v>
      </c>
      <c r="Q49" t="str">
        <f ca="1">IFERROR(IF(0=LEN(ReferenceData!$Q$49),"",ReferenceData!$Q$49),"")</f>
        <v/>
      </c>
      <c r="R49">
        <f ca="1">IFERROR(IF(0=LEN(ReferenceData!$R$49),"",ReferenceData!$R$49),"")</f>
        <v>1995.454</v>
      </c>
      <c r="S49" t="str">
        <f ca="1">IFERROR(IF(0=LEN(ReferenceData!$S$49),"",ReferenceData!$S$49),"")</f>
        <v/>
      </c>
      <c r="T49">
        <f ca="1">IFERROR(IF(0=LEN(ReferenceData!$T$49),"",ReferenceData!$T$49),"")</f>
        <v>1798.627</v>
      </c>
      <c r="U49" t="str">
        <f ca="1">IFERROR(IF(0=LEN(ReferenceData!$U$49),"",ReferenceData!$U$49),"")</f>
        <v/>
      </c>
      <c r="V49">
        <f ca="1">IFERROR(IF(0=LEN(ReferenceData!$V$49),"",ReferenceData!$V$49),"")</f>
        <v>2586.585</v>
      </c>
      <c r="W49" t="str">
        <f ca="1">IFERROR(IF(0=LEN(ReferenceData!$W$49),"",ReferenceData!$W$49),"")</f>
        <v/>
      </c>
      <c r="X49">
        <f ca="1">IFERROR(IF(0=LEN(ReferenceData!$X$49),"",ReferenceData!$X$49),"")</f>
        <v>1920.779</v>
      </c>
      <c r="Y49" t="str">
        <f ca="1">IFERROR(IF(0=LEN(ReferenceData!$Y$49),"",ReferenceData!$Y$49),"")</f>
        <v/>
      </c>
      <c r="Z49">
        <f ca="1">IFERROR(IF(0=LEN(ReferenceData!$Z$49),"",ReferenceData!$Z$49),"")</f>
        <v>1959.7090000000001</v>
      </c>
      <c r="AA49" t="str">
        <f ca="1">IFERROR(IF(0=LEN(ReferenceData!$AA$49),"",ReferenceData!$AA$49),"")</f>
        <v/>
      </c>
      <c r="AB49">
        <f ca="1">IFERROR(IF(0=LEN(ReferenceData!$AB$49),"",ReferenceData!$AB$49),"")</f>
        <v>1797.91</v>
      </c>
      <c r="AC49" t="str">
        <f ca="1">IFERROR(IF(0=LEN(ReferenceData!$AC$49),"",ReferenceData!$AC$49),"")</f>
        <v/>
      </c>
      <c r="AD49">
        <f ca="1">IFERROR(IF(0=LEN(ReferenceData!$AD$49),"",ReferenceData!$AD$49),"")</f>
        <v>1738.2819999999999</v>
      </c>
      <c r="AE49" t="str">
        <f ca="1">IFERROR(IF(0=LEN(ReferenceData!$AE$49),"",ReferenceData!$AE$49),"")</f>
        <v/>
      </c>
      <c r="AF49">
        <f ca="1">IFERROR(IF(0=LEN(ReferenceData!$AF$49),"",ReferenceData!$AF$49),"")</f>
        <v>2067.1219999999998</v>
      </c>
      <c r="AG49" t="str">
        <f ca="1">IFERROR(IF(0=LEN(ReferenceData!$AG$49),"",ReferenceData!$AG$49),"")</f>
        <v/>
      </c>
      <c r="AH49">
        <f ca="1">IFERROR(IF(0=LEN(ReferenceData!$AH$49),"",ReferenceData!$AH$49),"")</f>
        <v>1905.248</v>
      </c>
      <c r="AI49" t="str">
        <f ca="1">IFERROR(IF(0=LEN(ReferenceData!$AI$49),"",ReferenceData!$AI$49),"")</f>
        <v/>
      </c>
      <c r="AJ49" t="str">
        <f ca="1">IFERROR(IF(0=LEN(ReferenceData!$AJ$49),"",ReferenceData!$AJ$49),"")</f>
        <v/>
      </c>
      <c r="AK49" t="str">
        <f ca="1">IFERROR(IF(0=LEN(ReferenceData!$AK$49),"",ReferenceData!$AK$49),"")</f>
        <v/>
      </c>
      <c r="AL49">
        <f ca="1">IFERROR(IF(0=LEN(ReferenceData!$AL$49),"",ReferenceData!$AL$49),"")</f>
        <v>1578.883</v>
      </c>
      <c r="AM49" t="str">
        <f ca="1">IFERROR(IF(0=LEN(ReferenceData!$AM$49),"",ReferenceData!$AM$49),"")</f>
        <v/>
      </c>
      <c r="AN49" t="str">
        <f ca="1">IFERROR(IF(0=LEN(ReferenceData!$AN$49),"",ReferenceData!$AN$49),"")</f>
        <v/>
      </c>
      <c r="AO49" t="str">
        <f ca="1">IFERROR(IF(0=LEN(ReferenceData!$AO$49),"",ReferenceData!$AO$49),"")</f>
        <v/>
      </c>
      <c r="AP49">
        <f ca="1">IFERROR(IF(0=LEN(ReferenceData!$AP$49),"",ReferenceData!$AP$49),"")</f>
        <v>2345.6469999999999</v>
      </c>
      <c r="AQ49" t="str">
        <f ca="1">IFERROR(IF(0=LEN(ReferenceData!$AQ$49),"",ReferenceData!$AQ$49),"")</f>
        <v/>
      </c>
      <c r="AR49" t="str">
        <f ca="1">IFERROR(IF(0=LEN(ReferenceData!$AR$49),"",ReferenceData!$AR$49),"")</f>
        <v/>
      </c>
      <c r="AS49" t="str">
        <f ca="1">IFERROR(IF(0=LEN(ReferenceData!$AS$49),"",ReferenceData!$AS$49),"")</f>
        <v/>
      </c>
      <c r="AT49">
        <f ca="1">IFERROR(IF(0=LEN(ReferenceData!$AT$49),"",ReferenceData!$AT$49),"")</f>
        <v>2983.0239999999999</v>
      </c>
      <c r="AU49" t="str">
        <f ca="1">IFERROR(IF(0=LEN(ReferenceData!$AU$49),"",ReferenceData!$AU$49),"")</f>
        <v/>
      </c>
      <c r="AV49" t="str">
        <f ca="1">IFERROR(IF(0=LEN(ReferenceData!$AV$49),"",ReferenceData!$AV$49),"")</f>
        <v/>
      </c>
      <c r="AW49" t="str">
        <f ca="1">IFERROR(IF(0=LEN(ReferenceData!$AW$49),"",ReferenceData!$AW$49),"")</f>
        <v/>
      </c>
      <c r="AX49">
        <f ca="1">IFERROR(IF(0=LEN(ReferenceData!$AX$49),"",ReferenceData!$AX$49),"")</f>
        <v>3267.0729999999999</v>
      </c>
      <c r="AY49" t="str">
        <f ca="1">IFERROR(IF(0=LEN(ReferenceData!$AY$49),"",ReferenceData!$AY$49),"")</f>
        <v/>
      </c>
      <c r="AZ49" t="str">
        <f ca="1">IFERROR(IF(0=LEN(ReferenceData!$AZ$49),"",ReferenceData!$AZ$49),"")</f>
        <v/>
      </c>
      <c r="BA49" t="str">
        <f ca="1">IFERROR(IF(0=LEN(ReferenceData!$BA$49),"",ReferenceData!$BA$49),"")</f>
        <v/>
      </c>
      <c r="BB49" t="str">
        <f ca="1">IFERROR(IF(0=LEN(ReferenceData!$BB$49),"",ReferenceData!$BB$49),"")</f>
        <v/>
      </c>
      <c r="BC49" t="str">
        <f ca="1">IFERROR(IF(0=LEN(ReferenceData!$BC$49),"",ReferenceData!$BC$49),"")</f>
        <v/>
      </c>
      <c r="BD49" t="str">
        <f ca="1">IFERROR(IF(0=LEN(ReferenceData!$BD$49),"",ReferenceData!$BD$49),"")</f>
        <v/>
      </c>
      <c r="BE49" t="str">
        <f ca="1">IFERROR(IF(0=LEN(ReferenceData!$BE$49),"",ReferenceData!$BE$49),"")</f>
        <v/>
      </c>
      <c r="BF49" t="str">
        <f ca="1">IFERROR(IF(0=LEN(ReferenceData!$BF$49),"",ReferenceData!$BF$49),"")</f>
        <v/>
      </c>
      <c r="BG49" t="str">
        <f ca="1">IFERROR(IF(0=LEN(ReferenceData!$BG$49),"",ReferenceData!$BG$49),"")</f>
        <v/>
      </c>
      <c r="BH49" t="str">
        <f ca="1">IFERROR(IF(0=LEN(ReferenceData!$BH$49),"",ReferenceData!$BH$49),"")</f>
        <v/>
      </c>
      <c r="BI49" t="str">
        <f ca="1">IFERROR(IF(0=LEN(ReferenceData!$BI$49),"",ReferenceData!$BI$49),"")</f>
        <v/>
      </c>
      <c r="BJ49" t="str">
        <f ca="1">IFERROR(IF(0=LEN(ReferenceData!$BJ$49),"",ReferenceData!$BJ$49),"")</f>
        <v/>
      </c>
      <c r="BK49" t="str">
        <f ca="1">IFERROR(IF(0=LEN(ReferenceData!$BK$49),"",ReferenceData!$BK$49),"")</f>
        <v/>
      </c>
      <c r="BL49" t="str">
        <f ca="1">IFERROR(IF(0=LEN(ReferenceData!$BL$49),"",ReferenceData!$BL$49),"")</f>
        <v/>
      </c>
      <c r="BM49" t="str">
        <f ca="1">IFERROR(IF(0=LEN(ReferenceData!$BM$49),"",ReferenceData!$BM$49),"")</f>
        <v/>
      </c>
    </row>
    <row r="50" spans="1:65" x14ac:dyDescent="0.25">
      <c r="A50" t="str">
        <f>IFERROR(IF(0=LEN(ReferenceData!$A$50),"",ReferenceData!$A$50),"")</f>
        <v xml:space="preserve">    Banco Bilbao Vizcaya Argentaria SA</v>
      </c>
      <c r="B50" t="str">
        <f>IFERROR(IF(0=LEN(ReferenceData!$B$50),"",ReferenceData!$B$50),"")</f>
        <v>BBVA SM Equity</v>
      </c>
      <c r="C50" t="str">
        <f>IFERROR(IF(0=LEN(ReferenceData!$C$50),"",ReferenceData!$C$50),"")</f>
        <v>BM109</v>
      </c>
      <c r="D50" t="str">
        <f>IFERROR(IF(0=LEN(ReferenceData!$D$50),"",ReferenceData!$D$50),"")</f>
        <v>BS_TRADING_SECURITIES_DERIVS</v>
      </c>
      <c r="E50" t="str">
        <f>IFERROR(IF(0=LEN(ReferenceData!$E$50),"",ReferenceData!$E$50),"")</f>
        <v>Dynamic</v>
      </c>
      <c r="F50">
        <f ca="1">IFERROR(IF(0=LEN(ReferenceData!$F$50),"",ReferenceData!$F$50),"")</f>
        <v>36003</v>
      </c>
      <c r="G50" t="str">
        <f ca="1">IFERROR(IF(0=LEN(ReferenceData!$G$50),"",ReferenceData!$G$50),"")</f>
        <v/>
      </c>
      <c r="H50">
        <f ca="1">IFERROR(IF(0=LEN(ReferenceData!$H$50),"",ReferenceData!$H$50),"")</f>
        <v>33183</v>
      </c>
      <c r="I50" t="str">
        <f ca="1">IFERROR(IF(0=LEN(ReferenceData!$I$50),"",ReferenceData!$I$50),"")</f>
        <v/>
      </c>
      <c r="J50">
        <f ca="1">IFERROR(IF(0=LEN(ReferenceData!$J$50),"",ReferenceData!$J$50),"")</f>
        <v>34293</v>
      </c>
      <c r="K50" t="str">
        <f ca="1">IFERROR(IF(0=LEN(ReferenceData!$K$50),"",ReferenceData!$K$50),"")</f>
        <v/>
      </c>
      <c r="L50">
        <f ca="1">IFERROR(IF(0=LEN(ReferenceData!$L$50),"",ReferenceData!$L$50),"")</f>
        <v>39346</v>
      </c>
      <c r="M50" t="str">
        <f ca="1">IFERROR(IF(0=LEN(ReferenceData!$M$50),"",ReferenceData!$M$50),"")</f>
        <v/>
      </c>
      <c r="N50">
        <f ca="1">IFERROR(IF(0=LEN(ReferenceData!$N$50),"",ReferenceData!$N$50),"")</f>
        <v>39908</v>
      </c>
      <c r="O50" t="str">
        <f ca="1">IFERROR(IF(0=LEN(ReferenceData!$O$50),"",ReferenceData!$O$50),"")</f>
        <v/>
      </c>
      <c r="P50" t="str">
        <f ca="1">IFERROR(IF(0=LEN(ReferenceData!$P$50),"",ReferenceData!$P$50),"")</f>
        <v/>
      </c>
      <c r="Q50" t="str">
        <f ca="1">IFERROR(IF(0=LEN(ReferenceData!$Q$50),"",ReferenceData!$Q$50),"")</f>
        <v/>
      </c>
      <c r="R50">
        <f ca="1">IFERROR(IF(0=LEN(ReferenceData!$R$50),"",ReferenceData!$R$50),"")</f>
        <v>30933</v>
      </c>
      <c r="S50" t="str">
        <f ca="1">IFERROR(IF(0=LEN(ReferenceData!$S$50),"",ReferenceData!$S$50),"")</f>
        <v/>
      </c>
      <c r="T50" t="str">
        <f ca="1">IFERROR(IF(0=LEN(ReferenceData!$T$50),"",ReferenceData!$T$50),"")</f>
        <v/>
      </c>
      <c r="U50" t="str">
        <f ca="1">IFERROR(IF(0=LEN(ReferenceData!$U$50),"",ReferenceData!$U$50),"")</f>
        <v/>
      </c>
      <c r="V50">
        <f ca="1">IFERROR(IF(0=LEN(ReferenceData!$V$50),"",ReferenceData!$V$50),"")</f>
        <v>40182</v>
      </c>
      <c r="W50" t="str">
        <f ca="1">IFERROR(IF(0=LEN(ReferenceData!$W$50),"",ReferenceData!$W$50),"")</f>
        <v/>
      </c>
      <c r="X50" t="str">
        <f ca="1">IFERROR(IF(0=LEN(ReferenceData!$X$50),"",ReferenceData!$X$50),"")</f>
        <v/>
      </c>
      <c r="Y50" t="str">
        <f ca="1">IFERROR(IF(0=LEN(ReferenceData!$Y$50),"",ReferenceData!$Y$50),"")</f>
        <v/>
      </c>
      <c r="Z50">
        <f ca="1">IFERROR(IF(0=LEN(ReferenceData!$Z$50),"",ReferenceData!$Z$50),"")</f>
        <v>32232</v>
      </c>
      <c r="AA50" t="str">
        <f ca="1">IFERROR(IF(0=LEN(ReferenceData!$AA$50),"",ReferenceData!$AA$50),"")</f>
        <v/>
      </c>
      <c r="AB50" t="str">
        <f ca="1">IFERROR(IF(0=LEN(ReferenceData!$AB$50),"",ReferenceData!$AB$50),"")</f>
        <v/>
      </c>
      <c r="AC50" t="str">
        <f ca="1">IFERROR(IF(0=LEN(ReferenceData!$AC$50),"",ReferenceData!$AC$50),"")</f>
        <v/>
      </c>
      <c r="AD50">
        <f ca="1">IFERROR(IF(0=LEN(ReferenceData!$AD$50),"",ReferenceData!$AD$50),"")</f>
        <v>30536</v>
      </c>
      <c r="AE50" t="str">
        <f ca="1">IFERROR(IF(0=LEN(ReferenceData!$AE$50),"",ReferenceData!$AE$50),"")</f>
        <v/>
      </c>
      <c r="AF50" t="str">
        <f ca="1">IFERROR(IF(0=LEN(ReferenceData!$AF$50),"",ReferenceData!$AF$50),"")</f>
        <v/>
      </c>
      <c r="AG50" t="str">
        <f ca="1">IFERROR(IF(0=LEN(ReferenceData!$AG$50),"",ReferenceData!$AG$50),"")</f>
        <v/>
      </c>
      <c r="AH50">
        <f ca="1">IFERROR(IF(0=LEN(ReferenceData!$AH$50),"",ReferenceData!$AH$50),"")</f>
        <v>35265</v>
      </c>
      <c r="AI50" t="str">
        <f ca="1">IFERROR(IF(0=LEN(ReferenceData!$AI$50),"",ReferenceData!$AI$50),"")</f>
        <v/>
      </c>
      <c r="AJ50" t="str">
        <f ca="1">IFERROR(IF(0=LEN(ReferenceData!$AJ$50),"",ReferenceData!$AJ$50),"")</f>
        <v/>
      </c>
      <c r="AK50" t="str">
        <f ca="1">IFERROR(IF(0=LEN(ReferenceData!$AK$50),"",ReferenceData!$AK$50),"")</f>
        <v/>
      </c>
      <c r="AL50">
        <f ca="1">IFERROR(IF(0=LEN(ReferenceData!$AL$50),"",ReferenceData!$AL$50),"")</f>
        <v>42955</v>
      </c>
      <c r="AM50" t="str">
        <f ca="1">IFERROR(IF(0=LEN(ReferenceData!$AM$50),"",ReferenceData!$AM$50),"")</f>
        <v/>
      </c>
      <c r="AN50" t="str">
        <f ca="1">IFERROR(IF(0=LEN(ReferenceData!$AN$50),"",ReferenceData!$AN$50),"")</f>
        <v/>
      </c>
      <c r="AO50" t="str">
        <f ca="1">IFERROR(IF(0=LEN(ReferenceData!$AO$50),"",ReferenceData!$AO$50),"")</f>
        <v/>
      </c>
      <c r="AP50">
        <f ca="1">IFERROR(IF(0=LEN(ReferenceData!$AP$50),"",ReferenceData!$AP$50),"")</f>
        <v>40902</v>
      </c>
      <c r="AQ50" t="str">
        <f ca="1">IFERROR(IF(0=LEN(ReferenceData!$AQ$50),"",ReferenceData!$AQ$50),"")</f>
        <v/>
      </c>
      <c r="AR50" t="str">
        <f ca="1">IFERROR(IF(0=LEN(ReferenceData!$AR$50),"",ReferenceData!$AR$50),"")</f>
        <v/>
      </c>
      <c r="AS50" t="str">
        <f ca="1">IFERROR(IF(0=LEN(ReferenceData!$AS$50),"",ReferenceData!$AS$50),"")</f>
        <v/>
      </c>
      <c r="AT50">
        <f ca="1">IFERROR(IF(0=LEN(ReferenceData!$AT$50),"",ReferenceData!$AT$50),"")</f>
        <v>44229</v>
      </c>
      <c r="AU50" t="str">
        <f ca="1">IFERROR(IF(0=LEN(ReferenceData!$AU$50),"",ReferenceData!$AU$50),"")</f>
        <v/>
      </c>
      <c r="AV50" t="str">
        <f ca="1">IFERROR(IF(0=LEN(ReferenceData!$AV$50),"",ReferenceData!$AV$50),"")</f>
        <v/>
      </c>
      <c r="AW50" t="str">
        <f ca="1">IFERROR(IF(0=LEN(ReferenceData!$AW$50),"",ReferenceData!$AW$50),"")</f>
        <v/>
      </c>
      <c r="AX50">
        <f ca="1">IFERROR(IF(0=LEN(ReferenceData!$AX$50),"",ReferenceData!$AX$50),"")</f>
        <v>37638</v>
      </c>
      <c r="AY50" t="str">
        <f ca="1">IFERROR(IF(0=LEN(ReferenceData!$AY$50),"",ReferenceData!$AY$50),"")</f>
        <v/>
      </c>
      <c r="AZ50" t="str">
        <f ca="1">IFERROR(IF(0=LEN(ReferenceData!$AZ$50),"",ReferenceData!$AZ$50),"")</f>
        <v/>
      </c>
      <c r="BA50" t="str">
        <f ca="1">IFERROR(IF(0=LEN(ReferenceData!$BA$50),"",ReferenceData!$BA$50),"")</f>
        <v/>
      </c>
      <c r="BB50">
        <f ca="1">IFERROR(IF(0=LEN(ReferenceData!$BB$50),"",ReferenceData!$BB$50),"")</f>
        <v>48650</v>
      </c>
      <c r="BC50" t="str">
        <f ca="1">IFERROR(IF(0=LEN(ReferenceData!$BC$50),"",ReferenceData!$BC$50),"")</f>
        <v/>
      </c>
      <c r="BD50" t="str">
        <f ca="1">IFERROR(IF(0=LEN(ReferenceData!$BD$50),"",ReferenceData!$BD$50),"")</f>
        <v/>
      </c>
      <c r="BE50" t="str">
        <f ca="1">IFERROR(IF(0=LEN(ReferenceData!$BE$50),"",ReferenceData!$BE$50),"")</f>
        <v/>
      </c>
      <c r="BF50">
        <f ca="1">IFERROR(IF(0=LEN(ReferenceData!$BF$50),"",ReferenceData!$BF$50),"")</f>
        <v>47429</v>
      </c>
      <c r="BG50" t="str">
        <f ca="1">IFERROR(IF(0=LEN(ReferenceData!$BG$50),"",ReferenceData!$BG$50),"")</f>
        <v/>
      </c>
      <c r="BH50" t="str">
        <f ca="1">IFERROR(IF(0=LEN(ReferenceData!$BH$50),"",ReferenceData!$BH$50),"")</f>
        <v/>
      </c>
      <c r="BI50" t="str">
        <f ca="1">IFERROR(IF(0=LEN(ReferenceData!$BI$50),"",ReferenceData!$BI$50),"")</f>
        <v/>
      </c>
      <c r="BJ50">
        <f ca="1">IFERROR(IF(0=LEN(ReferenceData!$BJ$50),"",ReferenceData!$BJ$50),"")</f>
        <v>33665</v>
      </c>
      <c r="BK50" t="str">
        <f ca="1">IFERROR(IF(0=LEN(ReferenceData!$BK$50),"",ReferenceData!$BK$50),"")</f>
        <v/>
      </c>
      <c r="BL50" t="str">
        <f ca="1">IFERROR(IF(0=LEN(ReferenceData!$BL$50),"",ReferenceData!$BL$50),"")</f>
        <v/>
      </c>
      <c r="BM50" t="str">
        <f ca="1">IFERROR(IF(0=LEN(ReferenceData!$BM$50),"",ReferenceData!$BM$50),"")</f>
        <v/>
      </c>
    </row>
    <row r="51" spans="1:65" x14ac:dyDescent="0.25">
      <c r="A51" t="str">
        <f>IFERROR(IF(0=LEN(ReferenceData!$A$51),"",ReferenceData!$A$51),"")</f>
        <v xml:space="preserve">    Bank of Ireland Group PLC</v>
      </c>
      <c r="B51" t="str">
        <f>IFERROR(IF(0=LEN(ReferenceData!$B$51),"",ReferenceData!$B$51),"")</f>
        <v>BIRG ID Equity</v>
      </c>
      <c r="C51" t="str">
        <f>IFERROR(IF(0=LEN(ReferenceData!$C$51),"",ReferenceData!$C$51),"")</f>
        <v>BM109</v>
      </c>
      <c r="D51" t="str">
        <f>IFERROR(IF(0=LEN(ReferenceData!$D$51),"",ReferenceData!$D$51),"")</f>
        <v>BS_TRADING_SECURITIES_DERIVS</v>
      </c>
      <c r="E51" t="str">
        <f>IFERROR(IF(0=LEN(ReferenceData!$E$51),"",ReferenceData!$E$51),"")</f>
        <v>Dynamic</v>
      </c>
      <c r="F51" t="str">
        <f ca="1">IFERROR(IF(0=LEN(ReferenceData!$F$51),"",ReferenceData!$F$51),"")</f>
        <v/>
      </c>
      <c r="G51" t="str">
        <f ca="1">IFERROR(IF(0=LEN(ReferenceData!$G$51),"",ReferenceData!$G$51),"")</f>
        <v/>
      </c>
      <c r="H51" t="str">
        <f ca="1">IFERROR(IF(0=LEN(ReferenceData!$H$51),"",ReferenceData!$H$51),"")</f>
        <v/>
      </c>
      <c r="I51" t="str">
        <f ca="1">IFERROR(IF(0=LEN(ReferenceData!$I$51),"",ReferenceData!$I$51),"")</f>
        <v/>
      </c>
      <c r="J51" t="str">
        <f ca="1">IFERROR(IF(0=LEN(ReferenceData!$J$51),"",ReferenceData!$J$51),"")</f>
        <v/>
      </c>
      <c r="K51" t="str">
        <f ca="1">IFERROR(IF(0=LEN(ReferenceData!$K$51),"",ReferenceData!$K$51),"")</f>
        <v/>
      </c>
      <c r="L51" t="str">
        <f ca="1">IFERROR(IF(0=LEN(ReferenceData!$L$51),"",ReferenceData!$L$51),"")</f>
        <v/>
      </c>
      <c r="M51" t="str">
        <f ca="1">IFERROR(IF(0=LEN(ReferenceData!$M$51),"",ReferenceData!$M$51),"")</f>
        <v/>
      </c>
      <c r="N51" t="str">
        <f ca="1">IFERROR(IF(0=LEN(ReferenceData!$N$51),"",ReferenceData!$N$51),"")</f>
        <v/>
      </c>
      <c r="O51" t="str">
        <f ca="1">IFERROR(IF(0=LEN(ReferenceData!$O$51),"",ReferenceData!$O$51),"")</f>
        <v/>
      </c>
      <c r="P51" t="str">
        <f ca="1">IFERROR(IF(0=LEN(ReferenceData!$P$51),"",ReferenceData!$P$51),"")</f>
        <v/>
      </c>
      <c r="Q51" t="str">
        <f ca="1">IFERROR(IF(0=LEN(ReferenceData!$Q$51),"",ReferenceData!$Q$51),"")</f>
        <v/>
      </c>
      <c r="R51" t="str">
        <f ca="1">IFERROR(IF(0=LEN(ReferenceData!$R$51),"",ReferenceData!$R$51),"")</f>
        <v/>
      </c>
      <c r="S51" t="str">
        <f ca="1">IFERROR(IF(0=LEN(ReferenceData!$S$51),"",ReferenceData!$S$51),"")</f>
        <v/>
      </c>
      <c r="T51" t="str">
        <f ca="1">IFERROR(IF(0=LEN(ReferenceData!$T$51),"",ReferenceData!$T$51),"")</f>
        <v/>
      </c>
      <c r="U51" t="str">
        <f ca="1">IFERROR(IF(0=LEN(ReferenceData!$U$51),"",ReferenceData!$U$51),"")</f>
        <v/>
      </c>
      <c r="V51" t="str">
        <f ca="1">IFERROR(IF(0=LEN(ReferenceData!$V$51),"",ReferenceData!$V$51),"")</f>
        <v/>
      </c>
      <c r="W51" t="str">
        <f ca="1">IFERROR(IF(0=LEN(ReferenceData!$W$51),"",ReferenceData!$W$51),"")</f>
        <v/>
      </c>
      <c r="X51" t="str">
        <f ca="1">IFERROR(IF(0=LEN(ReferenceData!$X$51),"",ReferenceData!$X$51),"")</f>
        <v/>
      </c>
      <c r="Y51" t="str">
        <f ca="1">IFERROR(IF(0=LEN(ReferenceData!$Y$51),"",ReferenceData!$Y$51),"")</f>
        <v/>
      </c>
      <c r="Z51" t="str">
        <f ca="1">IFERROR(IF(0=LEN(ReferenceData!$Z$51),"",ReferenceData!$Z$51),"")</f>
        <v/>
      </c>
      <c r="AA51" t="str">
        <f ca="1">IFERROR(IF(0=LEN(ReferenceData!$AA$51),"",ReferenceData!$AA$51),"")</f>
        <v/>
      </c>
      <c r="AB51" t="str">
        <f ca="1">IFERROR(IF(0=LEN(ReferenceData!$AB$51),"",ReferenceData!$AB$51),"")</f>
        <v/>
      </c>
      <c r="AC51" t="str">
        <f ca="1">IFERROR(IF(0=LEN(ReferenceData!$AC$51),"",ReferenceData!$AC$51),"")</f>
        <v/>
      </c>
      <c r="AD51" t="str">
        <f ca="1">IFERROR(IF(0=LEN(ReferenceData!$AD$51),"",ReferenceData!$AD$51),"")</f>
        <v/>
      </c>
      <c r="AE51" t="str">
        <f ca="1">IFERROR(IF(0=LEN(ReferenceData!$AE$51),"",ReferenceData!$AE$51),"")</f>
        <v/>
      </c>
      <c r="AF51" t="str">
        <f ca="1">IFERROR(IF(0=LEN(ReferenceData!$AF$51),"",ReferenceData!$AF$51),"")</f>
        <v/>
      </c>
      <c r="AG51" t="str">
        <f ca="1">IFERROR(IF(0=LEN(ReferenceData!$AG$51),"",ReferenceData!$AG$51),"")</f>
        <v/>
      </c>
      <c r="AH51" t="str">
        <f ca="1">IFERROR(IF(0=LEN(ReferenceData!$AH$51),"",ReferenceData!$AH$51),"")</f>
        <v/>
      </c>
      <c r="AI51" t="str">
        <f ca="1">IFERROR(IF(0=LEN(ReferenceData!$AI$51),"",ReferenceData!$AI$51),"")</f>
        <v/>
      </c>
      <c r="AJ51" t="str">
        <f ca="1">IFERROR(IF(0=LEN(ReferenceData!$AJ$51),"",ReferenceData!$AJ$51),"")</f>
        <v/>
      </c>
      <c r="AK51" t="str">
        <f ca="1">IFERROR(IF(0=LEN(ReferenceData!$AK$51),"",ReferenceData!$AK$51),"")</f>
        <v/>
      </c>
      <c r="AL51" t="str">
        <f ca="1">IFERROR(IF(0=LEN(ReferenceData!$AL$51),"",ReferenceData!$AL$51),"")</f>
        <v/>
      </c>
      <c r="AM51" t="str">
        <f ca="1">IFERROR(IF(0=LEN(ReferenceData!$AM$51),"",ReferenceData!$AM$51),"")</f>
        <v/>
      </c>
      <c r="AN51" t="str">
        <f ca="1">IFERROR(IF(0=LEN(ReferenceData!$AN$51),"",ReferenceData!$AN$51),"")</f>
        <v/>
      </c>
      <c r="AO51" t="str">
        <f ca="1">IFERROR(IF(0=LEN(ReferenceData!$AO$51),"",ReferenceData!$AO$51),"")</f>
        <v/>
      </c>
      <c r="AP51" t="str">
        <f ca="1">IFERROR(IF(0=LEN(ReferenceData!$AP$51),"",ReferenceData!$AP$51),"")</f>
        <v/>
      </c>
      <c r="AQ51" t="str">
        <f ca="1">IFERROR(IF(0=LEN(ReferenceData!$AQ$51),"",ReferenceData!$AQ$51),"")</f>
        <v/>
      </c>
      <c r="AR51" t="str">
        <f ca="1">IFERROR(IF(0=LEN(ReferenceData!$AR$51),"",ReferenceData!$AR$51),"")</f>
        <v/>
      </c>
      <c r="AS51" t="str">
        <f ca="1">IFERROR(IF(0=LEN(ReferenceData!$AS$51),"",ReferenceData!$AS$51),"")</f>
        <v/>
      </c>
      <c r="AT51" t="str">
        <f ca="1">IFERROR(IF(0=LEN(ReferenceData!$AT$51),"",ReferenceData!$AT$51),"")</f>
        <v/>
      </c>
      <c r="AU51" t="str">
        <f ca="1">IFERROR(IF(0=LEN(ReferenceData!$AU$51),"",ReferenceData!$AU$51),"")</f>
        <v/>
      </c>
      <c r="AV51" t="str">
        <f ca="1">IFERROR(IF(0=LEN(ReferenceData!$AV$51),"",ReferenceData!$AV$51),"")</f>
        <v/>
      </c>
      <c r="AW51" t="str">
        <f ca="1">IFERROR(IF(0=LEN(ReferenceData!$AW$51),"",ReferenceData!$AW$51),"")</f>
        <v/>
      </c>
      <c r="AX51" t="str">
        <f ca="1">IFERROR(IF(0=LEN(ReferenceData!$AX$51),"",ReferenceData!$AX$51),"")</f>
        <v/>
      </c>
      <c r="AY51" t="str">
        <f ca="1">IFERROR(IF(0=LEN(ReferenceData!$AY$51),"",ReferenceData!$AY$51),"")</f>
        <v/>
      </c>
      <c r="AZ51" t="str">
        <f ca="1">IFERROR(IF(0=LEN(ReferenceData!$AZ$51),"",ReferenceData!$AZ$51),"")</f>
        <v/>
      </c>
      <c r="BA51" t="str">
        <f ca="1">IFERROR(IF(0=LEN(ReferenceData!$BA$51),"",ReferenceData!$BA$51),"")</f>
        <v/>
      </c>
      <c r="BB51" t="str">
        <f ca="1">IFERROR(IF(0=LEN(ReferenceData!$BB$51),"",ReferenceData!$BB$51),"")</f>
        <v/>
      </c>
      <c r="BC51" t="str">
        <f ca="1">IFERROR(IF(0=LEN(ReferenceData!$BC$51),"",ReferenceData!$BC$51),"")</f>
        <v/>
      </c>
      <c r="BD51" t="str">
        <f ca="1">IFERROR(IF(0=LEN(ReferenceData!$BD$51),"",ReferenceData!$BD$51),"")</f>
        <v/>
      </c>
      <c r="BE51" t="str">
        <f ca="1">IFERROR(IF(0=LEN(ReferenceData!$BE$51),"",ReferenceData!$BE$51),"")</f>
        <v/>
      </c>
      <c r="BF51" t="str">
        <f ca="1">IFERROR(IF(0=LEN(ReferenceData!$BF$51),"",ReferenceData!$BF$51),"")</f>
        <v/>
      </c>
      <c r="BG51" t="str">
        <f ca="1">IFERROR(IF(0=LEN(ReferenceData!$BG$51),"",ReferenceData!$BG$51),"")</f>
        <v/>
      </c>
      <c r="BH51" t="str">
        <f ca="1">IFERROR(IF(0=LEN(ReferenceData!$BH$51),"",ReferenceData!$BH$51),"")</f>
        <v/>
      </c>
      <c r="BI51" t="str">
        <f ca="1">IFERROR(IF(0=LEN(ReferenceData!$BI$51),"",ReferenceData!$BI$51),"")</f>
        <v/>
      </c>
      <c r="BJ51" t="str">
        <f ca="1">IFERROR(IF(0=LEN(ReferenceData!$BJ$51),"",ReferenceData!$BJ$51),"")</f>
        <v/>
      </c>
      <c r="BK51" t="str">
        <f ca="1">IFERROR(IF(0=LEN(ReferenceData!$BK$51),"",ReferenceData!$BK$51),"")</f>
        <v/>
      </c>
      <c r="BL51" t="str">
        <f ca="1">IFERROR(IF(0=LEN(ReferenceData!$BL$51),"",ReferenceData!$BL$51),"")</f>
        <v/>
      </c>
      <c r="BM51" t="str">
        <f ca="1">IFERROR(IF(0=LEN(ReferenceData!$BM$51),"",ReferenceData!$BM$51),"")</f>
        <v/>
      </c>
    </row>
    <row r="52" spans="1:65" x14ac:dyDescent="0.25">
      <c r="A52" t="str">
        <f>IFERROR(IF(0=LEN(ReferenceData!$A$52),"",ReferenceData!$A$52),"")</f>
        <v xml:space="preserve">    Bankinter SA</v>
      </c>
      <c r="B52" t="str">
        <f>IFERROR(IF(0=LEN(ReferenceData!$B$52),"",ReferenceData!$B$52),"")</f>
        <v>BKT SM Equity</v>
      </c>
      <c r="C52" t="str">
        <f>IFERROR(IF(0=LEN(ReferenceData!$C$52),"",ReferenceData!$C$52),"")</f>
        <v>BM109</v>
      </c>
      <c r="D52" t="str">
        <f>IFERROR(IF(0=LEN(ReferenceData!$D$52),"",ReferenceData!$D$52),"")</f>
        <v>BS_TRADING_SECURITIES_DERIVS</v>
      </c>
      <c r="E52" t="str">
        <f>IFERROR(IF(0=LEN(ReferenceData!$E$52),"",ReferenceData!$E$52),"")</f>
        <v>Dynamic</v>
      </c>
      <c r="F52" t="str">
        <f ca="1">IFERROR(IF(0=LEN(ReferenceData!$F$52),"",ReferenceData!$F$52),"")</f>
        <v/>
      </c>
      <c r="G52" t="str">
        <f ca="1">IFERROR(IF(0=LEN(ReferenceData!$G$52),"",ReferenceData!$G$52),"")</f>
        <v/>
      </c>
      <c r="H52" t="str">
        <f ca="1">IFERROR(IF(0=LEN(ReferenceData!$H$52),"",ReferenceData!$H$52),"")</f>
        <v/>
      </c>
      <c r="I52" t="str">
        <f ca="1">IFERROR(IF(0=LEN(ReferenceData!$I$52),"",ReferenceData!$I$52),"")</f>
        <v/>
      </c>
      <c r="J52">
        <f ca="1">IFERROR(IF(0=LEN(ReferenceData!$J$52),"",ReferenceData!$J$52),"")</f>
        <v>756.16</v>
      </c>
      <c r="K52" t="str">
        <f ca="1">IFERROR(IF(0=LEN(ReferenceData!$K$52),"",ReferenceData!$K$52),"")</f>
        <v/>
      </c>
      <c r="L52" t="str">
        <f ca="1">IFERROR(IF(0=LEN(ReferenceData!$L$52),"",ReferenceData!$L$52),"")</f>
        <v/>
      </c>
      <c r="M52" t="str">
        <f ca="1">IFERROR(IF(0=LEN(ReferenceData!$M$52),"",ReferenceData!$M$52),"")</f>
        <v/>
      </c>
      <c r="N52">
        <f ca="1">IFERROR(IF(0=LEN(ReferenceData!$N$52),"",ReferenceData!$N$52),"")</f>
        <v>1181.732</v>
      </c>
      <c r="O52" t="str">
        <f ca="1">IFERROR(IF(0=LEN(ReferenceData!$O$52),"",ReferenceData!$O$52),"")</f>
        <v/>
      </c>
      <c r="P52" t="str">
        <f ca="1">IFERROR(IF(0=LEN(ReferenceData!$P$52),"",ReferenceData!$P$52),"")</f>
        <v/>
      </c>
      <c r="Q52" t="str">
        <f ca="1">IFERROR(IF(0=LEN(ReferenceData!$Q$52),"",ReferenceData!$Q$52),"")</f>
        <v/>
      </c>
      <c r="R52">
        <f ca="1">IFERROR(IF(0=LEN(ReferenceData!$R$52),"",ReferenceData!$R$52),"")</f>
        <v>342.07</v>
      </c>
      <c r="S52" t="str">
        <f ca="1">IFERROR(IF(0=LEN(ReferenceData!$S$52),"",ReferenceData!$S$52),"")</f>
        <v/>
      </c>
      <c r="T52" t="str">
        <f ca="1">IFERROR(IF(0=LEN(ReferenceData!$T$52),"",ReferenceData!$T$52),"")</f>
        <v/>
      </c>
      <c r="U52" t="str">
        <f ca="1">IFERROR(IF(0=LEN(ReferenceData!$U$52),"",ReferenceData!$U$52),"")</f>
        <v/>
      </c>
      <c r="V52">
        <f ca="1">IFERROR(IF(0=LEN(ReferenceData!$V$52),"",ReferenceData!$V$52),"")</f>
        <v>498.92200000000003</v>
      </c>
      <c r="W52" t="str">
        <f ca="1">IFERROR(IF(0=LEN(ReferenceData!$W$52),"",ReferenceData!$W$52),"")</f>
        <v/>
      </c>
      <c r="X52" t="str">
        <f ca="1">IFERROR(IF(0=LEN(ReferenceData!$X$52),"",ReferenceData!$X$52),"")</f>
        <v/>
      </c>
      <c r="Y52" t="str">
        <f ca="1">IFERROR(IF(0=LEN(ReferenceData!$Y$52),"",ReferenceData!$Y$52),"")</f>
        <v/>
      </c>
      <c r="Z52">
        <f ca="1">IFERROR(IF(0=LEN(ReferenceData!$Z$52),"",ReferenceData!$Z$52),"")</f>
        <v>314.21499999999997</v>
      </c>
      <c r="AA52" t="str">
        <f ca="1">IFERROR(IF(0=LEN(ReferenceData!$AA$52),"",ReferenceData!$AA$52),"")</f>
        <v/>
      </c>
      <c r="AB52" t="str">
        <f ca="1">IFERROR(IF(0=LEN(ReferenceData!$AB$52),"",ReferenceData!$AB$52),"")</f>
        <v/>
      </c>
      <c r="AC52" t="str">
        <f ca="1">IFERROR(IF(0=LEN(ReferenceData!$AC$52),"",ReferenceData!$AC$52),"")</f>
        <v/>
      </c>
      <c r="AD52">
        <f ca="1">IFERROR(IF(0=LEN(ReferenceData!$AD$52),"",ReferenceData!$AD$52),"")</f>
        <v>432.233</v>
      </c>
      <c r="AE52" t="str">
        <f ca="1">IFERROR(IF(0=LEN(ReferenceData!$AE$52),"",ReferenceData!$AE$52),"")</f>
        <v/>
      </c>
      <c r="AF52" t="str">
        <f ca="1">IFERROR(IF(0=LEN(ReferenceData!$AF$52),"",ReferenceData!$AF$52),"")</f>
        <v/>
      </c>
      <c r="AG52" t="str">
        <f ca="1">IFERROR(IF(0=LEN(ReferenceData!$AG$52),"",ReferenceData!$AG$52),"")</f>
        <v/>
      </c>
      <c r="AH52">
        <f ca="1">IFERROR(IF(0=LEN(ReferenceData!$AH$52),"",ReferenceData!$AH$52),"")</f>
        <v>268.303</v>
      </c>
      <c r="AI52" t="str">
        <f ca="1">IFERROR(IF(0=LEN(ReferenceData!$AI$52),"",ReferenceData!$AI$52),"")</f>
        <v/>
      </c>
      <c r="AJ52" t="str">
        <f ca="1">IFERROR(IF(0=LEN(ReferenceData!$AJ$52),"",ReferenceData!$AJ$52),"")</f>
        <v/>
      </c>
      <c r="AK52" t="str">
        <f ca="1">IFERROR(IF(0=LEN(ReferenceData!$AK$52),"",ReferenceData!$AK$52),"")</f>
        <v/>
      </c>
      <c r="AL52">
        <f ca="1">IFERROR(IF(0=LEN(ReferenceData!$AL$52),"",ReferenceData!$AL$52),"")</f>
        <v>386.89699999999999</v>
      </c>
      <c r="AM52" t="str">
        <f ca="1">IFERROR(IF(0=LEN(ReferenceData!$AM$52),"",ReferenceData!$AM$52),"")</f>
        <v/>
      </c>
      <c r="AN52" t="str">
        <f ca="1">IFERROR(IF(0=LEN(ReferenceData!$AN$52),"",ReferenceData!$AN$52),"")</f>
        <v/>
      </c>
      <c r="AO52" t="str">
        <f ca="1">IFERROR(IF(0=LEN(ReferenceData!$AO$52),"",ReferenceData!$AO$52),"")</f>
        <v/>
      </c>
      <c r="AP52">
        <f ca="1">IFERROR(IF(0=LEN(ReferenceData!$AP$52),"",ReferenceData!$AP$52),"")</f>
        <v>356.041</v>
      </c>
      <c r="AQ52" t="str">
        <f ca="1">IFERROR(IF(0=LEN(ReferenceData!$AQ$52),"",ReferenceData!$AQ$52),"")</f>
        <v/>
      </c>
      <c r="AR52">
        <f ca="1">IFERROR(IF(0=LEN(ReferenceData!$AR$52),"",ReferenceData!$AR$52),"")</f>
        <v>240.471</v>
      </c>
      <c r="AS52" t="str">
        <f ca="1">IFERROR(IF(0=LEN(ReferenceData!$AS$52),"",ReferenceData!$AS$52),"")</f>
        <v/>
      </c>
      <c r="AT52">
        <f ca="1">IFERROR(IF(0=LEN(ReferenceData!$AT$52),"",ReferenceData!$AT$52),"")</f>
        <v>436.95800000000003</v>
      </c>
      <c r="AU52" t="str">
        <f ca="1">IFERROR(IF(0=LEN(ReferenceData!$AU$52),"",ReferenceData!$AU$52),"")</f>
        <v/>
      </c>
      <c r="AV52">
        <f ca="1">IFERROR(IF(0=LEN(ReferenceData!$AV$52),"",ReferenceData!$AV$52),"")</f>
        <v>320.87400000000002</v>
      </c>
      <c r="AW52" t="str">
        <f ca="1">IFERROR(IF(0=LEN(ReferenceData!$AW$52),"",ReferenceData!$AW$52),"")</f>
        <v/>
      </c>
      <c r="AX52">
        <f ca="1">IFERROR(IF(0=LEN(ReferenceData!$AX$52),"",ReferenceData!$AX$52),"")</f>
        <v>643.68899999999996</v>
      </c>
      <c r="AY52" t="str">
        <f ca="1">IFERROR(IF(0=LEN(ReferenceData!$AY$52),"",ReferenceData!$AY$52),"")</f>
        <v/>
      </c>
      <c r="AZ52">
        <f ca="1">IFERROR(IF(0=LEN(ReferenceData!$AZ$52),"",ReferenceData!$AZ$52),"")</f>
        <v>574.49800000000005</v>
      </c>
      <c r="BA52" t="str">
        <f ca="1">IFERROR(IF(0=LEN(ReferenceData!$BA$52),"",ReferenceData!$BA$52),"")</f>
        <v/>
      </c>
      <c r="BB52">
        <f ca="1">IFERROR(IF(0=LEN(ReferenceData!$BB$52),"",ReferenceData!$BB$52),"")</f>
        <v>656.51099999999997</v>
      </c>
      <c r="BC52" t="str">
        <f ca="1">IFERROR(IF(0=LEN(ReferenceData!$BC$52),"",ReferenceData!$BC$52),"")</f>
        <v/>
      </c>
      <c r="BD52">
        <f ca="1">IFERROR(IF(0=LEN(ReferenceData!$BD$52),"",ReferenceData!$BD$52),"")</f>
        <v>566.45299999999997</v>
      </c>
      <c r="BE52" t="str">
        <f ca="1">IFERROR(IF(0=LEN(ReferenceData!$BE$52),"",ReferenceData!$BE$52),"")</f>
        <v/>
      </c>
      <c r="BF52" t="str">
        <f ca="1">IFERROR(IF(0=LEN(ReferenceData!$BF$52),"",ReferenceData!$BF$52),"")</f>
        <v/>
      </c>
      <c r="BG52" t="str">
        <f ca="1">IFERROR(IF(0=LEN(ReferenceData!$BG$52),"",ReferenceData!$BG$52),"")</f>
        <v/>
      </c>
      <c r="BH52" t="str">
        <f ca="1">IFERROR(IF(0=LEN(ReferenceData!$BH$52),"",ReferenceData!$BH$52),"")</f>
        <v/>
      </c>
      <c r="BI52" t="str">
        <f ca="1">IFERROR(IF(0=LEN(ReferenceData!$BI$52),"",ReferenceData!$BI$52),"")</f>
        <v/>
      </c>
      <c r="BJ52" t="str">
        <f ca="1">IFERROR(IF(0=LEN(ReferenceData!$BJ$52),"",ReferenceData!$BJ$52),"")</f>
        <v/>
      </c>
      <c r="BK52" t="str">
        <f ca="1">IFERROR(IF(0=LEN(ReferenceData!$BK$52),"",ReferenceData!$BK$52),"")</f>
        <v/>
      </c>
      <c r="BL52" t="str">
        <f ca="1">IFERROR(IF(0=LEN(ReferenceData!$BL$52),"",ReferenceData!$BL$52),"")</f>
        <v/>
      </c>
      <c r="BM52" t="str">
        <f ca="1">IFERROR(IF(0=LEN(ReferenceData!$BM$52),"",ReferenceData!$BM$52),"")</f>
        <v/>
      </c>
    </row>
    <row r="53" spans="1:65" x14ac:dyDescent="0.25">
      <c r="A53" t="str">
        <f>IFERROR(IF(0=LEN(ReferenceData!$A$53),"",ReferenceData!$A$53),"")</f>
        <v xml:space="preserve">    CaixaBank SA</v>
      </c>
      <c r="B53" t="str">
        <f>IFERROR(IF(0=LEN(ReferenceData!$B$53),"",ReferenceData!$B$53),"")</f>
        <v>CABK SM Equity</v>
      </c>
      <c r="C53" t="str">
        <f>IFERROR(IF(0=LEN(ReferenceData!$C$53),"",ReferenceData!$C$53),"")</f>
        <v>BM109</v>
      </c>
      <c r="D53" t="str">
        <f>IFERROR(IF(0=LEN(ReferenceData!$D$53),"",ReferenceData!$D$53),"")</f>
        <v>BS_TRADING_SECURITIES_DERIVS</v>
      </c>
      <c r="E53" t="str">
        <f>IFERROR(IF(0=LEN(ReferenceData!$E$53),"",ReferenceData!$E$53),"")</f>
        <v>Dynamic</v>
      </c>
      <c r="F53" t="str">
        <f ca="1">IFERROR(IF(0=LEN(ReferenceData!$F$53),"",ReferenceData!$F$53),"")</f>
        <v/>
      </c>
      <c r="G53" t="str">
        <f ca="1">IFERROR(IF(0=LEN(ReferenceData!$G$53),"",ReferenceData!$G$53),"")</f>
        <v/>
      </c>
      <c r="H53" t="str">
        <f ca="1">IFERROR(IF(0=LEN(ReferenceData!$H$53),"",ReferenceData!$H$53),"")</f>
        <v/>
      </c>
      <c r="I53" t="str">
        <f ca="1">IFERROR(IF(0=LEN(ReferenceData!$I$53),"",ReferenceData!$I$53),"")</f>
        <v/>
      </c>
      <c r="J53">
        <f ca="1">IFERROR(IF(0=LEN(ReferenceData!$J$53),"",ReferenceData!$J$53),"")</f>
        <v>6344</v>
      </c>
      <c r="K53" t="str">
        <f ca="1">IFERROR(IF(0=LEN(ReferenceData!$K$53),"",ReferenceData!$K$53),"")</f>
        <v/>
      </c>
      <c r="L53">
        <f ca="1">IFERROR(IF(0=LEN(ReferenceData!$L$53),"",ReferenceData!$L$53),"")</f>
        <v>6894</v>
      </c>
      <c r="M53" t="str">
        <f ca="1">IFERROR(IF(0=LEN(ReferenceData!$M$53),"",ReferenceData!$M$53),"")</f>
        <v/>
      </c>
      <c r="N53">
        <f ca="1">IFERROR(IF(0=LEN(ReferenceData!$N$53),"",ReferenceData!$N$53),"")</f>
        <v>6963</v>
      </c>
      <c r="O53" t="str">
        <f ca="1">IFERROR(IF(0=LEN(ReferenceData!$O$53),"",ReferenceData!$O$53),"")</f>
        <v/>
      </c>
      <c r="P53">
        <f ca="1">IFERROR(IF(0=LEN(ReferenceData!$P$53),"",ReferenceData!$P$53),"")</f>
        <v>7502</v>
      </c>
      <c r="Q53" t="str">
        <f ca="1">IFERROR(IF(0=LEN(ReferenceData!$Q$53),"",ReferenceData!$Q$53),"")</f>
        <v/>
      </c>
      <c r="R53">
        <f ca="1">IFERROR(IF(0=LEN(ReferenceData!$R$53),"",ReferenceData!$R$53),"")</f>
        <v>10319</v>
      </c>
      <c r="S53" t="str">
        <f ca="1">IFERROR(IF(0=LEN(ReferenceData!$S$53),"",ReferenceData!$S$53),"")</f>
        <v/>
      </c>
      <c r="T53">
        <f ca="1">IFERROR(IF(0=LEN(ReferenceData!$T$53),"",ReferenceData!$T$53),"")</f>
        <v>10953</v>
      </c>
      <c r="U53" t="str">
        <f ca="1">IFERROR(IF(0=LEN(ReferenceData!$U$53),"",ReferenceData!$U$53),"")</f>
        <v/>
      </c>
      <c r="V53">
        <f ca="1">IFERROR(IF(0=LEN(ReferenceData!$V$53),"",ReferenceData!$V$53),"")</f>
        <v>5301</v>
      </c>
      <c r="W53" t="str">
        <f ca="1">IFERROR(IF(0=LEN(ReferenceData!$W$53),"",ReferenceData!$W$53),"")</f>
        <v/>
      </c>
      <c r="X53" t="str">
        <f ca="1">IFERROR(IF(0=LEN(ReferenceData!$X$53),"",ReferenceData!$X$53),"")</f>
        <v/>
      </c>
      <c r="Y53" t="str">
        <f ca="1">IFERROR(IF(0=LEN(ReferenceData!$Y$53),"",ReferenceData!$Y$53),"")</f>
        <v/>
      </c>
      <c r="Z53">
        <f ca="1">IFERROR(IF(0=LEN(ReferenceData!$Z$53),"",ReferenceData!$Z$53),"")</f>
        <v>6194</v>
      </c>
      <c r="AA53" t="str">
        <f ca="1">IFERROR(IF(0=LEN(ReferenceData!$AA$53),"",ReferenceData!$AA$53),"")</f>
        <v/>
      </c>
      <c r="AB53">
        <f ca="1">IFERROR(IF(0=LEN(ReferenceData!$AB$53),"",ReferenceData!$AB$53),"")</f>
        <v>10819.432000000001</v>
      </c>
      <c r="AC53" t="str">
        <f ca="1">IFERROR(IF(0=LEN(ReferenceData!$AC$53),"",ReferenceData!$AC$53),"")</f>
        <v/>
      </c>
      <c r="AD53">
        <f ca="1">IFERROR(IF(0=LEN(ReferenceData!$AD$53),"",ReferenceData!$AD$53),"")</f>
        <v>8707</v>
      </c>
      <c r="AE53" t="str">
        <f ca="1">IFERROR(IF(0=LEN(ReferenceData!$AE$53),"",ReferenceData!$AE$53),"")</f>
        <v/>
      </c>
      <c r="AF53" t="str">
        <f ca="1">IFERROR(IF(0=LEN(ReferenceData!$AF$53),"",ReferenceData!$AF$53),"")</f>
        <v/>
      </c>
      <c r="AG53" t="str">
        <f ca="1">IFERROR(IF(0=LEN(ReferenceData!$AG$53),"",ReferenceData!$AG$53),"")</f>
        <v/>
      </c>
      <c r="AH53">
        <f ca="1">IFERROR(IF(0=LEN(ReferenceData!$AH$53),"",ReferenceData!$AH$53),"")</f>
        <v>8162.1719999999996</v>
      </c>
      <c r="AI53" t="str">
        <f ca="1">IFERROR(IF(0=LEN(ReferenceData!$AI$53),"",ReferenceData!$AI$53),"")</f>
        <v/>
      </c>
      <c r="AJ53">
        <f ca="1">IFERROR(IF(0=LEN(ReferenceData!$AJ$53),"",ReferenceData!$AJ$53),"")</f>
        <v>8787.0550000000003</v>
      </c>
      <c r="AK53" t="str">
        <f ca="1">IFERROR(IF(0=LEN(ReferenceData!$AK$53),"",ReferenceData!$AK$53),"")</f>
        <v/>
      </c>
      <c r="AL53">
        <f ca="1">IFERROR(IF(0=LEN(ReferenceData!$AL$53),"",ReferenceData!$AL$53),"")</f>
        <v>9575.8320000000003</v>
      </c>
      <c r="AM53" t="str">
        <f ca="1">IFERROR(IF(0=LEN(ReferenceData!$AM$53),"",ReferenceData!$AM$53),"")</f>
        <v/>
      </c>
      <c r="AN53" t="str">
        <f ca="1">IFERROR(IF(0=LEN(ReferenceData!$AN$53),"",ReferenceData!$AN$53),"")</f>
        <v/>
      </c>
      <c r="AO53" t="str">
        <f ca="1">IFERROR(IF(0=LEN(ReferenceData!$AO$53),"",ReferenceData!$AO$53),"")</f>
        <v/>
      </c>
      <c r="AP53">
        <f ca="1">IFERROR(IF(0=LEN(ReferenceData!$AP$53),"",ReferenceData!$AP$53),"")</f>
        <v>9806.1910000000007</v>
      </c>
      <c r="AQ53" t="str">
        <f ca="1">IFERROR(IF(0=LEN(ReferenceData!$AQ$53),"",ReferenceData!$AQ$53),"")</f>
        <v/>
      </c>
      <c r="AR53" t="str">
        <f ca="1">IFERROR(IF(0=LEN(ReferenceData!$AR$53),"",ReferenceData!$AR$53),"")</f>
        <v/>
      </c>
      <c r="AS53" t="str">
        <f ca="1">IFERROR(IF(0=LEN(ReferenceData!$AS$53),"",ReferenceData!$AS$53),"")</f>
        <v/>
      </c>
      <c r="AT53" t="str">
        <f ca="1">IFERROR(IF(0=LEN(ReferenceData!$AT$53),"",ReferenceData!$AT$53),"")</f>
        <v/>
      </c>
      <c r="AU53" t="str">
        <f ca="1">IFERROR(IF(0=LEN(ReferenceData!$AU$53),"",ReferenceData!$AU$53),"")</f>
        <v/>
      </c>
      <c r="AV53" t="str">
        <f ca="1">IFERROR(IF(0=LEN(ReferenceData!$AV$53),"",ReferenceData!$AV$53),"")</f>
        <v/>
      </c>
      <c r="AW53" t="str">
        <f ca="1">IFERROR(IF(0=LEN(ReferenceData!$AW$53),"",ReferenceData!$AW$53),"")</f>
        <v/>
      </c>
      <c r="AX53" t="str">
        <f ca="1">IFERROR(IF(0=LEN(ReferenceData!$AX$53),"",ReferenceData!$AX$53),"")</f>
        <v/>
      </c>
      <c r="AY53" t="str">
        <f ca="1">IFERROR(IF(0=LEN(ReferenceData!$AY$53),"",ReferenceData!$AY$53),"")</f>
        <v/>
      </c>
      <c r="AZ53" t="str">
        <f ca="1">IFERROR(IF(0=LEN(ReferenceData!$AZ$53),"",ReferenceData!$AZ$53),"")</f>
        <v/>
      </c>
      <c r="BA53" t="str">
        <f ca="1">IFERROR(IF(0=LEN(ReferenceData!$BA$53),"",ReferenceData!$BA$53),"")</f>
        <v/>
      </c>
      <c r="BB53" t="str">
        <f ca="1">IFERROR(IF(0=LEN(ReferenceData!$BB$53),"",ReferenceData!$BB$53),"")</f>
        <v/>
      </c>
      <c r="BC53" t="str">
        <f ca="1">IFERROR(IF(0=LEN(ReferenceData!$BC$53),"",ReferenceData!$BC$53),"")</f>
        <v/>
      </c>
      <c r="BD53" t="str">
        <f ca="1">IFERROR(IF(0=LEN(ReferenceData!$BD$53),"",ReferenceData!$BD$53),"")</f>
        <v/>
      </c>
      <c r="BE53" t="str">
        <f ca="1">IFERROR(IF(0=LEN(ReferenceData!$BE$53),"",ReferenceData!$BE$53),"")</f>
        <v/>
      </c>
      <c r="BF53" t="str">
        <f ca="1">IFERROR(IF(0=LEN(ReferenceData!$BF$53),"",ReferenceData!$BF$53),"")</f>
        <v/>
      </c>
      <c r="BG53" t="str">
        <f ca="1">IFERROR(IF(0=LEN(ReferenceData!$BG$53),"",ReferenceData!$BG$53),"")</f>
        <v/>
      </c>
      <c r="BH53" t="str">
        <f ca="1">IFERROR(IF(0=LEN(ReferenceData!$BH$53),"",ReferenceData!$BH$53),"")</f>
        <v/>
      </c>
      <c r="BI53" t="str">
        <f ca="1">IFERROR(IF(0=LEN(ReferenceData!$BI$53),"",ReferenceData!$BI$53),"")</f>
        <v/>
      </c>
      <c r="BJ53" t="str">
        <f ca="1">IFERROR(IF(0=LEN(ReferenceData!$BJ$53),"",ReferenceData!$BJ$53),"")</f>
        <v/>
      </c>
      <c r="BK53" t="str">
        <f ca="1">IFERROR(IF(0=LEN(ReferenceData!$BK$53),"",ReferenceData!$BK$53),"")</f>
        <v/>
      </c>
      <c r="BL53" t="str">
        <f ca="1">IFERROR(IF(0=LEN(ReferenceData!$BL$53),"",ReferenceData!$BL$53),"")</f>
        <v/>
      </c>
      <c r="BM53" t="str">
        <f ca="1">IFERROR(IF(0=LEN(ReferenceData!$BM$53),"",ReferenceData!$BM$53),"")</f>
        <v/>
      </c>
    </row>
    <row r="54" spans="1:65" x14ac:dyDescent="0.25">
      <c r="A54" t="str">
        <f>IFERROR(IF(0=LEN(ReferenceData!$A$54),"",ReferenceData!$A$54),"")</f>
        <v xml:space="preserve">    Commerzbank AG</v>
      </c>
      <c r="B54" t="str">
        <f>IFERROR(IF(0=LEN(ReferenceData!$B$54),"",ReferenceData!$B$54),"")</f>
        <v>CBK GR Equity</v>
      </c>
      <c r="C54" t="str">
        <f>IFERROR(IF(0=LEN(ReferenceData!$C$54),"",ReferenceData!$C$54),"")</f>
        <v>BM109</v>
      </c>
      <c r="D54" t="str">
        <f>IFERROR(IF(0=LEN(ReferenceData!$D$54),"",ReferenceData!$D$54),"")</f>
        <v>BS_TRADING_SECURITIES_DERIVS</v>
      </c>
      <c r="E54" t="str">
        <f>IFERROR(IF(0=LEN(ReferenceData!$E$54),"",ReferenceData!$E$54),"")</f>
        <v>Dynamic</v>
      </c>
      <c r="F54" t="str">
        <f ca="1">IFERROR(IF(0=LEN(ReferenceData!$F$54),"",ReferenceData!$F$54),"")</f>
        <v/>
      </c>
      <c r="G54" t="str">
        <f ca="1">IFERROR(IF(0=LEN(ReferenceData!$G$54),"",ReferenceData!$G$54),"")</f>
        <v/>
      </c>
      <c r="H54">
        <f ca="1">IFERROR(IF(0=LEN(ReferenceData!$H$54),"",ReferenceData!$H$54),"")</f>
        <v>17529</v>
      </c>
      <c r="I54" t="str">
        <f ca="1">IFERROR(IF(0=LEN(ReferenceData!$I$54),"",ReferenceData!$I$54),"")</f>
        <v/>
      </c>
      <c r="J54">
        <f ca="1">IFERROR(IF(0=LEN(ReferenceData!$J$54),"",ReferenceData!$J$54),"")</f>
        <v>20486</v>
      </c>
      <c r="K54" t="str">
        <f ca="1">IFERROR(IF(0=LEN(ReferenceData!$K$54),"",ReferenceData!$K$54),"")</f>
        <v/>
      </c>
      <c r="L54">
        <f ca="1">IFERROR(IF(0=LEN(ReferenceData!$L$54),"",ReferenceData!$L$54),"")</f>
        <v>19276</v>
      </c>
      <c r="M54" t="str">
        <f ca="1">IFERROR(IF(0=LEN(ReferenceData!$M$54),"",ReferenceData!$M$54),"")</f>
        <v/>
      </c>
      <c r="N54">
        <f ca="1">IFERROR(IF(0=LEN(ReferenceData!$N$54),"",ReferenceData!$N$54),"")</f>
        <v>26320</v>
      </c>
      <c r="O54" t="str">
        <f ca="1">IFERROR(IF(0=LEN(ReferenceData!$O$54),"",ReferenceData!$O$54),"")</f>
        <v/>
      </c>
      <c r="P54">
        <f ca="1">IFERROR(IF(0=LEN(ReferenceData!$P$54),"",ReferenceData!$P$54),"")</f>
        <v>34846</v>
      </c>
      <c r="Q54" t="str">
        <f ca="1">IFERROR(IF(0=LEN(ReferenceData!$Q$54),"",ReferenceData!$Q$54),"")</f>
        <v/>
      </c>
      <c r="R54">
        <f ca="1">IFERROR(IF(0=LEN(ReferenceData!$R$54),"",ReferenceData!$R$54),"")</f>
        <v>29126</v>
      </c>
      <c r="S54" t="str">
        <f ca="1">IFERROR(IF(0=LEN(ReferenceData!$S$54),"",ReferenceData!$S$54),"")</f>
        <v/>
      </c>
      <c r="T54">
        <f ca="1">IFERROR(IF(0=LEN(ReferenceData!$T$54),"",ReferenceData!$T$54),"")</f>
        <v>37504</v>
      </c>
      <c r="U54" t="str">
        <f ca="1">IFERROR(IF(0=LEN(ReferenceData!$U$54),"",ReferenceData!$U$54),"")</f>
        <v/>
      </c>
      <c r="V54">
        <f ca="1">IFERROR(IF(0=LEN(ReferenceData!$V$54),"",ReferenceData!$V$54),"")</f>
        <v>45524</v>
      </c>
      <c r="W54">
        <f ca="1">IFERROR(IF(0=LEN(ReferenceData!$W$54),"",ReferenceData!$W$54),"")</f>
        <v>44689</v>
      </c>
      <c r="X54">
        <f ca="1">IFERROR(IF(0=LEN(ReferenceData!$X$54),"",ReferenceData!$X$54),"")</f>
        <v>47594</v>
      </c>
      <c r="Y54">
        <f ca="1">IFERROR(IF(0=LEN(ReferenceData!$Y$54),"",ReferenceData!$Y$54),"")</f>
        <v>50212</v>
      </c>
      <c r="Z54">
        <f ca="1">IFERROR(IF(0=LEN(ReferenceData!$Z$54),"",ReferenceData!$Z$54),"")</f>
        <v>39328</v>
      </c>
      <c r="AA54">
        <f ca="1">IFERROR(IF(0=LEN(ReferenceData!$AA$54),"",ReferenceData!$AA$54),"")</f>
        <v>48297</v>
      </c>
      <c r="AB54">
        <f ca="1">IFERROR(IF(0=LEN(ReferenceData!$AB$54),"",ReferenceData!$AB$54),"")</f>
        <v>41007</v>
      </c>
      <c r="AC54">
        <f ca="1">IFERROR(IF(0=LEN(ReferenceData!$AC$54),"",ReferenceData!$AC$54),"")</f>
        <v>39830</v>
      </c>
      <c r="AD54">
        <f ca="1">IFERROR(IF(0=LEN(ReferenceData!$AD$54),"",ReferenceData!$AD$54),"")</f>
        <v>38067</v>
      </c>
      <c r="AE54">
        <f ca="1">IFERROR(IF(0=LEN(ReferenceData!$AE$54),"",ReferenceData!$AE$54),"")</f>
        <v>39790</v>
      </c>
      <c r="AF54">
        <f ca="1">IFERROR(IF(0=LEN(ReferenceData!$AF$54),"",ReferenceData!$AF$54),"")</f>
        <v>42937</v>
      </c>
      <c r="AG54">
        <f ca="1">IFERROR(IF(0=LEN(ReferenceData!$AG$54),"",ReferenceData!$AG$54),"")</f>
        <v>41879</v>
      </c>
      <c r="AH54">
        <f ca="1">IFERROR(IF(0=LEN(ReferenceData!$AH$54),"",ReferenceData!$AH$54),"")</f>
        <v>44833</v>
      </c>
      <c r="AI54">
        <f ca="1">IFERROR(IF(0=LEN(ReferenceData!$AI$54),"",ReferenceData!$AI$54),"")</f>
        <v>49594</v>
      </c>
      <c r="AJ54">
        <f ca="1">IFERROR(IF(0=LEN(ReferenceData!$AJ$54),"",ReferenceData!$AJ$54),"")</f>
        <v>53827</v>
      </c>
      <c r="AK54">
        <f ca="1">IFERROR(IF(0=LEN(ReferenceData!$AK$54),"",ReferenceData!$AK$54),"")</f>
        <v>57230</v>
      </c>
      <c r="AL54">
        <f ca="1">IFERROR(IF(0=LEN(ReferenceData!$AL$54),"",ReferenceData!$AL$54),"")</f>
        <v>62205</v>
      </c>
      <c r="AM54">
        <f ca="1">IFERROR(IF(0=LEN(ReferenceData!$AM$54),"",ReferenceData!$AM$54),"")</f>
        <v>71857</v>
      </c>
      <c r="AN54">
        <f ca="1">IFERROR(IF(0=LEN(ReferenceData!$AN$54),"",ReferenceData!$AN$54),"")</f>
        <v>83288</v>
      </c>
      <c r="AO54">
        <f ca="1">IFERROR(IF(0=LEN(ReferenceData!$AO$54),"",ReferenceData!$AO$54),"")</f>
        <v>80562</v>
      </c>
      <c r="AP54">
        <f ca="1">IFERROR(IF(0=LEN(ReferenceData!$AP$54),"",ReferenceData!$AP$54),"")</f>
        <v>76721</v>
      </c>
      <c r="AQ54">
        <f ca="1">IFERROR(IF(0=LEN(ReferenceData!$AQ$54),"",ReferenceData!$AQ$54),"")</f>
        <v>80237</v>
      </c>
      <c r="AR54">
        <f ca="1">IFERROR(IF(0=LEN(ReferenceData!$AR$54),"",ReferenceData!$AR$54),"")</f>
        <v>77313</v>
      </c>
      <c r="AS54">
        <f ca="1">IFERROR(IF(0=LEN(ReferenceData!$AS$54),"",ReferenceData!$AS$54),"")</f>
        <v>105156</v>
      </c>
      <c r="AT54">
        <f ca="1">IFERROR(IF(0=LEN(ReferenceData!$AT$54),"",ReferenceData!$AT$54),"")</f>
        <v>89315</v>
      </c>
      <c r="AU54">
        <f ca="1">IFERROR(IF(0=LEN(ReferenceData!$AU$54),"",ReferenceData!$AU$54),"")</f>
        <v>82327</v>
      </c>
      <c r="AV54">
        <f ca="1">IFERROR(IF(0=LEN(ReferenceData!$AV$54),"",ReferenceData!$AV$54),"")</f>
        <v>68924</v>
      </c>
      <c r="AW54">
        <f ca="1">IFERROR(IF(0=LEN(ReferenceData!$AW$54),"",ReferenceData!$AW$54),"")</f>
        <v>66038</v>
      </c>
      <c r="AX54">
        <f ca="1">IFERROR(IF(0=LEN(ReferenceData!$AX$54),"",ReferenceData!$AX$54),"")</f>
        <v>65818</v>
      </c>
      <c r="AY54">
        <f ca="1">IFERROR(IF(0=LEN(ReferenceData!$AY$54),"",ReferenceData!$AY$54),"")</f>
        <v>72682</v>
      </c>
      <c r="AZ54">
        <f ca="1">IFERROR(IF(0=LEN(ReferenceData!$AZ$54),"",ReferenceData!$AZ$54),"")</f>
        <v>80042</v>
      </c>
      <c r="BA54">
        <f ca="1">IFERROR(IF(0=LEN(ReferenceData!$BA$54),"",ReferenceData!$BA$54),"")</f>
        <v>97333</v>
      </c>
      <c r="BB54">
        <f ca="1">IFERROR(IF(0=LEN(ReferenceData!$BB$54),"",ReferenceData!$BB$54),"")</f>
        <v>106400</v>
      </c>
      <c r="BC54">
        <f ca="1">IFERROR(IF(0=LEN(ReferenceData!$BC$54),"",ReferenceData!$BC$54),"")</f>
        <v>118133</v>
      </c>
      <c r="BD54">
        <f ca="1">IFERROR(IF(0=LEN(ReferenceData!$BD$54),"",ReferenceData!$BD$54),"")</f>
        <v>117079</v>
      </c>
      <c r="BE54">
        <f ca="1">IFERROR(IF(0=LEN(ReferenceData!$BE$54),"",ReferenceData!$BE$54),"")</f>
        <v>117332</v>
      </c>
      <c r="BF54" t="str">
        <f ca="1">IFERROR(IF(0=LEN(ReferenceData!$BF$54),"",ReferenceData!$BF$54),"")</f>
        <v/>
      </c>
      <c r="BG54">
        <f ca="1">IFERROR(IF(0=LEN(ReferenceData!$BG$54),"",ReferenceData!$BG$54),"")</f>
        <v>144949</v>
      </c>
      <c r="BH54">
        <f ca="1">IFERROR(IF(0=LEN(ReferenceData!$BH$54),"",ReferenceData!$BH$54),"")</f>
        <v>99795</v>
      </c>
      <c r="BI54" t="str">
        <f ca="1">IFERROR(IF(0=LEN(ReferenceData!$BI$54),"",ReferenceData!$BI$54),"")</f>
        <v/>
      </c>
      <c r="BJ54" t="str">
        <f ca="1">IFERROR(IF(0=LEN(ReferenceData!$BJ$54),"",ReferenceData!$BJ$54),"")</f>
        <v/>
      </c>
      <c r="BK54">
        <f ca="1">IFERROR(IF(0=LEN(ReferenceData!$BK$54),"",ReferenceData!$BK$54),"")</f>
        <v>211601</v>
      </c>
      <c r="BL54">
        <f ca="1">IFERROR(IF(0=LEN(ReferenceData!$BL$54),"",ReferenceData!$BL$54),"")</f>
        <v>218251</v>
      </c>
      <c r="BM54">
        <f ca="1">IFERROR(IF(0=LEN(ReferenceData!$BM$54),"",ReferenceData!$BM$54),"")</f>
        <v>183046</v>
      </c>
    </row>
    <row r="55" spans="1:65" x14ac:dyDescent="0.25">
      <c r="A55" t="str">
        <f>IFERROR(IF(0=LEN(ReferenceData!$A$55),"",ReferenceData!$A$55),"")</f>
        <v xml:space="preserve">    Credit Agricole SA</v>
      </c>
      <c r="B55" t="str">
        <f>IFERROR(IF(0=LEN(ReferenceData!$B$55),"",ReferenceData!$B$55),"")</f>
        <v>ACA FP Equity</v>
      </c>
      <c r="C55" t="str">
        <f>IFERROR(IF(0=LEN(ReferenceData!$C$55),"",ReferenceData!$C$55),"")</f>
        <v>BM109</v>
      </c>
      <c r="D55" t="str">
        <f>IFERROR(IF(0=LEN(ReferenceData!$D$55),"",ReferenceData!$D$55),"")</f>
        <v>BS_TRADING_SECURITIES_DERIVS</v>
      </c>
      <c r="E55" t="str">
        <f>IFERROR(IF(0=LEN(ReferenceData!$E$55),"",ReferenceData!$E$55),"")</f>
        <v>Dynamic</v>
      </c>
      <c r="F55">
        <f ca="1">IFERROR(IF(0=LEN(ReferenceData!$F$55),"",ReferenceData!$F$55),"")</f>
        <v>146171</v>
      </c>
      <c r="G55" t="str">
        <f ca="1">IFERROR(IF(0=LEN(ReferenceData!$G$55),"",ReferenceData!$G$55),"")</f>
        <v/>
      </c>
      <c r="H55">
        <f ca="1">IFERROR(IF(0=LEN(ReferenceData!$H$55),"",ReferenceData!$H$55),"")</f>
        <v>117136</v>
      </c>
      <c r="I55" t="str">
        <f ca="1">IFERROR(IF(0=LEN(ReferenceData!$I$55),"",ReferenceData!$I$55),"")</f>
        <v/>
      </c>
      <c r="J55">
        <f ca="1">IFERROR(IF(0=LEN(ReferenceData!$J$55),"",ReferenceData!$J$55),"")</f>
        <v>108404</v>
      </c>
      <c r="K55" t="str">
        <f ca="1">IFERROR(IF(0=LEN(ReferenceData!$K$55),"",ReferenceData!$K$55),"")</f>
        <v/>
      </c>
      <c r="L55" t="str">
        <f ca="1">IFERROR(IF(0=LEN(ReferenceData!$L$55),"",ReferenceData!$L$55),"")</f>
        <v/>
      </c>
      <c r="M55" t="str">
        <f ca="1">IFERROR(IF(0=LEN(ReferenceData!$M$55),"",ReferenceData!$M$55),"")</f>
        <v/>
      </c>
      <c r="N55">
        <f ca="1">IFERROR(IF(0=LEN(ReferenceData!$N$55),"",ReferenceData!$N$55),"")</f>
        <v>119573</v>
      </c>
      <c r="O55" t="str">
        <f ca="1">IFERROR(IF(0=LEN(ReferenceData!$O$55),"",ReferenceData!$O$55),"")</f>
        <v/>
      </c>
      <c r="P55" t="str">
        <f ca="1">IFERROR(IF(0=LEN(ReferenceData!$P$55),"",ReferenceData!$P$55),"")</f>
        <v/>
      </c>
      <c r="Q55" t="str">
        <f ca="1">IFERROR(IF(0=LEN(ReferenceData!$Q$55),"",ReferenceData!$Q$55),"")</f>
        <v/>
      </c>
      <c r="R55">
        <f ca="1">IFERROR(IF(0=LEN(ReferenceData!$R$55),"",ReferenceData!$R$55),"")</f>
        <v>93898</v>
      </c>
      <c r="S55" t="str">
        <f ca="1">IFERROR(IF(0=LEN(ReferenceData!$S$55),"",ReferenceData!$S$55),"")</f>
        <v/>
      </c>
      <c r="T55">
        <f ca="1">IFERROR(IF(0=LEN(ReferenceData!$T$55),"",ReferenceData!$T$55),"")</f>
        <v>95791</v>
      </c>
      <c r="U55" t="str">
        <f ca="1">IFERROR(IF(0=LEN(ReferenceData!$U$55),"",ReferenceData!$U$55),"")</f>
        <v/>
      </c>
      <c r="V55">
        <f ca="1">IFERROR(IF(0=LEN(ReferenceData!$V$55),"",ReferenceData!$V$55),"")</f>
        <v>116237</v>
      </c>
      <c r="W55" t="str">
        <f ca="1">IFERROR(IF(0=LEN(ReferenceData!$W$55),"",ReferenceData!$W$55),"")</f>
        <v/>
      </c>
      <c r="X55">
        <f ca="1">IFERROR(IF(0=LEN(ReferenceData!$X$55),"",ReferenceData!$X$55),"")</f>
        <v>124241</v>
      </c>
      <c r="Y55" t="str">
        <f ca="1">IFERROR(IF(0=LEN(ReferenceData!$Y$55),"",ReferenceData!$Y$55),"")</f>
        <v/>
      </c>
      <c r="Z55">
        <f ca="1">IFERROR(IF(0=LEN(ReferenceData!$Z$55),"",ReferenceData!$Z$55),"")</f>
        <v>100795</v>
      </c>
      <c r="AA55" t="str">
        <f ca="1">IFERROR(IF(0=LEN(ReferenceData!$AA$55),"",ReferenceData!$AA$55),"")</f>
        <v/>
      </c>
      <c r="AB55">
        <f ca="1">IFERROR(IF(0=LEN(ReferenceData!$AB$55),"",ReferenceData!$AB$55),"")</f>
        <v>111458</v>
      </c>
      <c r="AC55" t="str">
        <f ca="1">IFERROR(IF(0=LEN(ReferenceData!$AC$55),"",ReferenceData!$AC$55),"")</f>
        <v/>
      </c>
      <c r="AD55">
        <f ca="1">IFERROR(IF(0=LEN(ReferenceData!$AD$55),"",ReferenceData!$AD$55),"")</f>
        <v>94554</v>
      </c>
      <c r="AE55" t="str">
        <f ca="1">IFERROR(IF(0=LEN(ReferenceData!$AE$55),"",ReferenceData!$AE$55),"")</f>
        <v/>
      </c>
      <c r="AF55">
        <f ca="1">IFERROR(IF(0=LEN(ReferenceData!$AF$55),"",ReferenceData!$AF$55),"")</f>
        <v>99167</v>
      </c>
      <c r="AG55" t="str">
        <f ca="1">IFERROR(IF(0=LEN(ReferenceData!$AG$55),"",ReferenceData!$AG$55),"")</f>
        <v/>
      </c>
      <c r="AH55">
        <f ca="1">IFERROR(IF(0=LEN(ReferenceData!$AH$55),"",ReferenceData!$AH$55),"")</f>
        <v>105795</v>
      </c>
      <c r="AI55" t="str">
        <f ca="1">IFERROR(IF(0=LEN(ReferenceData!$AI$55),"",ReferenceData!$AI$55),"")</f>
        <v/>
      </c>
      <c r="AJ55">
        <f ca="1">IFERROR(IF(0=LEN(ReferenceData!$AJ$55),"",ReferenceData!$AJ$55),"")</f>
        <v>122753</v>
      </c>
      <c r="AK55" t="str">
        <f ca="1">IFERROR(IF(0=LEN(ReferenceData!$AK$55),"",ReferenceData!$AK$55),"")</f>
        <v/>
      </c>
      <c r="AL55">
        <f ca="1">IFERROR(IF(0=LEN(ReferenceData!$AL$55),"",ReferenceData!$AL$55),"")</f>
        <v>149308</v>
      </c>
      <c r="AM55" t="str">
        <f ca="1">IFERROR(IF(0=LEN(ReferenceData!$AM$55),"",ReferenceData!$AM$55),"")</f>
        <v/>
      </c>
      <c r="AN55" t="str">
        <f ca="1">IFERROR(IF(0=LEN(ReferenceData!$AN$55),"",ReferenceData!$AN$55),"")</f>
        <v/>
      </c>
      <c r="AO55" t="str">
        <f ca="1">IFERROR(IF(0=LEN(ReferenceData!$AO$55),"",ReferenceData!$AO$55),"")</f>
        <v/>
      </c>
      <c r="AP55">
        <f ca="1">IFERROR(IF(0=LEN(ReferenceData!$AP$55),"",ReferenceData!$AP$55),"")</f>
        <v>155743</v>
      </c>
      <c r="AQ55" t="str">
        <f ca="1">IFERROR(IF(0=LEN(ReferenceData!$AQ$55),"",ReferenceData!$AQ$55),"")</f>
        <v/>
      </c>
      <c r="AR55" t="str">
        <f ca="1">IFERROR(IF(0=LEN(ReferenceData!$AR$55),"",ReferenceData!$AR$55),"")</f>
        <v/>
      </c>
      <c r="AS55" t="str">
        <f ca="1">IFERROR(IF(0=LEN(ReferenceData!$AS$55),"",ReferenceData!$AS$55),"")</f>
        <v/>
      </c>
      <c r="AT55">
        <f ca="1">IFERROR(IF(0=LEN(ReferenceData!$AT$55),"",ReferenceData!$AT$55),"")</f>
        <v>182440</v>
      </c>
      <c r="AU55" t="str">
        <f ca="1">IFERROR(IF(0=LEN(ReferenceData!$AU$55),"",ReferenceData!$AU$55),"")</f>
        <v/>
      </c>
      <c r="AV55" t="str">
        <f ca="1">IFERROR(IF(0=LEN(ReferenceData!$AV$55),"",ReferenceData!$AV$55),"")</f>
        <v/>
      </c>
      <c r="AW55" t="str">
        <f ca="1">IFERROR(IF(0=LEN(ReferenceData!$AW$55),"",ReferenceData!$AW$55),"")</f>
        <v/>
      </c>
      <c r="AX55">
        <f ca="1">IFERROR(IF(0=LEN(ReferenceData!$AX$55),"",ReferenceData!$AX$55),"")</f>
        <v>150344</v>
      </c>
      <c r="AY55" t="str">
        <f ca="1">IFERROR(IF(0=LEN(ReferenceData!$AY$55),"",ReferenceData!$AY$55),"")</f>
        <v/>
      </c>
      <c r="AZ55" t="str">
        <f ca="1">IFERROR(IF(0=LEN(ReferenceData!$AZ$55),"",ReferenceData!$AZ$55),"")</f>
        <v/>
      </c>
      <c r="BA55" t="str">
        <f ca="1">IFERROR(IF(0=LEN(ReferenceData!$BA$55),"",ReferenceData!$BA$55),"")</f>
        <v/>
      </c>
      <c r="BB55">
        <f ca="1">IFERROR(IF(0=LEN(ReferenceData!$BB$55),"",ReferenceData!$BB$55),"")</f>
        <v>198485</v>
      </c>
      <c r="BC55" t="str">
        <f ca="1">IFERROR(IF(0=LEN(ReferenceData!$BC$55),"",ReferenceData!$BC$55),"")</f>
        <v/>
      </c>
      <c r="BD55" t="str">
        <f ca="1">IFERROR(IF(0=LEN(ReferenceData!$BD$55),"",ReferenceData!$BD$55),"")</f>
        <v/>
      </c>
      <c r="BE55" t="str">
        <f ca="1">IFERROR(IF(0=LEN(ReferenceData!$BE$55),"",ReferenceData!$BE$55),"")</f>
        <v/>
      </c>
      <c r="BF55">
        <f ca="1">IFERROR(IF(0=LEN(ReferenceData!$BF$55),"",ReferenceData!$BF$55),"")</f>
        <v>349448</v>
      </c>
      <c r="BG55" t="str">
        <f ca="1">IFERROR(IF(0=LEN(ReferenceData!$BG$55),"",ReferenceData!$BG$55),"")</f>
        <v/>
      </c>
      <c r="BH55" t="str">
        <f ca="1">IFERROR(IF(0=LEN(ReferenceData!$BH$55),"",ReferenceData!$BH$55),"")</f>
        <v/>
      </c>
      <c r="BI55" t="str">
        <f ca="1">IFERROR(IF(0=LEN(ReferenceData!$BI$55),"",ReferenceData!$BI$55),"")</f>
        <v/>
      </c>
      <c r="BJ55" t="str">
        <f ca="1">IFERROR(IF(0=LEN(ReferenceData!$BJ$55),"",ReferenceData!$BJ$55),"")</f>
        <v/>
      </c>
      <c r="BK55" t="str">
        <f ca="1">IFERROR(IF(0=LEN(ReferenceData!$BK$55),"",ReferenceData!$BK$55),"")</f>
        <v/>
      </c>
      <c r="BL55" t="str">
        <f ca="1">IFERROR(IF(0=LEN(ReferenceData!$BL$55),"",ReferenceData!$BL$55),"")</f>
        <v/>
      </c>
      <c r="BM55" t="str">
        <f ca="1">IFERROR(IF(0=LEN(ReferenceData!$BM$55),"",ReferenceData!$BM$55),"")</f>
        <v/>
      </c>
    </row>
    <row r="56" spans="1:65" x14ac:dyDescent="0.25">
      <c r="A56" t="str">
        <f>IFERROR(IF(0=LEN(ReferenceData!$A$56),"",ReferenceData!$A$56),"")</f>
        <v xml:space="preserve">    Deutsche Bank AG</v>
      </c>
      <c r="B56" t="str">
        <f>IFERROR(IF(0=LEN(ReferenceData!$B$56),"",ReferenceData!$B$56),"")</f>
        <v>DBK GR Equity</v>
      </c>
      <c r="C56" t="str">
        <f>IFERROR(IF(0=LEN(ReferenceData!$C$56),"",ReferenceData!$C$56),"")</f>
        <v>BM109</v>
      </c>
      <c r="D56" t="str">
        <f>IFERROR(IF(0=LEN(ReferenceData!$D$56),"",ReferenceData!$D$56),"")</f>
        <v>BS_TRADING_SECURITIES_DERIVS</v>
      </c>
      <c r="E56" t="str">
        <f>IFERROR(IF(0=LEN(ReferenceData!$E$56),"",ReferenceData!$E$56),"")</f>
        <v>Dynamic</v>
      </c>
      <c r="F56">
        <f ca="1">IFERROR(IF(0=LEN(ReferenceData!$F$56),"",ReferenceData!$F$56),"")</f>
        <v>291754</v>
      </c>
      <c r="G56">
        <f ca="1">IFERROR(IF(0=LEN(ReferenceData!$G$56),"",ReferenceData!$G$56),"")</f>
        <v>243383</v>
      </c>
      <c r="H56">
        <f ca="1">IFERROR(IF(0=LEN(ReferenceData!$H$56),"",ReferenceData!$H$56),"")</f>
        <v>237222</v>
      </c>
      <c r="I56">
        <f ca="1">IFERROR(IF(0=LEN(ReferenceData!$I$56),"",ReferenceData!$I$56),"")</f>
        <v>231186</v>
      </c>
      <c r="J56">
        <f ca="1">IFERROR(IF(0=LEN(ReferenceData!$J$56),"",ReferenceData!$J$56),"")</f>
        <v>251856</v>
      </c>
      <c r="K56">
        <f ca="1">IFERROR(IF(0=LEN(ReferenceData!$K$56),"",ReferenceData!$K$56),"")</f>
        <v>287597</v>
      </c>
      <c r="L56">
        <f ca="1">IFERROR(IF(0=LEN(ReferenceData!$L$56),"",ReferenceData!$L$56),"")</f>
        <v>258731</v>
      </c>
      <c r="M56">
        <f ca="1">IFERROR(IF(0=LEN(ReferenceData!$M$56),"",ReferenceData!$M$56),"")</f>
        <v>246299</v>
      </c>
      <c r="N56">
        <f ca="1">IFERROR(IF(0=LEN(ReferenceData!$N$56),"",ReferenceData!$N$56),"")</f>
        <v>299686</v>
      </c>
      <c r="O56">
        <f ca="1">IFERROR(IF(0=LEN(ReferenceData!$O$56),"",ReferenceData!$O$56),"")</f>
        <v>394993</v>
      </c>
      <c r="P56">
        <f ca="1">IFERROR(IF(0=LEN(ReferenceData!$P$56),"",ReferenceData!$P$56),"")</f>
        <v>322978</v>
      </c>
      <c r="Q56">
        <f ca="1">IFERROR(IF(0=LEN(ReferenceData!$Q$56),"",ReferenceData!$Q$56),"")</f>
        <v>292011</v>
      </c>
      <c r="R56">
        <f ca="1">IFERROR(IF(0=LEN(ReferenceData!$R$56),"",ReferenceData!$R$56),"")</f>
        <v>299732</v>
      </c>
      <c r="S56">
        <f ca="1">IFERROR(IF(0=LEN(ReferenceData!$S$56),"",ReferenceData!$S$56),"")</f>
        <v>277147</v>
      </c>
      <c r="T56">
        <f ca="1">IFERROR(IF(0=LEN(ReferenceData!$T$56),"",ReferenceData!$T$56),"")</f>
        <v>273877</v>
      </c>
      <c r="U56">
        <f ca="1">IFERROR(IF(0=LEN(ReferenceData!$U$56),"",ReferenceData!$U$56),"")</f>
        <v>290488</v>
      </c>
      <c r="V56">
        <f ca="1">IFERROR(IF(0=LEN(ReferenceData!$V$56),"",ReferenceData!$V$56),"")</f>
        <v>343455</v>
      </c>
      <c r="W56">
        <f ca="1">IFERROR(IF(0=LEN(ReferenceData!$W$56),"",ReferenceData!$W$56),"")</f>
        <v>341836</v>
      </c>
      <c r="X56">
        <f ca="1">IFERROR(IF(0=LEN(ReferenceData!$X$56),"",ReferenceData!$X$56),"")</f>
        <v>372811</v>
      </c>
      <c r="Y56">
        <f ca="1">IFERROR(IF(0=LEN(ReferenceData!$Y$56),"",ReferenceData!$Y$56),"")</f>
        <v>433846</v>
      </c>
      <c r="Z56">
        <f ca="1">IFERROR(IF(0=LEN(ReferenceData!$Z$56),"",ReferenceData!$Z$56),"")</f>
        <v>332931</v>
      </c>
      <c r="AA56" t="str">
        <f ca="1">IFERROR(IF(0=LEN(ReferenceData!$AA$56),"",ReferenceData!$AA$56),"")</f>
        <v/>
      </c>
      <c r="AB56">
        <f ca="1">IFERROR(IF(0=LEN(ReferenceData!$AB$56),"",ReferenceData!$AB$56),"")</f>
        <v>366007</v>
      </c>
      <c r="AC56">
        <f ca="1">IFERROR(IF(0=LEN(ReferenceData!$AC$56),"",ReferenceData!$AC$56),"")</f>
        <v>331040</v>
      </c>
      <c r="AD56">
        <f ca="1">IFERROR(IF(0=LEN(ReferenceData!$AD$56),"",ReferenceData!$AD$56),"")</f>
        <v>320058</v>
      </c>
      <c r="AE56" t="str">
        <f ca="1">IFERROR(IF(0=LEN(ReferenceData!$AE$56),"",ReferenceData!$AE$56),"")</f>
        <v/>
      </c>
      <c r="AF56" t="str">
        <f ca="1">IFERROR(IF(0=LEN(ReferenceData!$AF$56),"",ReferenceData!$AF$56),"")</f>
        <v/>
      </c>
      <c r="AG56" t="str">
        <f ca="1">IFERROR(IF(0=LEN(ReferenceData!$AG$56),"",ReferenceData!$AG$56),"")</f>
        <v/>
      </c>
      <c r="AH56" t="str">
        <f ca="1">IFERROR(IF(0=LEN(ReferenceData!$AH$56),"",ReferenceData!$AH$56),"")</f>
        <v/>
      </c>
      <c r="AI56">
        <f ca="1">IFERROR(IF(0=LEN(ReferenceData!$AI$56),"",ReferenceData!$AI$56),"")</f>
        <v>372019</v>
      </c>
      <c r="AJ56" t="str">
        <f ca="1">IFERROR(IF(0=LEN(ReferenceData!$AJ$56),"",ReferenceData!$AJ$56),"")</f>
        <v/>
      </c>
      <c r="AK56" t="str">
        <f ca="1">IFERROR(IF(0=LEN(ReferenceData!$AK$56),"",ReferenceData!$AK$56),"")</f>
        <v/>
      </c>
      <c r="AL56" t="str">
        <f ca="1">IFERROR(IF(0=LEN(ReferenceData!$AL$56),"",ReferenceData!$AL$56),"")</f>
        <v/>
      </c>
      <c r="AM56" t="str">
        <f ca="1">IFERROR(IF(0=LEN(ReferenceData!$AM$56),"",ReferenceData!$AM$56),"")</f>
        <v/>
      </c>
      <c r="AN56" t="str">
        <f ca="1">IFERROR(IF(0=LEN(ReferenceData!$AN$56),"",ReferenceData!$AN$56),"")</f>
        <v/>
      </c>
      <c r="AO56" t="str">
        <f ca="1">IFERROR(IF(0=LEN(ReferenceData!$AO$56),"",ReferenceData!$AO$56),"")</f>
        <v/>
      </c>
      <c r="AP56" t="str">
        <f ca="1">IFERROR(IF(0=LEN(ReferenceData!$AP$56),"",ReferenceData!$AP$56),"")</f>
        <v/>
      </c>
      <c r="AQ56" t="str">
        <f ca="1">IFERROR(IF(0=LEN(ReferenceData!$AQ$56),"",ReferenceData!$AQ$56),"")</f>
        <v/>
      </c>
      <c r="AR56" t="str">
        <f ca="1">IFERROR(IF(0=LEN(ReferenceData!$AR$56),"",ReferenceData!$AR$56),"")</f>
        <v/>
      </c>
      <c r="AS56" t="str">
        <f ca="1">IFERROR(IF(0=LEN(ReferenceData!$AS$56),"",ReferenceData!$AS$56),"")</f>
        <v/>
      </c>
      <c r="AT56" t="str">
        <f ca="1">IFERROR(IF(0=LEN(ReferenceData!$AT$56),"",ReferenceData!$AT$56),"")</f>
        <v/>
      </c>
      <c r="AU56" t="str">
        <f ca="1">IFERROR(IF(0=LEN(ReferenceData!$AU$56),"",ReferenceData!$AU$56),"")</f>
        <v/>
      </c>
      <c r="AV56" t="str">
        <f ca="1">IFERROR(IF(0=LEN(ReferenceData!$AV$56),"",ReferenceData!$AV$56),"")</f>
        <v/>
      </c>
      <c r="AW56" t="str">
        <f ca="1">IFERROR(IF(0=LEN(ReferenceData!$AW$56),"",ReferenceData!$AW$56),"")</f>
        <v/>
      </c>
      <c r="AX56">
        <f ca="1">IFERROR(IF(0=LEN(ReferenceData!$AX$56),"",ReferenceData!$AX$56),"")</f>
        <v>504590</v>
      </c>
      <c r="AY56" t="str">
        <f ca="1">IFERROR(IF(0=LEN(ReferenceData!$AY$56),"",ReferenceData!$AY$56),"")</f>
        <v/>
      </c>
      <c r="AZ56" t="str">
        <f ca="1">IFERROR(IF(0=LEN(ReferenceData!$AZ$56),"",ReferenceData!$AZ$56),"")</f>
        <v/>
      </c>
      <c r="BA56" t="str">
        <f ca="1">IFERROR(IF(0=LEN(ReferenceData!$BA$56),"",ReferenceData!$BA$56),"")</f>
        <v/>
      </c>
      <c r="BB56">
        <f ca="1">IFERROR(IF(0=LEN(ReferenceData!$BB$56),"",ReferenceData!$BB$56),"")</f>
        <v>768353</v>
      </c>
      <c r="BC56" t="str">
        <f ca="1">IFERROR(IF(0=LEN(ReferenceData!$BC$56),"",ReferenceData!$BC$56),"")</f>
        <v/>
      </c>
      <c r="BD56" t="str">
        <f ca="1">IFERROR(IF(0=LEN(ReferenceData!$BD$56),"",ReferenceData!$BD$56),"")</f>
        <v/>
      </c>
      <c r="BE56" t="str">
        <f ca="1">IFERROR(IF(0=LEN(ReferenceData!$BE$56),"",ReferenceData!$BE$56),"")</f>
        <v/>
      </c>
      <c r="BF56">
        <f ca="1">IFERROR(IF(0=LEN(ReferenceData!$BF$56),"",ReferenceData!$BF$56),"")</f>
        <v>859582</v>
      </c>
      <c r="BG56" t="str">
        <f ca="1">IFERROR(IF(0=LEN(ReferenceData!$BG$56),"",ReferenceData!$BG$56),"")</f>
        <v/>
      </c>
      <c r="BH56">
        <f ca="1">IFERROR(IF(0=LEN(ReferenceData!$BH$56),"",ReferenceData!$BH$56),"")</f>
        <v>554958</v>
      </c>
      <c r="BI56" t="str">
        <f ca="1">IFERROR(IF(0=LEN(ReferenceData!$BI$56),"",ReferenceData!$BI$56),"")</f>
        <v/>
      </c>
      <c r="BJ56">
        <f ca="1">IFERROR(IF(0=LEN(ReferenceData!$BJ$56),"",ReferenceData!$BJ$56),"")</f>
        <v>657780</v>
      </c>
      <c r="BK56">
        <f ca="1">IFERROR(IF(0=LEN(ReferenceData!$BK$56),"",ReferenceData!$BK$56),"")</f>
        <v>819830</v>
      </c>
      <c r="BL56">
        <f ca="1">IFERROR(IF(0=LEN(ReferenceData!$BL$56),"",ReferenceData!$BL$56),"")</f>
        <v>802709</v>
      </c>
      <c r="BM56" t="str">
        <f ca="1">IFERROR(IF(0=LEN(ReferenceData!$BM$56),"",ReferenceData!$BM$56),"")</f>
        <v/>
      </c>
    </row>
    <row r="57" spans="1:65" x14ac:dyDescent="0.25">
      <c r="A57" t="str">
        <f>IFERROR(IF(0=LEN(ReferenceData!$A$57),"",ReferenceData!$A$57),"")</f>
        <v xml:space="preserve">    DNB Bank ASA</v>
      </c>
      <c r="B57" t="str">
        <f>IFERROR(IF(0=LEN(ReferenceData!$B$57),"",ReferenceData!$B$57),"")</f>
        <v>DNB NO Equity</v>
      </c>
      <c r="C57" t="str">
        <f>IFERROR(IF(0=LEN(ReferenceData!$C$57),"",ReferenceData!$C$57),"")</f>
        <v>BM109</v>
      </c>
      <c r="D57" t="str">
        <f>IFERROR(IF(0=LEN(ReferenceData!$D$57),"",ReferenceData!$D$57),"")</f>
        <v>BS_TRADING_SECURITIES_DERIVS</v>
      </c>
      <c r="E57" t="str">
        <f>IFERROR(IF(0=LEN(ReferenceData!$E$57),"",ReferenceData!$E$57),"")</f>
        <v>Dynamic</v>
      </c>
      <c r="F57">
        <f ca="1">IFERROR(IF(0=LEN(ReferenceData!$F$57),"",ReferenceData!$F$57),"")</f>
        <v>9315.1211619999995</v>
      </c>
      <c r="G57" t="str">
        <f ca="1">IFERROR(IF(0=LEN(ReferenceData!$G$57),"",ReferenceData!$G$57),"")</f>
        <v/>
      </c>
      <c r="H57" t="str">
        <f ca="1">IFERROR(IF(0=LEN(ReferenceData!$H$57),"",ReferenceData!$H$57),"")</f>
        <v/>
      </c>
      <c r="I57" t="str">
        <f ca="1">IFERROR(IF(0=LEN(ReferenceData!$I$57),"",ReferenceData!$I$57),"")</f>
        <v/>
      </c>
      <c r="J57">
        <f ca="1">IFERROR(IF(0=LEN(ReferenceData!$J$57),"",ReferenceData!$J$57),"")</f>
        <v>11515.69886</v>
      </c>
      <c r="K57" t="str">
        <f ca="1">IFERROR(IF(0=LEN(ReferenceData!$K$57),"",ReferenceData!$K$57),"")</f>
        <v/>
      </c>
      <c r="L57" t="str">
        <f ca="1">IFERROR(IF(0=LEN(ReferenceData!$L$57),"",ReferenceData!$L$57),"")</f>
        <v/>
      </c>
      <c r="M57" t="str">
        <f ca="1">IFERROR(IF(0=LEN(ReferenceData!$M$57),"",ReferenceData!$M$57),"")</f>
        <v/>
      </c>
      <c r="N57">
        <f ca="1">IFERROR(IF(0=LEN(ReferenceData!$N$57),"",ReferenceData!$N$57),"")</f>
        <v>16397.909489999998</v>
      </c>
      <c r="O57" t="str">
        <f ca="1">IFERROR(IF(0=LEN(ReferenceData!$O$57),"",ReferenceData!$O$57),"")</f>
        <v/>
      </c>
      <c r="P57" t="str">
        <f ca="1">IFERROR(IF(0=LEN(ReferenceData!$P$57),"",ReferenceData!$P$57),"")</f>
        <v/>
      </c>
      <c r="Q57" t="str">
        <f ca="1">IFERROR(IF(0=LEN(ReferenceData!$Q$57),"",ReferenceData!$Q$57),"")</f>
        <v/>
      </c>
      <c r="R57">
        <f ca="1">IFERROR(IF(0=LEN(ReferenceData!$R$57),"",ReferenceData!$R$57),"")</f>
        <v>11706.96319</v>
      </c>
      <c r="S57" t="str">
        <f ca="1">IFERROR(IF(0=LEN(ReferenceData!$S$57),"",ReferenceData!$S$57),"")</f>
        <v/>
      </c>
      <c r="T57" t="str">
        <f ca="1">IFERROR(IF(0=LEN(ReferenceData!$T$57),"",ReferenceData!$T$57),"")</f>
        <v/>
      </c>
      <c r="U57" t="str">
        <f ca="1">IFERROR(IF(0=LEN(ReferenceData!$U$57),"",ReferenceData!$U$57),"")</f>
        <v/>
      </c>
      <c r="V57">
        <f ca="1">IFERROR(IF(0=LEN(ReferenceData!$V$57),"",ReferenceData!$V$57),"")</f>
        <v>14783.295050000001</v>
      </c>
      <c r="W57" t="str">
        <f ca="1">IFERROR(IF(0=LEN(ReferenceData!$W$57),"",ReferenceData!$W$57),"")</f>
        <v/>
      </c>
      <c r="X57" t="str">
        <f ca="1">IFERROR(IF(0=LEN(ReferenceData!$X$57),"",ReferenceData!$X$57),"")</f>
        <v/>
      </c>
      <c r="Y57" t="str">
        <f ca="1">IFERROR(IF(0=LEN(ReferenceData!$Y$57),"",ReferenceData!$Y$57),"")</f>
        <v/>
      </c>
      <c r="Z57">
        <f ca="1">IFERROR(IF(0=LEN(ReferenceData!$Z$57),"",ReferenceData!$Z$57),"")</f>
        <v>9833.5398399999995</v>
      </c>
      <c r="AA57" t="str">
        <f ca="1">IFERROR(IF(0=LEN(ReferenceData!$AA$57),"",ReferenceData!$AA$57),"")</f>
        <v/>
      </c>
      <c r="AB57" t="str">
        <f ca="1">IFERROR(IF(0=LEN(ReferenceData!$AB$57),"",ReferenceData!$AB$57),"")</f>
        <v/>
      </c>
      <c r="AC57" t="str">
        <f ca="1">IFERROR(IF(0=LEN(ReferenceData!$AC$57),"",ReferenceData!$AC$57),"")</f>
        <v/>
      </c>
      <c r="AD57">
        <f ca="1">IFERROR(IF(0=LEN(ReferenceData!$AD$57),"",ReferenceData!$AD$57),"")</f>
        <v>10178.61591</v>
      </c>
      <c r="AE57" t="str">
        <f ca="1">IFERROR(IF(0=LEN(ReferenceData!$AE$57),"",ReferenceData!$AE$57),"")</f>
        <v/>
      </c>
      <c r="AF57" t="str">
        <f ca="1">IFERROR(IF(0=LEN(ReferenceData!$AF$57),"",ReferenceData!$AF$57),"")</f>
        <v/>
      </c>
      <c r="AG57" t="str">
        <f ca="1">IFERROR(IF(0=LEN(ReferenceData!$AG$57),"",ReferenceData!$AG$57),"")</f>
        <v/>
      </c>
      <c r="AH57">
        <f ca="1">IFERROR(IF(0=LEN(ReferenceData!$AH$57),"",ReferenceData!$AH$57),"")</f>
        <v>10771.94203</v>
      </c>
      <c r="AI57" t="str">
        <f ca="1">IFERROR(IF(0=LEN(ReferenceData!$AI$57),"",ReferenceData!$AI$57),"")</f>
        <v/>
      </c>
      <c r="AJ57" t="str">
        <f ca="1">IFERROR(IF(0=LEN(ReferenceData!$AJ$57),"",ReferenceData!$AJ$57),"")</f>
        <v/>
      </c>
      <c r="AK57" t="str">
        <f ca="1">IFERROR(IF(0=LEN(ReferenceData!$AK$57),"",ReferenceData!$AK$57),"")</f>
        <v/>
      </c>
      <c r="AL57">
        <f ca="1">IFERROR(IF(0=LEN(ReferenceData!$AL$57),"",ReferenceData!$AL$57),"")</f>
        <v>13733.79543</v>
      </c>
      <c r="AM57" t="str">
        <f ca="1">IFERROR(IF(0=LEN(ReferenceData!$AM$57),"",ReferenceData!$AM$57),"")</f>
        <v/>
      </c>
      <c r="AN57" t="str">
        <f ca="1">IFERROR(IF(0=LEN(ReferenceData!$AN$57),"",ReferenceData!$AN$57),"")</f>
        <v/>
      </c>
      <c r="AO57" t="str">
        <f ca="1">IFERROR(IF(0=LEN(ReferenceData!$AO$57),"",ReferenceData!$AO$57),"")</f>
        <v/>
      </c>
      <c r="AP57">
        <f ca="1">IFERROR(IF(0=LEN(ReferenceData!$AP$57),"",ReferenceData!$AP$57),"")</f>
        <v>17216.716649999998</v>
      </c>
      <c r="AQ57" t="str">
        <f ca="1">IFERROR(IF(0=LEN(ReferenceData!$AQ$57),"",ReferenceData!$AQ$57),"")</f>
        <v/>
      </c>
      <c r="AR57" t="str">
        <f ca="1">IFERROR(IF(0=LEN(ReferenceData!$AR$57),"",ReferenceData!$AR$57),"")</f>
        <v/>
      </c>
      <c r="AS57" t="str">
        <f ca="1">IFERROR(IF(0=LEN(ReferenceData!$AS$57),"",ReferenceData!$AS$57),"")</f>
        <v/>
      </c>
      <c r="AT57" t="str">
        <f ca="1">IFERROR(IF(0=LEN(ReferenceData!$AT$57),"",ReferenceData!$AT$57),"")</f>
        <v/>
      </c>
      <c r="AU57" t="str">
        <f ca="1">IFERROR(IF(0=LEN(ReferenceData!$AU$57),"",ReferenceData!$AU$57),"")</f>
        <v/>
      </c>
      <c r="AV57" t="str">
        <f ca="1">IFERROR(IF(0=LEN(ReferenceData!$AV$57),"",ReferenceData!$AV$57),"")</f>
        <v/>
      </c>
      <c r="AW57" t="str">
        <f ca="1">IFERROR(IF(0=LEN(ReferenceData!$AW$57),"",ReferenceData!$AW$57),"")</f>
        <v/>
      </c>
      <c r="AX57" t="str">
        <f ca="1">IFERROR(IF(0=LEN(ReferenceData!$AX$57),"",ReferenceData!$AX$57),"")</f>
        <v/>
      </c>
      <c r="AY57" t="str">
        <f ca="1">IFERROR(IF(0=LEN(ReferenceData!$AY$57),"",ReferenceData!$AY$57),"")</f>
        <v/>
      </c>
      <c r="AZ57" t="str">
        <f ca="1">IFERROR(IF(0=LEN(ReferenceData!$AZ$57),"",ReferenceData!$AZ$57),"")</f>
        <v/>
      </c>
      <c r="BA57" t="str">
        <f ca="1">IFERROR(IF(0=LEN(ReferenceData!$BA$57),"",ReferenceData!$BA$57),"")</f>
        <v/>
      </c>
      <c r="BB57" t="str">
        <f ca="1">IFERROR(IF(0=LEN(ReferenceData!$BB$57),"",ReferenceData!$BB$57),"")</f>
        <v/>
      </c>
      <c r="BC57" t="str">
        <f ca="1">IFERROR(IF(0=LEN(ReferenceData!$BC$57),"",ReferenceData!$BC$57),"")</f>
        <v/>
      </c>
      <c r="BD57" t="str">
        <f ca="1">IFERROR(IF(0=LEN(ReferenceData!$BD$57),"",ReferenceData!$BD$57),"")</f>
        <v/>
      </c>
      <c r="BE57" t="str">
        <f ca="1">IFERROR(IF(0=LEN(ReferenceData!$BE$57),"",ReferenceData!$BE$57),"")</f>
        <v/>
      </c>
      <c r="BF57" t="str">
        <f ca="1">IFERROR(IF(0=LEN(ReferenceData!$BF$57),"",ReferenceData!$BF$57),"")</f>
        <v/>
      </c>
      <c r="BG57" t="str">
        <f ca="1">IFERROR(IF(0=LEN(ReferenceData!$BG$57),"",ReferenceData!$BG$57),"")</f>
        <v/>
      </c>
      <c r="BH57" t="str">
        <f ca="1">IFERROR(IF(0=LEN(ReferenceData!$BH$57),"",ReferenceData!$BH$57),"")</f>
        <v/>
      </c>
      <c r="BI57" t="str">
        <f ca="1">IFERROR(IF(0=LEN(ReferenceData!$BI$57),"",ReferenceData!$BI$57),"")</f>
        <v/>
      </c>
      <c r="BJ57" t="str">
        <f ca="1">IFERROR(IF(0=LEN(ReferenceData!$BJ$57),"",ReferenceData!$BJ$57),"")</f>
        <v/>
      </c>
      <c r="BK57" t="str">
        <f ca="1">IFERROR(IF(0=LEN(ReferenceData!$BK$57),"",ReferenceData!$BK$57),"")</f>
        <v/>
      </c>
      <c r="BL57" t="str">
        <f ca="1">IFERROR(IF(0=LEN(ReferenceData!$BL$57),"",ReferenceData!$BL$57),"")</f>
        <v/>
      </c>
      <c r="BM57" t="str">
        <f ca="1">IFERROR(IF(0=LEN(ReferenceData!$BM$57),"",ReferenceData!$BM$57),"")</f>
        <v/>
      </c>
    </row>
    <row r="58" spans="1:65" x14ac:dyDescent="0.25">
      <c r="A58" t="str">
        <f>IFERROR(IF(0=LEN(ReferenceData!$A$58),"",ReferenceData!$A$58),"")</f>
        <v xml:space="preserve">    Danske Bank A/S</v>
      </c>
      <c r="B58" t="str">
        <f>IFERROR(IF(0=LEN(ReferenceData!$B$58),"",ReferenceData!$B$58),"")</f>
        <v>DANSKE DC Equity</v>
      </c>
      <c r="C58" t="str">
        <f>IFERROR(IF(0=LEN(ReferenceData!$C$58),"",ReferenceData!$C$58),"")</f>
        <v>BM109</v>
      </c>
      <c r="D58" t="str">
        <f>IFERROR(IF(0=LEN(ReferenceData!$D$58),"",ReferenceData!$D$58),"")</f>
        <v>BS_TRADING_SECURITIES_DERIVS</v>
      </c>
      <c r="E58" t="str">
        <f>IFERROR(IF(0=LEN(ReferenceData!$E$58),"",ReferenceData!$E$58),"")</f>
        <v>Dynamic</v>
      </c>
      <c r="F58">
        <f ca="1">IFERROR(IF(0=LEN(ReferenceData!$F$58),"",ReferenceData!$F$58),"")</f>
        <v>34962.436549999999</v>
      </c>
      <c r="G58" t="str">
        <f ca="1">IFERROR(IF(0=LEN(ReferenceData!$G$58),"",ReferenceData!$G$58),"")</f>
        <v/>
      </c>
      <c r="H58" t="str">
        <f ca="1">IFERROR(IF(0=LEN(ReferenceData!$H$58),"",ReferenceData!$H$58),"")</f>
        <v/>
      </c>
      <c r="I58" t="str">
        <f ca="1">IFERROR(IF(0=LEN(ReferenceData!$I$58),"",ReferenceData!$I$58),"")</f>
        <v/>
      </c>
      <c r="J58">
        <f ca="1">IFERROR(IF(0=LEN(ReferenceData!$J$58),"",ReferenceData!$J$58),"")</f>
        <v>46352.040050000003</v>
      </c>
      <c r="K58" t="str">
        <f ca="1">IFERROR(IF(0=LEN(ReferenceData!$K$58),"",ReferenceData!$K$58),"")</f>
        <v/>
      </c>
      <c r="L58" t="str">
        <f ca="1">IFERROR(IF(0=LEN(ReferenceData!$L$58),"",ReferenceData!$L$58),"")</f>
        <v/>
      </c>
      <c r="M58" t="str">
        <f ca="1">IFERROR(IF(0=LEN(ReferenceData!$M$58),"",ReferenceData!$M$58),"")</f>
        <v/>
      </c>
      <c r="N58">
        <f ca="1">IFERROR(IF(0=LEN(ReferenceData!$N$58),"",ReferenceData!$N$58),"")</f>
        <v>57387.095249999998</v>
      </c>
      <c r="O58" t="str">
        <f ca="1">IFERROR(IF(0=LEN(ReferenceData!$O$58),"",ReferenceData!$O$58),"")</f>
        <v/>
      </c>
      <c r="P58" t="str">
        <f ca="1">IFERROR(IF(0=LEN(ReferenceData!$P$58),"",ReferenceData!$P$58),"")</f>
        <v/>
      </c>
      <c r="Q58" t="str">
        <f ca="1">IFERROR(IF(0=LEN(ReferenceData!$Q$58),"",ReferenceData!$Q$58),"")</f>
        <v/>
      </c>
      <c r="R58">
        <f ca="1">IFERROR(IF(0=LEN(ReferenceData!$R$58),"",ReferenceData!$R$58),"")</f>
        <v>33961.097739999997</v>
      </c>
      <c r="S58" t="str">
        <f ca="1">IFERROR(IF(0=LEN(ReferenceData!$S$58),"",ReferenceData!$S$58),"")</f>
        <v/>
      </c>
      <c r="T58" t="str">
        <f ca="1">IFERROR(IF(0=LEN(ReferenceData!$T$58),"",ReferenceData!$T$58),"")</f>
        <v/>
      </c>
      <c r="U58" t="str">
        <f ca="1">IFERROR(IF(0=LEN(ReferenceData!$U$58),"",ReferenceData!$U$58),"")</f>
        <v/>
      </c>
      <c r="V58">
        <f ca="1">IFERROR(IF(0=LEN(ReferenceData!$V$58),"",ReferenceData!$V$58),"")</f>
        <v>49093.327169999997</v>
      </c>
      <c r="W58" t="str">
        <f ca="1">IFERROR(IF(0=LEN(ReferenceData!$W$58),"",ReferenceData!$W$58),"")</f>
        <v/>
      </c>
      <c r="X58" t="str">
        <f ca="1">IFERROR(IF(0=LEN(ReferenceData!$X$58),"",ReferenceData!$X$58),"")</f>
        <v/>
      </c>
      <c r="Y58" t="str">
        <f ca="1">IFERROR(IF(0=LEN(ReferenceData!$Y$58),"",ReferenceData!$Y$58),"")</f>
        <v/>
      </c>
      <c r="Z58">
        <f ca="1">IFERROR(IF(0=LEN(ReferenceData!$Z$58),"",ReferenceData!$Z$58),"")</f>
        <v>38028.695749999999</v>
      </c>
      <c r="AA58" t="str">
        <f ca="1">IFERROR(IF(0=LEN(ReferenceData!$AA$58),"",ReferenceData!$AA$58),"")</f>
        <v/>
      </c>
      <c r="AB58" t="str">
        <f ca="1">IFERROR(IF(0=LEN(ReferenceData!$AB$58),"",ReferenceData!$AB$58),"")</f>
        <v/>
      </c>
      <c r="AC58" t="str">
        <f ca="1">IFERROR(IF(0=LEN(ReferenceData!$AC$58),"",ReferenceData!$AC$58),"")</f>
        <v/>
      </c>
      <c r="AD58">
        <f ca="1">IFERROR(IF(0=LEN(ReferenceData!$AD$58),"",ReferenceData!$AD$58),"")</f>
        <v>31650.628430000001</v>
      </c>
      <c r="AE58" t="str">
        <f ca="1">IFERROR(IF(0=LEN(ReferenceData!$AE$58),"",ReferenceData!$AE$58),"")</f>
        <v/>
      </c>
      <c r="AF58" t="str">
        <f ca="1">IFERROR(IF(0=LEN(ReferenceData!$AF$58),"",ReferenceData!$AF$58),"")</f>
        <v/>
      </c>
      <c r="AG58" t="str">
        <f ca="1">IFERROR(IF(0=LEN(ReferenceData!$AG$58),"",ReferenceData!$AG$58),"")</f>
        <v/>
      </c>
      <c r="AH58">
        <f ca="1">IFERROR(IF(0=LEN(ReferenceData!$AH$58),"",ReferenceData!$AH$58),"")</f>
        <v>33373.485780000003</v>
      </c>
      <c r="AI58" t="str">
        <f ca="1">IFERROR(IF(0=LEN(ReferenceData!$AI$58),"",ReferenceData!$AI$58),"")</f>
        <v/>
      </c>
      <c r="AJ58" t="str">
        <f ca="1">IFERROR(IF(0=LEN(ReferenceData!$AJ$58),"",ReferenceData!$AJ$58),"")</f>
        <v/>
      </c>
      <c r="AK58" t="str">
        <f ca="1">IFERROR(IF(0=LEN(ReferenceData!$AK$58),"",ReferenceData!$AK$58),"")</f>
        <v/>
      </c>
      <c r="AL58" t="str">
        <f ca="1">IFERROR(IF(0=LEN(ReferenceData!$AL$58),"",ReferenceData!$AL$58),"")</f>
        <v/>
      </c>
      <c r="AM58" t="str">
        <f ca="1">IFERROR(IF(0=LEN(ReferenceData!$AM$58),"",ReferenceData!$AM$58),"")</f>
        <v/>
      </c>
      <c r="AN58" t="str">
        <f ca="1">IFERROR(IF(0=LEN(ReferenceData!$AN$58),"",ReferenceData!$AN$58),"")</f>
        <v/>
      </c>
      <c r="AO58" t="str">
        <f ca="1">IFERROR(IF(0=LEN(ReferenceData!$AO$58),"",ReferenceData!$AO$58),"")</f>
        <v/>
      </c>
      <c r="AP58" t="str">
        <f ca="1">IFERROR(IF(0=LEN(ReferenceData!$AP$58),"",ReferenceData!$AP$58),"")</f>
        <v/>
      </c>
      <c r="AQ58" t="str">
        <f ca="1">IFERROR(IF(0=LEN(ReferenceData!$AQ$58),"",ReferenceData!$AQ$58),"")</f>
        <v/>
      </c>
      <c r="AR58" t="str">
        <f ca="1">IFERROR(IF(0=LEN(ReferenceData!$AR$58),"",ReferenceData!$AR$58),"")</f>
        <v/>
      </c>
      <c r="AS58" t="str">
        <f ca="1">IFERROR(IF(0=LEN(ReferenceData!$AS$58),"",ReferenceData!$AS$58),"")</f>
        <v/>
      </c>
      <c r="AT58">
        <f ca="1">IFERROR(IF(0=LEN(ReferenceData!$AT$58),"",ReferenceData!$AT$58),"")</f>
        <v>44455.618990000003</v>
      </c>
      <c r="AU58" t="str">
        <f ca="1">IFERROR(IF(0=LEN(ReferenceData!$AU$58),"",ReferenceData!$AU$58),"")</f>
        <v/>
      </c>
      <c r="AV58" t="str">
        <f ca="1">IFERROR(IF(0=LEN(ReferenceData!$AV$58),"",ReferenceData!$AV$58),"")</f>
        <v/>
      </c>
      <c r="AW58" t="str">
        <f ca="1">IFERROR(IF(0=LEN(ReferenceData!$AW$58),"",ReferenceData!$AW$58),"")</f>
        <v/>
      </c>
      <c r="AX58">
        <f ca="1">IFERROR(IF(0=LEN(ReferenceData!$AX$58),"",ReferenceData!$AX$58),"")</f>
        <v>21704.72983</v>
      </c>
      <c r="AY58">
        <f ca="1">IFERROR(IF(0=LEN(ReferenceData!$AY$58),"",ReferenceData!$AY$58),"")</f>
        <v>15356.04133</v>
      </c>
      <c r="AZ58" t="str">
        <f ca="1">IFERROR(IF(0=LEN(ReferenceData!$AZ$58),"",ReferenceData!$AZ$58),"")</f>
        <v/>
      </c>
      <c r="BA58">
        <f ca="1">IFERROR(IF(0=LEN(ReferenceData!$BA$58),"",ReferenceData!$BA$58),"")</f>
        <v>15243.82711</v>
      </c>
      <c r="BB58">
        <f ca="1">IFERROR(IF(0=LEN(ReferenceData!$BB$58),"",ReferenceData!$BB$58),"")</f>
        <v>14439.192429999999</v>
      </c>
      <c r="BC58">
        <f ca="1">IFERROR(IF(0=LEN(ReferenceData!$BC$58),"",ReferenceData!$BC$58),"")</f>
        <v>13941.93908</v>
      </c>
      <c r="BD58">
        <f ca="1">IFERROR(IF(0=LEN(ReferenceData!$BD$58),"",ReferenceData!$BD$58),"")</f>
        <v>14187.93319</v>
      </c>
      <c r="BE58" t="str">
        <f ca="1">IFERROR(IF(0=LEN(ReferenceData!$BE$58),"",ReferenceData!$BE$58),"")</f>
        <v/>
      </c>
      <c r="BF58" t="str">
        <f ca="1">IFERROR(IF(0=LEN(ReferenceData!$BF$58),"",ReferenceData!$BF$58),"")</f>
        <v/>
      </c>
      <c r="BG58" t="str">
        <f ca="1">IFERROR(IF(0=LEN(ReferenceData!$BG$58),"",ReferenceData!$BG$58),"")</f>
        <v/>
      </c>
      <c r="BH58" t="str">
        <f ca="1">IFERROR(IF(0=LEN(ReferenceData!$BH$58),"",ReferenceData!$BH$58),"")</f>
        <v/>
      </c>
      <c r="BI58" t="str">
        <f ca="1">IFERROR(IF(0=LEN(ReferenceData!$BI$58),"",ReferenceData!$BI$58),"")</f>
        <v/>
      </c>
      <c r="BJ58" t="str">
        <f ca="1">IFERROR(IF(0=LEN(ReferenceData!$BJ$58),"",ReferenceData!$BJ$58),"")</f>
        <v/>
      </c>
      <c r="BK58" t="str">
        <f ca="1">IFERROR(IF(0=LEN(ReferenceData!$BK$58),"",ReferenceData!$BK$58),"")</f>
        <v/>
      </c>
      <c r="BL58" t="str">
        <f ca="1">IFERROR(IF(0=LEN(ReferenceData!$BL$58),"",ReferenceData!$BL$58),"")</f>
        <v/>
      </c>
      <c r="BM58" t="str">
        <f ca="1">IFERROR(IF(0=LEN(ReferenceData!$BM$58),"",ReferenceData!$BM$58),"")</f>
        <v/>
      </c>
    </row>
    <row r="59" spans="1:65" x14ac:dyDescent="0.25">
      <c r="A59" t="str">
        <f>IFERROR(IF(0=LEN(ReferenceData!$A$59),"",ReferenceData!$A$59),"")</f>
        <v xml:space="preserve">    Erste Group Bank AG</v>
      </c>
      <c r="B59" t="str">
        <f>IFERROR(IF(0=LEN(ReferenceData!$B$59),"",ReferenceData!$B$59),"")</f>
        <v>EBS AV Equity</v>
      </c>
      <c r="C59" t="str">
        <f>IFERROR(IF(0=LEN(ReferenceData!$C$59),"",ReferenceData!$C$59),"")</f>
        <v>BM109</v>
      </c>
      <c r="D59" t="str">
        <f>IFERROR(IF(0=LEN(ReferenceData!$D$59),"",ReferenceData!$D$59),"")</f>
        <v>BS_TRADING_SECURITIES_DERIVS</v>
      </c>
      <c r="E59" t="str">
        <f>IFERROR(IF(0=LEN(ReferenceData!$E$59),"",ReferenceData!$E$59),"")</f>
        <v>Dynamic</v>
      </c>
      <c r="F59">
        <f ca="1">IFERROR(IF(0=LEN(ReferenceData!$F$59),"",ReferenceData!$F$59),"")</f>
        <v>1226</v>
      </c>
      <c r="G59">
        <f ca="1">IFERROR(IF(0=LEN(ReferenceData!$G$59),"",ReferenceData!$G$59),"")</f>
        <v>1103</v>
      </c>
      <c r="H59">
        <f ca="1">IFERROR(IF(0=LEN(ReferenceData!$H$59),"",ReferenceData!$H$59),"")</f>
        <v>1048</v>
      </c>
      <c r="I59">
        <f ca="1">IFERROR(IF(0=LEN(ReferenceData!$I$59),"",ReferenceData!$I$59),"")</f>
        <v>1105.123</v>
      </c>
      <c r="J59">
        <f ca="1">IFERROR(IF(0=LEN(ReferenceData!$J$59),"",ReferenceData!$J$59),"")</f>
        <v>1262</v>
      </c>
      <c r="K59">
        <f ca="1">IFERROR(IF(0=LEN(ReferenceData!$K$59),"",ReferenceData!$K$59),"")</f>
        <v>1356.5309999999999</v>
      </c>
      <c r="L59">
        <f ca="1">IFERROR(IF(0=LEN(ReferenceData!$L$59),"",ReferenceData!$L$59),"")</f>
        <v>1305.538</v>
      </c>
      <c r="M59">
        <f ca="1">IFERROR(IF(0=LEN(ReferenceData!$M$59),"",ReferenceData!$M$59),"")</f>
        <v>1668.2059999999999</v>
      </c>
      <c r="N59">
        <f ca="1">IFERROR(IF(0=LEN(ReferenceData!$N$59),"",ReferenceData!$N$59),"")</f>
        <v>1718</v>
      </c>
      <c r="O59">
        <f ca="1">IFERROR(IF(0=LEN(ReferenceData!$O$59),"",ReferenceData!$O$59),"")</f>
        <v>1981.7629999999999</v>
      </c>
      <c r="P59">
        <f ca="1">IFERROR(IF(0=LEN(ReferenceData!$P$59),"",ReferenceData!$P$59),"")</f>
        <v>1933.7070000000001</v>
      </c>
      <c r="Q59">
        <f ca="1">IFERROR(IF(0=LEN(ReferenceData!$Q$59),"",ReferenceData!$Q$59),"")</f>
        <v>2171.8539999999998</v>
      </c>
      <c r="R59">
        <f ca="1">IFERROR(IF(0=LEN(ReferenceData!$R$59),"",ReferenceData!$R$59),"")</f>
        <v>2264.4</v>
      </c>
      <c r="S59">
        <f ca="1">IFERROR(IF(0=LEN(ReferenceData!$S$59),"",ReferenceData!$S$59),"")</f>
        <v>2269.3649999999998</v>
      </c>
      <c r="T59">
        <f ca="1">IFERROR(IF(0=LEN(ReferenceData!$T$59),"",ReferenceData!$T$59),"")</f>
        <v>2145.5770000000002</v>
      </c>
      <c r="U59">
        <f ca="1">IFERROR(IF(0=LEN(ReferenceData!$U$59),"",ReferenceData!$U$59),"")</f>
        <v>2551.2869999999998</v>
      </c>
      <c r="V59">
        <f ca="1">IFERROR(IF(0=LEN(ReferenceData!$V$59),"",ReferenceData!$V$59),"")</f>
        <v>2954.4</v>
      </c>
      <c r="W59">
        <f ca="1">IFERROR(IF(0=LEN(ReferenceData!$W$59),"",ReferenceData!$W$59),"")</f>
        <v>3369.3130000000001</v>
      </c>
      <c r="X59">
        <f ca="1">IFERROR(IF(0=LEN(ReferenceData!$X$59),"",ReferenceData!$X$59),"")</f>
        <v>3232.52</v>
      </c>
      <c r="Y59">
        <f ca="1">IFERROR(IF(0=LEN(ReferenceData!$Y$59),"",ReferenceData!$Y$59),"")</f>
        <v>4034.8380000000002</v>
      </c>
      <c r="Z59">
        <f ca="1">IFERROR(IF(0=LEN(ReferenceData!$Z$59),"",ReferenceData!$Z$59),"")</f>
        <v>2805.4470000000001</v>
      </c>
      <c r="AA59">
        <f ca="1">IFERROR(IF(0=LEN(ReferenceData!$AA$59),"",ReferenceData!$AA$59),"")</f>
        <v>3551.4409999999998</v>
      </c>
      <c r="AB59">
        <f ca="1">IFERROR(IF(0=LEN(ReferenceData!$AB$59),"",ReferenceData!$AB$59),"")</f>
        <v>3100.84</v>
      </c>
      <c r="AC59">
        <f ca="1">IFERROR(IF(0=LEN(ReferenceData!$AC$59),"",ReferenceData!$AC$59),"")</f>
        <v>3207.701</v>
      </c>
      <c r="AD59">
        <f ca="1">IFERROR(IF(0=LEN(ReferenceData!$AD$59),"",ReferenceData!$AD$59),"")</f>
        <v>3037.413</v>
      </c>
      <c r="AE59">
        <f ca="1">IFERROR(IF(0=LEN(ReferenceData!$AE$59),"",ReferenceData!$AE$59),"")</f>
        <v>3303.3150000000001</v>
      </c>
      <c r="AF59">
        <f ca="1">IFERROR(IF(0=LEN(ReferenceData!$AF$59),"",ReferenceData!$AF$59),"")</f>
        <v>3804.2649999999999</v>
      </c>
      <c r="AG59">
        <f ca="1">IFERROR(IF(0=LEN(ReferenceData!$AG$59),"",ReferenceData!$AG$59),"")</f>
        <v>3696.009</v>
      </c>
      <c r="AH59">
        <f ca="1">IFERROR(IF(0=LEN(ReferenceData!$AH$59),"",ReferenceData!$AH$59),"")</f>
        <v>3333.1419999999998</v>
      </c>
      <c r="AI59">
        <f ca="1">IFERROR(IF(0=LEN(ReferenceData!$AI$59),"",ReferenceData!$AI$59),"")</f>
        <v>3638.93</v>
      </c>
      <c r="AJ59">
        <f ca="1">IFERROR(IF(0=LEN(ReferenceData!$AJ$59),"",ReferenceData!$AJ$59),"")</f>
        <v>3990.2150000000001</v>
      </c>
      <c r="AK59">
        <f ca="1">IFERROR(IF(0=LEN(ReferenceData!$AK$59),"",ReferenceData!$AK$59),"")</f>
        <v>4101.4290000000001</v>
      </c>
      <c r="AL59">
        <f ca="1">IFERROR(IF(0=LEN(ReferenceData!$AL$59),"",ReferenceData!$AL$59),"")</f>
        <v>4474.7830000000004</v>
      </c>
      <c r="AM59">
        <f ca="1">IFERROR(IF(0=LEN(ReferenceData!$AM$59),"",ReferenceData!$AM$59),"")</f>
        <v>5297.3249999999998</v>
      </c>
      <c r="AN59">
        <f ca="1">IFERROR(IF(0=LEN(ReferenceData!$AN$59),"",ReferenceData!$AN$59),"")</f>
        <v>5609.982</v>
      </c>
      <c r="AO59">
        <f ca="1">IFERROR(IF(0=LEN(ReferenceData!$AO$59),"",ReferenceData!$AO$59),"")</f>
        <v>5668.2879999999996</v>
      </c>
      <c r="AP59">
        <f ca="1">IFERROR(IF(0=LEN(ReferenceData!$AP$59),"",ReferenceData!$AP$59),"")</f>
        <v>5303.0010000000002</v>
      </c>
      <c r="AQ59">
        <f ca="1">IFERROR(IF(0=LEN(ReferenceData!$AQ$59),"",ReferenceData!$AQ$59),"")</f>
        <v>5633.4129999999996</v>
      </c>
      <c r="AR59">
        <f ca="1">IFERROR(IF(0=LEN(ReferenceData!$AR$59),"",ReferenceData!$AR$59),"")</f>
        <v>5613.3429999999998</v>
      </c>
      <c r="AS59">
        <f ca="1">IFERROR(IF(0=LEN(ReferenceData!$AS$59),"",ReferenceData!$AS$59),"")</f>
        <v>7628.1409999999996</v>
      </c>
      <c r="AT59">
        <f ca="1">IFERROR(IF(0=LEN(ReferenceData!$AT$59),"",ReferenceData!$AT$59),"")</f>
        <v>7173.38</v>
      </c>
      <c r="AU59" t="str">
        <f ca="1">IFERROR(IF(0=LEN(ReferenceData!$AU$59),"",ReferenceData!$AU$59),"")</f>
        <v/>
      </c>
      <c r="AV59" t="str">
        <f ca="1">IFERROR(IF(0=LEN(ReferenceData!$AV$59),"",ReferenceData!$AV$59),"")</f>
        <v/>
      </c>
      <c r="AW59" t="str">
        <f ca="1">IFERROR(IF(0=LEN(ReferenceData!$AW$59),"",ReferenceData!$AW$59),"")</f>
        <v/>
      </c>
      <c r="AX59">
        <f ca="1">IFERROR(IF(0=LEN(ReferenceData!$AX$59),"",ReferenceData!$AX$59),"")</f>
        <v>6342.2370000000001</v>
      </c>
      <c r="AY59" t="str">
        <f ca="1">IFERROR(IF(0=LEN(ReferenceData!$AY$59),"",ReferenceData!$AY$59),"")</f>
        <v/>
      </c>
      <c r="AZ59" t="str">
        <f ca="1">IFERROR(IF(0=LEN(ReferenceData!$AZ$59),"",ReferenceData!$AZ$59),"")</f>
        <v/>
      </c>
      <c r="BA59">
        <f ca="1">IFERROR(IF(0=LEN(ReferenceData!$BA$59),"",ReferenceData!$BA$59),"")</f>
        <v>8149</v>
      </c>
      <c r="BB59" t="str">
        <f ca="1">IFERROR(IF(0=LEN(ReferenceData!$BB$59),"",ReferenceData!$BB$59),"")</f>
        <v/>
      </c>
      <c r="BC59">
        <f ca="1">IFERROR(IF(0=LEN(ReferenceData!$BC$59),"",ReferenceData!$BC$59),"")</f>
        <v>9642</v>
      </c>
      <c r="BD59">
        <f ca="1">IFERROR(IF(0=LEN(ReferenceData!$BD$59),"",ReferenceData!$BD$59),"")</f>
        <v>9006</v>
      </c>
      <c r="BE59">
        <f ca="1">IFERROR(IF(0=LEN(ReferenceData!$BE$59),"",ReferenceData!$BE$59),"")</f>
        <v>8082</v>
      </c>
      <c r="BF59">
        <f ca="1">IFERROR(IF(0=LEN(ReferenceData!$BF$59),"",ReferenceData!$BF$59),"")</f>
        <v>7948</v>
      </c>
      <c r="BG59">
        <f ca="1">IFERROR(IF(0=LEN(ReferenceData!$BG$59),"",ReferenceData!$BG$59),"")</f>
        <v>8889</v>
      </c>
      <c r="BH59">
        <f ca="1">IFERROR(IF(0=LEN(ReferenceData!$BH$59),"",ReferenceData!$BH$59),"")</f>
        <v>5317</v>
      </c>
      <c r="BI59">
        <f ca="1">IFERROR(IF(0=LEN(ReferenceData!$BI$59),"",ReferenceData!$BI$59),"")</f>
        <v>7064</v>
      </c>
      <c r="BJ59">
        <f ca="1">IFERROR(IF(0=LEN(ReferenceData!$BJ$59),"",ReferenceData!$BJ$59),"")</f>
        <v>6019</v>
      </c>
      <c r="BK59">
        <f ca="1">IFERROR(IF(0=LEN(ReferenceData!$BK$59),"",ReferenceData!$BK$59),"")</f>
        <v>3383</v>
      </c>
      <c r="BL59">
        <f ca="1">IFERROR(IF(0=LEN(ReferenceData!$BL$59),"",ReferenceData!$BL$59),"")</f>
        <v>2872</v>
      </c>
      <c r="BM59" t="str">
        <f ca="1">IFERROR(IF(0=LEN(ReferenceData!$BM$59),"",ReferenceData!$BM$59),"")</f>
        <v/>
      </c>
    </row>
    <row r="60" spans="1:65" x14ac:dyDescent="0.25">
      <c r="A60" t="str">
        <f>IFERROR(IF(0=LEN(ReferenceData!$A$60),"",ReferenceData!$A$60),"")</f>
        <v xml:space="preserve">    FinecoBank Banca Fineco SpA</v>
      </c>
      <c r="B60" t="str">
        <f>IFERROR(IF(0=LEN(ReferenceData!$B$60),"",ReferenceData!$B$60),"")</f>
        <v>FBK IM Equity</v>
      </c>
      <c r="C60" t="str">
        <f>IFERROR(IF(0=LEN(ReferenceData!$C$60),"",ReferenceData!$C$60),"")</f>
        <v>BM109</v>
      </c>
      <c r="D60" t="str">
        <f>IFERROR(IF(0=LEN(ReferenceData!$D$60),"",ReferenceData!$D$60),"")</f>
        <v>BS_TRADING_SECURITIES_DERIVS</v>
      </c>
      <c r="E60" t="str">
        <f>IFERROR(IF(0=LEN(ReferenceData!$E$60),"",ReferenceData!$E$60),"")</f>
        <v>Dynamic</v>
      </c>
      <c r="F60" t="str">
        <f ca="1">IFERROR(IF(0=LEN(ReferenceData!$F$60),"",ReferenceData!$F$60),"")</f>
        <v/>
      </c>
      <c r="G60" t="str">
        <f ca="1">IFERROR(IF(0=LEN(ReferenceData!$G$60),"",ReferenceData!$G$60),"")</f>
        <v/>
      </c>
      <c r="H60">
        <f ca="1">IFERROR(IF(0=LEN(ReferenceData!$H$60),"",ReferenceData!$H$60),"")</f>
        <v>6.6349999999999998</v>
      </c>
      <c r="I60" t="str">
        <f ca="1">IFERROR(IF(0=LEN(ReferenceData!$I$60),"",ReferenceData!$I$60),"")</f>
        <v/>
      </c>
      <c r="J60">
        <f ca="1">IFERROR(IF(0=LEN(ReferenceData!$J$60),"",ReferenceData!$J$60),"")</f>
        <v>5.3209999999999997</v>
      </c>
      <c r="K60" t="str">
        <f ca="1">IFERROR(IF(0=LEN(ReferenceData!$K$60),"",ReferenceData!$K$60),"")</f>
        <v/>
      </c>
      <c r="L60">
        <f ca="1">IFERROR(IF(0=LEN(ReferenceData!$L$60),"",ReferenceData!$L$60),"")</f>
        <v>7.1929999999999996</v>
      </c>
      <c r="M60" t="str">
        <f ca="1">IFERROR(IF(0=LEN(ReferenceData!$M$60),"",ReferenceData!$M$60),"")</f>
        <v/>
      </c>
      <c r="N60">
        <f ca="1">IFERROR(IF(0=LEN(ReferenceData!$N$60),"",ReferenceData!$N$60),"")</f>
        <v>6.3650000000000002</v>
      </c>
      <c r="O60" t="str">
        <f ca="1">IFERROR(IF(0=LEN(ReferenceData!$O$60),"",ReferenceData!$O$60),"")</f>
        <v/>
      </c>
      <c r="P60">
        <f ca="1">IFERROR(IF(0=LEN(ReferenceData!$P$60),"",ReferenceData!$P$60),"")</f>
        <v>11.105</v>
      </c>
      <c r="Q60" t="str">
        <f ca="1">IFERROR(IF(0=LEN(ReferenceData!$Q$60),"",ReferenceData!$Q$60),"")</f>
        <v/>
      </c>
      <c r="R60">
        <f ca="1">IFERROR(IF(0=LEN(ReferenceData!$R$60),"",ReferenceData!$R$60),"")</f>
        <v>5.4429999999999996</v>
      </c>
      <c r="S60" t="str">
        <f ca="1">IFERROR(IF(0=LEN(ReferenceData!$S$60),"",ReferenceData!$S$60),"")</f>
        <v/>
      </c>
      <c r="T60">
        <f ca="1">IFERROR(IF(0=LEN(ReferenceData!$T$60),"",ReferenceData!$T$60),"")</f>
        <v>6.6870000000000003</v>
      </c>
      <c r="U60" t="str">
        <f ca="1">IFERROR(IF(0=LEN(ReferenceData!$U$60),"",ReferenceData!$U$60),"")</f>
        <v/>
      </c>
      <c r="V60">
        <f ca="1">IFERROR(IF(0=LEN(ReferenceData!$V$60),"",ReferenceData!$V$60),"")</f>
        <v>7.0549999999999997</v>
      </c>
      <c r="W60" t="str">
        <f ca="1">IFERROR(IF(0=LEN(ReferenceData!$W$60),"",ReferenceData!$W$60),"")</f>
        <v/>
      </c>
      <c r="X60">
        <f ca="1">IFERROR(IF(0=LEN(ReferenceData!$X$60),"",ReferenceData!$X$60),"")</f>
        <v>8.5399999999999991</v>
      </c>
      <c r="Y60" t="str">
        <f ca="1">IFERROR(IF(0=LEN(ReferenceData!$Y$60),"",ReferenceData!$Y$60),"")</f>
        <v/>
      </c>
      <c r="Z60" t="str">
        <f ca="1">IFERROR(IF(0=LEN(ReferenceData!$Z$60),"",ReferenceData!$Z$60),"")</f>
        <v/>
      </c>
      <c r="AA60" t="str">
        <f ca="1">IFERROR(IF(0=LEN(ReferenceData!$AA$60),"",ReferenceData!$AA$60),"")</f>
        <v/>
      </c>
      <c r="AB60">
        <f ca="1">IFERROR(IF(0=LEN(ReferenceData!$AB$60),"",ReferenceData!$AB$60),"")</f>
        <v>4.2270000000000003</v>
      </c>
      <c r="AC60" t="str">
        <f ca="1">IFERROR(IF(0=LEN(ReferenceData!$AC$60),"",ReferenceData!$AC$60),"")</f>
        <v/>
      </c>
      <c r="AD60">
        <f ca="1">IFERROR(IF(0=LEN(ReferenceData!$AD$60),"",ReferenceData!$AD$60),"")</f>
        <v>4.7590000000000003</v>
      </c>
      <c r="AE60" t="str">
        <f ca="1">IFERROR(IF(0=LEN(ReferenceData!$AE$60),"",ReferenceData!$AE$60),"")</f>
        <v/>
      </c>
      <c r="AF60">
        <f ca="1">IFERROR(IF(0=LEN(ReferenceData!$AF$60),"",ReferenceData!$AF$60),"")</f>
        <v>6.8529999999999998</v>
      </c>
      <c r="AG60" t="str">
        <f ca="1">IFERROR(IF(0=LEN(ReferenceData!$AG$60),"",ReferenceData!$AG$60),"")</f>
        <v/>
      </c>
      <c r="AH60" t="str">
        <f ca="1">IFERROR(IF(0=LEN(ReferenceData!$AH$60),"",ReferenceData!$AH$60),"")</f>
        <v/>
      </c>
      <c r="AI60" t="str">
        <f ca="1">IFERROR(IF(0=LEN(ReferenceData!$AI$60),"",ReferenceData!$AI$60),"")</f>
        <v/>
      </c>
      <c r="AJ60">
        <f ca="1">IFERROR(IF(0=LEN(ReferenceData!$AJ$60),"",ReferenceData!$AJ$60),"")</f>
        <v>6.4859999999999998</v>
      </c>
      <c r="AK60" t="str">
        <f ca="1">IFERROR(IF(0=LEN(ReferenceData!$AK$60),"",ReferenceData!$AK$60),"")</f>
        <v/>
      </c>
      <c r="AL60">
        <f ca="1">IFERROR(IF(0=LEN(ReferenceData!$AL$60),"",ReferenceData!$AL$60),"")</f>
        <v>4.8639999999999999</v>
      </c>
      <c r="AM60" t="str">
        <f ca="1">IFERROR(IF(0=LEN(ReferenceData!$AM$60),"",ReferenceData!$AM$60),"")</f>
        <v/>
      </c>
      <c r="AN60" t="str">
        <f ca="1">IFERROR(IF(0=LEN(ReferenceData!$AN$60),"",ReferenceData!$AN$60),"")</f>
        <v/>
      </c>
      <c r="AO60" t="str">
        <f ca="1">IFERROR(IF(0=LEN(ReferenceData!$AO$60),"",ReferenceData!$AO$60),"")</f>
        <v/>
      </c>
      <c r="AP60">
        <f ca="1">IFERROR(IF(0=LEN(ReferenceData!$AP$60),"",ReferenceData!$AP$60),"")</f>
        <v>3.3519999999999999</v>
      </c>
      <c r="AQ60" t="str">
        <f ca="1">IFERROR(IF(0=LEN(ReferenceData!$AQ$60),"",ReferenceData!$AQ$60),"")</f>
        <v/>
      </c>
      <c r="AR60">
        <f ca="1">IFERROR(IF(0=LEN(ReferenceData!$AR$60),"",ReferenceData!$AR$60),"")</f>
        <v>5.3929999999999998</v>
      </c>
      <c r="AS60" t="str">
        <f ca="1">IFERROR(IF(0=LEN(ReferenceData!$AS$60),"",ReferenceData!$AS$60),"")</f>
        <v/>
      </c>
      <c r="AT60" t="str">
        <f ca="1">IFERROR(IF(0=LEN(ReferenceData!$AT$60),"",ReferenceData!$AT$60),"")</f>
        <v/>
      </c>
      <c r="AU60" t="str">
        <f ca="1">IFERROR(IF(0=LEN(ReferenceData!$AU$60),"",ReferenceData!$AU$60),"")</f>
        <v/>
      </c>
      <c r="AV60" t="str">
        <f ca="1">IFERROR(IF(0=LEN(ReferenceData!$AV$60),"",ReferenceData!$AV$60),"")</f>
        <v/>
      </c>
      <c r="AW60" t="str">
        <f ca="1">IFERROR(IF(0=LEN(ReferenceData!$AW$60),"",ReferenceData!$AW$60),"")</f>
        <v/>
      </c>
      <c r="AX60" t="str">
        <f ca="1">IFERROR(IF(0=LEN(ReferenceData!$AX$60),"",ReferenceData!$AX$60),"")</f>
        <v/>
      </c>
      <c r="AY60" t="str">
        <f ca="1">IFERROR(IF(0=LEN(ReferenceData!$AY$60),"",ReferenceData!$AY$60),"")</f>
        <v/>
      </c>
      <c r="AZ60" t="str">
        <f ca="1">IFERROR(IF(0=LEN(ReferenceData!$AZ$60),"",ReferenceData!$AZ$60),"")</f>
        <v/>
      </c>
      <c r="BA60" t="str">
        <f ca="1">IFERROR(IF(0=LEN(ReferenceData!$BA$60),"",ReferenceData!$BA$60),"")</f>
        <v/>
      </c>
      <c r="BB60" t="str">
        <f ca="1">IFERROR(IF(0=LEN(ReferenceData!$BB$60),"",ReferenceData!$BB$60),"")</f>
        <v/>
      </c>
      <c r="BC60" t="str">
        <f ca="1">IFERROR(IF(0=LEN(ReferenceData!$BC$60),"",ReferenceData!$BC$60),"")</f>
        <v/>
      </c>
      <c r="BD60" t="str">
        <f ca="1">IFERROR(IF(0=LEN(ReferenceData!$BD$60),"",ReferenceData!$BD$60),"")</f>
        <v/>
      </c>
      <c r="BE60" t="str">
        <f ca="1">IFERROR(IF(0=LEN(ReferenceData!$BE$60),"",ReferenceData!$BE$60),"")</f>
        <v/>
      </c>
      <c r="BF60" t="str">
        <f ca="1">IFERROR(IF(0=LEN(ReferenceData!$BF$60),"",ReferenceData!$BF$60),"")</f>
        <v/>
      </c>
      <c r="BG60" t="str">
        <f ca="1">IFERROR(IF(0=LEN(ReferenceData!$BG$60),"",ReferenceData!$BG$60),"")</f>
        <v/>
      </c>
      <c r="BH60" t="str">
        <f ca="1">IFERROR(IF(0=LEN(ReferenceData!$BH$60),"",ReferenceData!$BH$60),"")</f>
        <v/>
      </c>
      <c r="BI60" t="str">
        <f ca="1">IFERROR(IF(0=LEN(ReferenceData!$BI$60),"",ReferenceData!$BI$60),"")</f>
        <v/>
      </c>
      <c r="BJ60" t="str">
        <f ca="1">IFERROR(IF(0=LEN(ReferenceData!$BJ$60),"",ReferenceData!$BJ$60),"")</f>
        <v/>
      </c>
      <c r="BK60" t="str">
        <f ca="1">IFERROR(IF(0=LEN(ReferenceData!$BK$60),"",ReferenceData!$BK$60),"")</f>
        <v/>
      </c>
      <c r="BL60" t="str">
        <f ca="1">IFERROR(IF(0=LEN(ReferenceData!$BL$60),"",ReferenceData!$BL$60),"")</f>
        <v/>
      </c>
      <c r="BM60" t="str">
        <f ca="1">IFERROR(IF(0=LEN(ReferenceData!$BM$60),"",ReferenceData!$BM$60),"")</f>
        <v/>
      </c>
    </row>
    <row r="61" spans="1:65" x14ac:dyDescent="0.25">
      <c r="A61" t="str">
        <f>IFERROR(IF(0=LEN(ReferenceData!$A$61),"",ReferenceData!$A$61),"")</f>
        <v xml:space="preserve">    HSBC Holdings PLC</v>
      </c>
      <c r="B61" t="str">
        <f>IFERROR(IF(0=LEN(ReferenceData!$B$61),"",ReferenceData!$B$61),"")</f>
        <v>HSBA LN Equity</v>
      </c>
      <c r="C61" t="str">
        <f>IFERROR(IF(0=LEN(ReferenceData!$C$61),"",ReferenceData!$C$61),"")</f>
        <v>BM109</v>
      </c>
      <c r="D61" t="str">
        <f>IFERROR(IF(0=LEN(ReferenceData!$D$61),"",ReferenceData!$D$61),"")</f>
        <v>BS_TRADING_SECURITIES_DERIVS</v>
      </c>
      <c r="E61" t="str">
        <f>IFERROR(IF(0=LEN(ReferenceData!$E$61),"",ReferenceData!$E$61),"")</f>
        <v>Dynamic</v>
      </c>
      <c r="F61" t="str">
        <f ca="1">IFERROR(IF(0=LEN(ReferenceData!$F$61),"",ReferenceData!$F$61),"")</f>
        <v/>
      </c>
      <c r="G61" t="str">
        <f ca="1">IFERROR(IF(0=LEN(ReferenceData!$G$61),"",ReferenceData!$G$61),"")</f>
        <v/>
      </c>
      <c r="H61" t="str">
        <f ca="1">IFERROR(IF(0=LEN(ReferenceData!$H$61),"",ReferenceData!$H$61),"")</f>
        <v/>
      </c>
      <c r="I61" t="str">
        <f ca="1">IFERROR(IF(0=LEN(ReferenceData!$I$61),"",ReferenceData!$I$61),"")</f>
        <v/>
      </c>
      <c r="J61" t="str">
        <f ca="1">IFERROR(IF(0=LEN(ReferenceData!$J$61),"",ReferenceData!$J$61),"")</f>
        <v/>
      </c>
      <c r="K61" t="str">
        <f ca="1">IFERROR(IF(0=LEN(ReferenceData!$K$61),"",ReferenceData!$K$61),"")</f>
        <v/>
      </c>
      <c r="L61" t="str">
        <f ca="1">IFERROR(IF(0=LEN(ReferenceData!$L$61),"",ReferenceData!$L$61),"")</f>
        <v/>
      </c>
      <c r="M61" t="str">
        <f ca="1">IFERROR(IF(0=LEN(ReferenceData!$M$61),"",ReferenceData!$M$61),"")</f>
        <v/>
      </c>
      <c r="N61" t="str">
        <f ca="1">IFERROR(IF(0=LEN(ReferenceData!$N$61),"",ReferenceData!$N$61),"")</f>
        <v/>
      </c>
      <c r="O61" t="str">
        <f ca="1">IFERROR(IF(0=LEN(ReferenceData!$O$61),"",ReferenceData!$O$61),"")</f>
        <v/>
      </c>
      <c r="P61" t="str">
        <f ca="1">IFERROR(IF(0=LEN(ReferenceData!$P$61),"",ReferenceData!$P$61),"")</f>
        <v/>
      </c>
      <c r="Q61" t="str">
        <f ca="1">IFERROR(IF(0=LEN(ReferenceData!$Q$61),"",ReferenceData!$Q$61),"")</f>
        <v/>
      </c>
      <c r="R61" t="str">
        <f ca="1">IFERROR(IF(0=LEN(ReferenceData!$R$61),"",ReferenceData!$R$61),"")</f>
        <v/>
      </c>
      <c r="S61" t="str">
        <f ca="1">IFERROR(IF(0=LEN(ReferenceData!$S$61),"",ReferenceData!$S$61),"")</f>
        <v/>
      </c>
      <c r="T61" t="str">
        <f ca="1">IFERROR(IF(0=LEN(ReferenceData!$T$61),"",ReferenceData!$T$61),"")</f>
        <v/>
      </c>
      <c r="U61" t="str">
        <f ca="1">IFERROR(IF(0=LEN(ReferenceData!$U$61),"",ReferenceData!$U$61),"")</f>
        <v/>
      </c>
      <c r="V61" t="str">
        <f ca="1">IFERROR(IF(0=LEN(ReferenceData!$V$61),"",ReferenceData!$V$61),"")</f>
        <v/>
      </c>
      <c r="W61" t="str">
        <f ca="1">IFERROR(IF(0=LEN(ReferenceData!$W$61),"",ReferenceData!$W$61),"")</f>
        <v/>
      </c>
      <c r="X61" t="str">
        <f ca="1">IFERROR(IF(0=LEN(ReferenceData!$X$61),"",ReferenceData!$X$61),"")</f>
        <v/>
      </c>
      <c r="Y61" t="str">
        <f ca="1">IFERROR(IF(0=LEN(ReferenceData!$Y$61),"",ReferenceData!$Y$61),"")</f>
        <v/>
      </c>
      <c r="Z61" t="str">
        <f ca="1">IFERROR(IF(0=LEN(ReferenceData!$Z$61),"",ReferenceData!$Z$61),"")</f>
        <v/>
      </c>
      <c r="AA61" t="str">
        <f ca="1">IFERROR(IF(0=LEN(ReferenceData!$AA$61),"",ReferenceData!$AA$61),"")</f>
        <v/>
      </c>
      <c r="AB61" t="str">
        <f ca="1">IFERROR(IF(0=LEN(ReferenceData!$AB$61),"",ReferenceData!$AB$61),"")</f>
        <v/>
      </c>
      <c r="AC61" t="str">
        <f ca="1">IFERROR(IF(0=LEN(ReferenceData!$AC$61),"",ReferenceData!$AC$61),"")</f>
        <v/>
      </c>
      <c r="AD61" t="str">
        <f ca="1">IFERROR(IF(0=LEN(ReferenceData!$AD$61),"",ReferenceData!$AD$61),"")</f>
        <v/>
      </c>
      <c r="AE61" t="str">
        <f ca="1">IFERROR(IF(0=LEN(ReferenceData!$AE$61),"",ReferenceData!$AE$61),"")</f>
        <v/>
      </c>
      <c r="AF61" t="str">
        <f ca="1">IFERROR(IF(0=LEN(ReferenceData!$AF$61),"",ReferenceData!$AF$61),"")</f>
        <v/>
      </c>
      <c r="AG61" t="str">
        <f ca="1">IFERROR(IF(0=LEN(ReferenceData!$AG$61),"",ReferenceData!$AG$61),"")</f>
        <v/>
      </c>
      <c r="AH61" t="str">
        <f ca="1">IFERROR(IF(0=LEN(ReferenceData!$AH$61),"",ReferenceData!$AH$61),"")</f>
        <v/>
      </c>
      <c r="AI61" t="str">
        <f ca="1">IFERROR(IF(0=LEN(ReferenceData!$AI$61),"",ReferenceData!$AI$61),"")</f>
        <v/>
      </c>
      <c r="AJ61" t="str">
        <f ca="1">IFERROR(IF(0=LEN(ReferenceData!$AJ$61),"",ReferenceData!$AJ$61),"")</f>
        <v/>
      </c>
      <c r="AK61" t="str">
        <f ca="1">IFERROR(IF(0=LEN(ReferenceData!$AK$61),"",ReferenceData!$AK$61),"")</f>
        <v/>
      </c>
      <c r="AL61" t="str">
        <f ca="1">IFERROR(IF(0=LEN(ReferenceData!$AL$61),"",ReferenceData!$AL$61),"")</f>
        <v/>
      </c>
      <c r="AM61" t="str">
        <f ca="1">IFERROR(IF(0=LEN(ReferenceData!$AM$61),"",ReferenceData!$AM$61),"")</f>
        <v/>
      </c>
      <c r="AN61" t="str">
        <f ca="1">IFERROR(IF(0=LEN(ReferenceData!$AN$61),"",ReferenceData!$AN$61),"")</f>
        <v/>
      </c>
      <c r="AO61" t="str">
        <f ca="1">IFERROR(IF(0=LEN(ReferenceData!$AO$61),"",ReferenceData!$AO$61),"")</f>
        <v/>
      </c>
      <c r="AP61" t="str">
        <f ca="1">IFERROR(IF(0=LEN(ReferenceData!$AP$61),"",ReferenceData!$AP$61),"")</f>
        <v/>
      </c>
      <c r="AQ61" t="str">
        <f ca="1">IFERROR(IF(0=LEN(ReferenceData!$AQ$61),"",ReferenceData!$AQ$61),"")</f>
        <v/>
      </c>
      <c r="AR61" t="str">
        <f ca="1">IFERROR(IF(0=LEN(ReferenceData!$AR$61),"",ReferenceData!$AR$61),"")</f>
        <v/>
      </c>
      <c r="AS61" t="str">
        <f ca="1">IFERROR(IF(0=LEN(ReferenceData!$AS$61),"",ReferenceData!$AS$61),"")</f>
        <v/>
      </c>
      <c r="AT61" t="str">
        <f ca="1">IFERROR(IF(0=LEN(ReferenceData!$AT$61),"",ReferenceData!$AT$61),"")</f>
        <v/>
      </c>
      <c r="AU61" t="str">
        <f ca="1">IFERROR(IF(0=LEN(ReferenceData!$AU$61),"",ReferenceData!$AU$61),"")</f>
        <v/>
      </c>
      <c r="AV61">
        <f ca="1">IFERROR(IF(0=LEN(ReferenceData!$AV$61),"",ReferenceData!$AV$61),"")</f>
        <v>197106.64720000001</v>
      </c>
      <c r="AW61" t="str">
        <f ca="1">IFERROR(IF(0=LEN(ReferenceData!$AW$61),"",ReferenceData!$AW$61),"")</f>
        <v/>
      </c>
      <c r="AX61" t="str">
        <f ca="1">IFERROR(IF(0=LEN(ReferenceData!$AX$61),"",ReferenceData!$AX$61),"")</f>
        <v/>
      </c>
      <c r="AY61" t="str">
        <f ca="1">IFERROR(IF(0=LEN(ReferenceData!$AY$61),"",ReferenceData!$AY$61),"")</f>
        <v/>
      </c>
      <c r="AZ61">
        <f ca="1">IFERROR(IF(0=LEN(ReferenceData!$AZ$61),"",ReferenceData!$AZ$61),"")</f>
        <v>230075.35560000001</v>
      </c>
      <c r="BA61" t="str">
        <f ca="1">IFERROR(IF(0=LEN(ReferenceData!$BA$61),"",ReferenceData!$BA$61),"")</f>
        <v/>
      </c>
      <c r="BB61">
        <f ca="1">IFERROR(IF(0=LEN(ReferenceData!$BB$61),"",ReferenceData!$BB$61),"")</f>
        <v>266875.04739999998</v>
      </c>
      <c r="BC61" t="str">
        <f ca="1">IFERROR(IF(0=LEN(ReferenceData!$BC$61),"",ReferenceData!$BC$61),"")</f>
        <v/>
      </c>
      <c r="BD61">
        <f ca="1">IFERROR(IF(0=LEN(ReferenceData!$BD$61),"",ReferenceData!$BD$61),"")</f>
        <v>281348.51</v>
      </c>
      <c r="BE61" t="str">
        <f ca="1">IFERROR(IF(0=LEN(ReferenceData!$BE$61),"",ReferenceData!$BE$61),"")</f>
        <v/>
      </c>
      <c r="BF61">
        <f ca="1">IFERROR(IF(0=LEN(ReferenceData!$BF$61),"",ReferenceData!$BF$61),"")</f>
        <v>264594.13579999999</v>
      </c>
      <c r="BG61" t="str">
        <f ca="1">IFERROR(IF(0=LEN(ReferenceData!$BG$61),"",ReferenceData!$BG$61),"")</f>
        <v/>
      </c>
      <c r="BH61">
        <f ca="1">IFERROR(IF(0=LEN(ReferenceData!$BH$61),"",ReferenceData!$BH$61),"")</f>
        <v>179649.89660000001</v>
      </c>
      <c r="BI61" t="str">
        <f ca="1">IFERROR(IF(0=LEN(ReferenceData!$BI$61),"",ReferenceData!$BI$61),"")</f>
        <v/>
      </c>
      <c r="BJ61">
        <f ca="1">IFERROR(IF(0=LEN(ReferenceData!$BJ$61),"",ReferenceData!$BJ$61),"")</f>
        <v>192046.23670000001</v>
      </c>
      <c r="BK61" t="str">
        <f ca="1">IFERROR(IF(0=LEN(ReferenceData!$BK$61),"",ReferenceData!$BK$61),"")</f>
        <v/>
      </c>
      <c r="BL61">
        <f ca="1">IFERROR(IF(0=LEN(ReferenceData!$BL$61),"",ReferenceData!$BL$61),"")</f>
        <v>235195.39850000001</v>
      </c>
      <c r="BM61" t="str">
        <f ca="1">IFERROR(IF(0=LEN(ReferenceData!$BM$61),"",ReferenceData!$BM$61),"")</f>
        <v/>
      </c>
    </row>
    <row r="62" spans="1:65" x14ac:dyDescent="0.25">
      <c r="A62" t="str">
        <f>IFERROR(IF(0=LEN(ReferenceData!$A$62),"",ReferenceData!$A$62),"")</f>
        <v xml:space="preserve">    ING Groep NV</v>
      </c>
      <c r="B62" t="str">
        <f>IFERROR(IF(0=LEN(ReferenceData!$B$62),"",ReferenceData!$B$62),"")</f>
        <v>INGA NA Equity</v>
      </c>
      <c r="C62" t="str">
        <f>IFERROR(IF(0=LEN(ReferenceData!$C$62),"",ReferenceData!$C$62),"")</f>
        <v>BM109</v>
      </c>
      <c r="D62" t="str">
        <f>IFERROR(IF(0=LEN(ReferenceData!$D$62),"",ReferenceData!$D$62),"")</f>
        <v>BS_TRADING_SECURITIES_DERIVS</v>
      </c>
      <c r="E62" t="str">
        <f>IFERROR(IF(0=LEN(ReferenceData!$E$62),"",ReferenceData!$E$62),"")</f>
        <v>Dynamic</v>
      </c>
      <c r="F62">
        <f ca="1">IFERROR(IF(0=LEN(ReferenceData!$F$62),"",ReferenceData!$F$62),"")</f>
        <v>1606</v>
      </c>
      <c r="G62" t="str">
        <f ca="1">IFERROR(IF(0=LEN(ReferenceData!$G$62),"",ReferenceData!$G$62),"")</f>
        <v/>
      </c>
      <c r="H62" t="str">
        <f ca="1">IFERROR(IF(0=LEN(ReferenceData!$H$62),"",ReferenceData!$H$62),"")</f>
        <v/>
      </c>
      <c r="I62" t="str">
        <f ca="1">IFERROR(IF(0=LEN(ReferenceData!$I$62),"",ReferenceData!$I$62),"")</f>
        <v/>
      </c>
      <c r="J62">
        <f ca="1">IFERROR(IF(0=LEN(ReferenceData!$J$62),"",ReferenceData!$J$62),"")</f>
        <v>771</v>
      </c>
      <c r="K62" t="str">
        <f ca="1">IFERROR(IF(0=LEN(ReferenceData!$K$62),"",ReferenceData!$K$62),"")</f>
        <v/>
      </c>
      <c r="L62" t="str">
        <f ca="1">IFERROR(IF(0=LEN(ReferenceData!$L$62),"",ReferenceData!$L$62),"")</f>
        <v/>
      </c>
      <c r="M62" t="str">
        <f ca="1">IFERROR(IF(0=LEN(ReferenceData!$M$62),"",ReferenceData!$M$62),"")</f>
        <v/>
      </c>
      <c r="N62">
        <f ca="1">IFERROR(IF(0=LEN(ReferenceData!$N$62),"",ReferenceData!$N$62),"")</f>
        <v>30841</v>
      </c>
      <c r="O62" t="str">
        <f ca="1">IFERROR(IF(0=LEN(ReferenceData!$O$62),"",ReferenceData!$O$62),"")</f>
        <v/>
      </c>
      <c r="P62" t="str">
        <f ca="1">IFERROR(IF(0=LEN(ReferenceData!$P$62),"",ReferenceData!$P$62),"")</f>
        <v/>
      </c>
      <c r="Q62" t="str">
        <f ca="1">IFERROR(IF(0=LEN(ReferenceData!$Q$62),"",ReferenceData!$Q$62),"")</f>
        <v/>
      </c>
      <c r="R62">
        <f ca="1">IFERROR(IF(0=LEN(ReferenceData!$R$62),"",ReferenceData!$R$62),"")</f>
        <v>19764</v>
      </c>
      <c r="S62" t="str">
        <f ca="1">IFERROR(IF(0=LEN(ReferenceData!$S$62),"",ReferenceData!$S$62),"")</f>
        <v/>
      </c>
      <c r="T62" t="str">
        <f ca="1">IFERROR(IF(0=LEN(ReferenceData!$T$62),"",ReferenceData!$T$62),"")</f>
        <v/>
      </c>
      <c r="U62" t="str">
        <f ca="1">IFERROR(IF(0=LEN(ReferenceData!$U$62),"",ReferenceData!$U$62),"")</f>
        <v/>
      </c>
      <c r="V62">
        <f ca="1">IFERROR(IF(0=LEN(ReferenceData!$V$62),"",ReferenceData!$V$62),"")</f>
        <v>27238</v>
      </c>
      <c r="W62" t="str">
        <f ca="1">IFERROR(IF(0=LEN(ReferenceData!$W$62),"",ReferenceData!$W$62),"")</f>
        <v/>
      </c>
      <c r="X62" t="str">
        <f ca="1">IFERROR(IF(0=LEN(ReferenceData!$X$62),"",ReferenceData!$X$62),"")</f>
        <v/>
      </c>
      <c r="Y62" t="str">
        <f ca="1">IFERROR(IF(0=LEN(ReferenceData!$Y$62),"",ReferenceData!$Y$62),"")</f>
        <v/>
      </c>
      <c r="Z62">
        <f ca="1">IFERROR(IF(0=LEN(ReferenceData!$Z$62),"",ReferenceData!$Z$62),"")</f>
        <v>21694</v>
      </c>
      <c r="AA62" t="str">
        <f ca="1">IFERROR(IF(0=LEN(ReferenceData!$AA$62),"",ReferenceData!$AA$62),"")</f>
        <v/>
      </c>
      <c r="AB62" t="str">
        <f ca="1">IFERROR(IF(0=LEN(ReferenceData!$AB$62),"",ReferenceData!$AB$62),"")</f>
        <v/>
      </c>
      <c r="AC62" t="str">
        <f ca="1">IFERROR(IF(0=LEN(ReferenceData!$AC$62),"",ReferenceData!$AC$62),"")</f>
        <v/>
      </c>
      <c r="AD62">
        <f ca="1">IFERROR(IF(0=LEN(ReferenceData!$AD$62),"",ReferenceData!$AD$62),"")</f>
        <v>22110</v>
      </c>
      <c r="AE62" t="str">
        <f ca="1">IFERROR(IF(0=LEN(ReferenceData!$AE$62),"",ReferenceData!$AE$62),"")</f>
        <v/>
      </c>
      <c r="AF62" t="str">
        <f ca="1">IFERROR(IF(0=LEN(ReferenceData!$AF$62),"",ReferenceData!$AF$62),"")</f>
        <v/>
      </c>
      <c r="AG62" t="str">
        <f ca="1">IFERROR(IF(0=LEN(ReferenceData!$AG$62),"",ReferenceData!$AG$62),"")</f>
        <v/>
      </c>
      <c r="AH62">
        <f ca="1">IFERROR(IF(0=LEN(ReferenceData!$AH$62),"",ReferenceData!$AH$62),"")</f>
        <v>27444</v>
      </c>
      <c r="AI62" t="str">
        <f ca="1">IFERROR(IF(0=LEN(ReferenceData!$AI$62),"",ReferenceData!$AI$62),"")</f>
        <v/>
      </c>
      <c r="AJ62" t="str">
        <f ca="1">IFERROR(IF(0=LEN(ReferenceData!$AJ$62),"",ReferenceData!$AJ$62),"")</f>
        <v/>
      </c>
      <c r="AK62" t="str">
        <f ca="1">IFERROR(IF(0=LEN(ReferenceData!$AK$62),"",ReferenceData!$AK$62),"")</f>
        <v/>
      </c>
      <c r="AL62" t="str">
        <f ca="1">IFERROR(IF(0=LEN(ReferenceData!$AL$62),"",ReferenceData!$AL$62),"")</f>
        <v/>
      </c>
      <c r="AM62" t="str">
        <f ca="1">IFERROR(IF(0=LEN(ReferenceData!$AM$62),"",ReferenceData!$AM$62),"")</f>
        <v/>
      </c>
      <c r="AN62" t="str">
        <f ca="1">IFERROR(IF(0=LEN(ReferenceData!$AN$62),"",ReferenceData!$AN$62),"")</f>
        <v/>
      </c>
      <c r="AO62" t="str">
        <f ca="1">IFERROR(IF(0=LEN(ReferenceData!$AO$62),"",ReferenceData!$AO$62),"")</f>
        <v/>
      </c>
      <c r="AP62" t="str">
        <f ca="1">IFERROR(IF(0=LEN(ReferenceData!$AP$62),"",ReferenceData!$AP$62),"")</f>
        <v/>
      </c>
      <c r="AQ62" t="str">
        <f ca="1">IFERROR(IF(0=LEN(ReferenceData!$AQ$62),"",ReferenceData!$AQ$62),"")</f>
        <v/>
      </c>
      <c r="AR62" t="str">
        <f ca="1">IFERROR(IF(0=LEN(ReferenceData!$AR$62),"",ReferenceData!$AR$62),"")</f>
        <v/>
      </c>
      <c r="AS62" t="str">
        <f ca="1">IFERROR(IF(0=LEN(ReferenceData!$AS$62),"",ReferenceData!$AS$62),"")</f>
        <v/>
      </c>
      <c r="AT62" t="str">
        <f ca="1">IFERROR(IF(0=LEN(ReferenceData!$AT$62),"",ReferenceData!$AT$62),"")</f>
        <v/>
      </c>
      <c r="AU62" t="str">
        <f ca="1">IFERROR(IF(0=LEN(ReferenceData!$AU$62),"",ReferenceData!$AU$62),"")</f>
        <v/>
      </c>
      <c r="AV62" t="str">
        <f ca="1">IFERROR(IF(0=LEN(ReferenceData!$AV$62),"",ReferenceData!$AV$62),"")</f>
        <v/>
      </c>
      <c r="AW62" t="str">
        <f ca="1">IFERROR(IF(0=LEN(ReferenceData!$AW$62),"",ReferenceData!$AW$62),"")</f>
        <v/>
      </c>
      <c r="AX62">
        <f ca="1">IFERROR(IF(0=LEN(ReferenceData!$AX$62),"",ReferenceData!$AX$62),"")</f>
        <v>31433</v>
      </c>
      <c r="AY62" t="str">
        <f ca="1">IFERROR(IF(0=LEN(ReferenceData!$AY$62),"",ReferenceData!$AY$62),"")</f>
        <v/>
      </c>
      <c r="AZ62" t="str">
        <f ca="1">IFERROR(IF(0=LEN(ReferenceData!$AZ$62),"",ReferenceData!$AZ$62),"")</f>
        <v/>
      </c>
      <c r="BA62" t="str">
        <f ca="1">IFERROR(IF(0=LEN(ReferenceData!$BA$62),"",ReferenceData!$BA$62),"")</f>
        <v/>
      </c>
      <c r="BB62" t="str">
        <f ca="1">IFERROR(IF(0=LEN(ReferenceData!$BB$62),"",ReferenceData!$BB$62),"")</f>
        <v/>
      </c>
      <c r="BC62" t="str">
        <f ca="1">IFERROR(IF(0=LEN(ReferenceData!$BC$62),"",ReferenceData!$BC$62),"")</f>
        <v/>
      </c>
      <c r="BD62" t="str">
        <f ca="1">IFERROR(IF(0=LEN(ReferenceData!$BD$62),"",ReferenceData!$BD$62),"")</f>
        <v/>
      </c>
      <c r="BE62" t="str">
        <f ca="1">IFERROR(IF(0=LEN(ReferenceData!$BE$62),"",ReferenceData!$BE$62),"")</f>
        <v/>
      </c>
      <c r="BF62" t="str">
        <f ca="1">IFERROR(IF(0=LEN(ReferenceData!$BF$62),"",ReferenceData!$BF$62),"")</f>
        <v/>
      </c>
      <c r="BG62" t="str">
        <f ca="1">IFERROR(IF(0=LEN(ReferenceData!$BG$62),"",ReferenceData!$BG$62),"")</f>
        <v/>
      </c>
      <c r="BH62" t="str">
        <f ca="1">IFERROR(IF(0=LEN(ReferenceData!$BH$62),"",ReferenceData!$BH$62),"")</f>
        <v/>
      </c>
      <c r="BI62" t="str">
        <f ca="1">IFERROR(IF(0=LEN(ReferenceData!$BI$62),"",ReferenceData!$BI$62),"")</f>
        <v/>
      </c>
      <c r="BJ62" t="str">
        <f ca="1">IFERROR(IF(0=LEN(ReferenceData!$BJ$62),"",ReferenceData!$BJ$62),"")</f>
        <v/>
      </c>
      <c r="BK62" t="str">
        <f ca="1">IFERROR(IF(0=LEN(ReferenceData!$BK$62),"",ReferenceData!$BK$62),"")</f>
        <v/>
      </c>
      <c r="BL62" t="str">
        <f ca="1">IFERROR(IF(0=LEN(ReferenceData!$BL$62),"",ReferenceData!$BL$62),"")</f>
        <v/>
      </c>
      <c r="BM62" t="str">
        <f ca="1">IFERROR(IF(0=LEN(ReferenceData!$BM$62),"",ReferenceData!$BM$62),"")</f>
        <v/>
      </c>
    </row>
    <row r="63" spans="1:65" x14ac:dyDescent="0.25">
      <c r="A63" t="str">
        <f>IFERROR(IF(0=LEN(ReferenceData!$A$63),"",ReferenceData!$A$63),"")</f>
        <v xml:space="preserve">    Intesa Sanpaolo SpA</v>
      </c>
      <c r="B63" t="str">
        <f>IFERROR(IF(0=LEN(ReferenceData!$B$63),"",ReferenceData!$B$63),"")</f>
        <v>ISP IM Equity</v>
      </c>
      <c r="C63" t="str">
        <f>IFERROR(IF(0=LEN(ReferenceData!$C$63),"",ReferenceData!$C$63),"")</f>
        <v>BM109</v>
      </c>
      <c r="D63" t="str">
        <f>IFERROR(IF(0=LEN(ReferenceData!$D$63),"",ReferenceData!$D$63),"")</f>
        <v>BS_TRADING_SECURITIES_DERIVS</v>
      </c>
      <c r="E63" t="str">
        <f>IFERROR(IF(0=LEN(ReferenceData!$E$63),"",ReferenceData!$E$63),"")</f>
        <v>Dynamic</v>
      </c>
      <c r="F63" t="str">
        <f ca="1">IFERROR(IF(0=LEN(ReferenceData!$F$63),"",ReferenceData!$F$63),"")</f>
        <v/>
      </c>
      <c r="G63">
        <f ca="1">IFERROR(IF(0=LEN(ReferenceData!$G$63),"",ReferenceData!$G$63),"")</f>
        <v>25394</v>
      </c>
      <c r="H63">
        <f ca="1">IFERROR(IF(0=LEN(ReferenceData!$H$63),"",ReferenceData!$H$63),"")</f>
        <v>24992</v>
      </c>
      <c r="I63">
        <f ca="1">IFERROR(IF(0=LEN(ReferenceData!$I$63),"",ReferenceData!$I$63),"")</f>
        <v>25458</v>
      </c>
      <c r="J63">
        <f ca="1">IFERROR(IF(0=LEN(ReferenceData!$J$63),"",ReferenceData!$J$63),"")</f>
        <v>25520</v>
      </c>
      <c r="K63">
        <f ca="1">IFERROR(IF(0=LEN(ReferenceData!$K$63),"",ReferenceData!$K$63),"")</f>
        <v>29666</v>
      </c>
      <c r="L63">
        <f ca="1">IFERROR(IF(0=LEN(ReferenceData!$L$63),"",ReferenceData!$L$63),"")</f>
        <v>29001</v>
      </c>
      <c r="M63">
        <f ca="1">IFERROR(IF(0=LEN(ReferenceData!$M$63),"",ReferenceData!$M$63),"")</f>
        <v>28846</v>
      </c>
      <c r="N63">
        <f ca="1">IFERROR(IF(0=LEN(ReferenceData!$N$63),"",ReferenceData!$N$63),"")</f>
        <v>30955</v>
      </c>
      <c r="O63">
        <f ca="1">IFERROR(IF(0=LEN(ReferenceData!$O$63),"",ReferenceData!$O$63),"")</f>
        <v>34865</v>
      </c>
      <c r="P63">
        <f ca="1">IFERROR(IF(0=LEN(ReferenceData!$P$63),"",ReferenceData!$P$63),"")</f>
        <v>28508</v>
      </c>
      <c r="Q63">
        <f ca="1">IFERROR(IF(0=LEN(ReferenceData!$Q$63),"",ReferenceData!$Q$63),"")</f>
        <v>24329</v>
      </c>
      <c r="R63">
        <f ca="1">IFERROR(IF(0=LEN(ReferenceData!$R$63),"",ReferenceData!$R$63),"")</f>
        <v>23120</v>
      </c>
      <c r="S63">
        <f ca="1">IFERROR(IF(0=LEN(ReferenceData!$S$63),"",ReferenceData!$S$63),"")</f>
        <v>24165</v>
      </c>
      <c r="T63">
        <f ca="1">IFERROR(IF(0=LEN(ReferenceData!$T$63),"",ReferenceData!$T$63),"")</f>
        <v>23870</v>
      </c>
      <c r="U63">
        <f ca="1">IFERROR(IF(0=LEN(ReferenceData!$U$63),"",ReferenceData!$U$63),"")</f>
        <v>26102</v>
      </c>
      <c r="V63">
        <f ca="1">IFERROR(IF(0=LEN(ReferenceData!$V$63),"",ReferenceData!$V$63),"")</f>
        <v>29899</v>
      </c>
      <c r="W63">
        <f ca="1">IFERROR(IF(0=LEN(ReferenceData!$W$63),"",ReferenceData!$W$63),"")</f>
        <v>30521</v>
      </c>
      <c r="X63">
        <f ca="1">IFERROR(IF(0=LEN(ReferenceData!$X$63),"",ReferenceData!$X$63),"")</f>
        <v>31535</v>
      </c>
      <c r="Y63">
        <f ca="1">IFERROR(IF(0=LEN(ReferenceData!$Y$63),"",ReferenceData!$Y$63),"")</f>
        <v>32183</v>
      </c>
      <c r="Z63">
        <f ca="1">IFERROR(IF(0=LEN(ReferenceData!$Z$63),"",ReferenceData!$Z$63),"")</f>
        <v>26402</v>
      </c>
      <c r="AA63">
        <f ca="1">IFERROR(IF(0=LEN(ReferenceData!$AA$63),"",ReferenceData!$AA$63),"")</f>
        <v>31028</v>
      </c>
      <c r="AB63">
        <f ca="1">IFERROR(IF(0=LEN(ReferenceData!$AB$63),"",ReferenceData!$AB$63),"")</f>
        <v>27226</v>
      </c>
      <c r="AC63">
        <f ca="1">IFERROR(IF(0=LEN(ReferenceData!$AC$63),"",ReferenceData!$AC$63),"")</f>
        <v>26027</v>
      </c>
      <c r="AD63">
        <f ca="1">IFERROR(IF(0=LEN(ReferenceData!$AD$63),"",ReferenceData!$AD$63),"")</f>
        <v>25902</v>
      </c>
      <c r="AE63">
        <f ca="1">IFERROR(IF(0=LEN(ReferenceData!$AE$63),"",ReferenceData!$AE$63),"")</f>
        <v>24672</v>
      </c>
      <c r="AF63">
        <f ca="1">IFERROR(IF(0=LEN(ReferenceData!$AF$63),"",ReferenceData!$AF$63),"")</f>
        <v>25917</v>
      </c>
      <c r="AG63">
        <f ca="1">IFERROR(IF(0=LEN(ReferenceData!$AG$63),"",ReferenceData!$AG$63),"")</f>
        <v>24728</v>
      </c>
      <c r="AH63">
        <f ca="1">IFERROR(IF(0=LEN(ReferenceData!$AH$63),"",ReferenceData!$AH$63),"")</f>
        <v>24780</v>
      </c>
      <c r="AI63" t="str">
        <f ca="1">IFERROR(IF(0=LEN(ReferenceData!$AI$63),"",ReferenceData!$AI$63),"")</f>
        <v/>
      </c>
      <c r="AJ63" t="str">
        <f ca="1">IFERROR(IF(0=LEN(ReferenceData!$AJ$63),"",ReferenceData!$AJ$63),"")</f>
        <v/>
      </c>
      <c r="AK63" t="str">
        <f ca="1">IFERROR(IF(0=LEN(ReferenceData!$AK$63),"",ReferenceData!$AK$63),"")</f>
        <v/>
      </c>
      <c r="AL63">
        <f ca="1">IFERROR(IF(0=LEN(ReferenceData!$AL$63),"",ReferenceData!$AL$63),"")</f>
        <v>30220</v>
      </c>
      <c r="AM63" t="str">
        <f ca="1">IFERROR(IF(0=LEN(ReferenceData!$AM$63),"",ReferenceData!$AM$63),"")</f>
        <v/>
      </c>
      <c r="AN63" t="str">
        <f ca="1">IFERROR(IF(0=LEN(ReferenceData!$AN$63),"",ReferenceData!$AN$63),"")</f>
        <v/>
      </c>
      <c r="AO63" t="str">
        <f ca="1">IFERROR(IF(0=LEN(ReferenceData!$AO$63),"",ReferenceData!$AO$63),"")</f>
        <v/>
      </c>
      <c r="AP63">
        <f ca="1">IFERROR(IF(0=LEN(ReferenceData!$AP$63),"",ReferenceData!$AP$63),"")</f>
        <v>30894</v>
      </c>
      <c r="AQ63" t="str">
        <f ca="1">IFERROR(IF(0=LEN(ReferenceData!$AQ$63),"",ReferenceData!$AQ$63),"")</f>
        <v/>
      </c>
      <c r="AR63">
        <f ca="1">IFERROR(IF(0=LEN(ReferenceData!$AR$63),"",ReferenceData!$AR$63),"")</f>
        <v>31654</v>
      </c>
      <c r="AS63" t="str">
        <f ca="1">IFERROR(IF(0=LEN(ReferenceData!$AS$63),"",ReferenceData!$AS$63),"")</f>
        <v/>
      </c>
      <c r="AT63">
        <f ca="1">IFERROR(IF(0=LEN(ReferenceData!$AT$63),"",ReferenceData!$AT$63),"")</f>
        <v>36729</v>
      </c>
      <c r="AU63">
        <f ca="1">IFERROR(IF(0=LEN(ReferenceData!$AU$63),"",ReferenceData!$AU$63),"")</f>
        <v>34174</v>
      </c>
      <c r="AV63" t="str">
        <f ca="1">IFERROR(IF(0=LEN(ReferenceData!$AV$63),"",ReferenceData!$AV$63),"")</f>
        <v/>
      </c>
      <c r="AW63" t="str">
        <f ca="1">IFERROR(IF(0=LEN(ReferenceData!$AW$63),"",ReferenceData!$AW$63),"")</f>
        <v/>
      </c>
      <c r="AX63">
        <f ca="1">IFERROR(IF(0=LEN(ReferenceData!$AX$63),"",ReferenceData!$AX$63),"")</f>
        <v>29909</v>
      </c>
      <c r="AY63" t="str">
        <f ca="1">IFERROR(IF(0=LEN(ReferenceData!$AY$63),"",ReferenceData!$AY$63),"")</f>
        <v/>
      </c>
      <c r="AZ63" t="str">
        <f ca="1">IFERROR(IF(0=LEN(ReferenceData!$AZ$63),"",ReferenceData!$AZ$63),"")</f>
        <v/>
      </c>
      <c r="BA63" t="str">
        <f ca="1">IFERROR(IF(0=LEN(ReferenceData!$BA$63),"",ReferenceData!$BA$63),"")</f>
        <v/>
      </c>
      <c r="BB63" t="str">
        <f ca="1">IFERROR(IF(0=LEN(ReferenceData!$BB$63),"",ReferenceData!$BB$63),"")</f>
        <v/>
      </c>
      <c r="BC63" t="str">
        <f ca="1">IFERROR(IF(0=LEN(ReferenceData!$BC$63),"",ReferenceData!$BC$63),"")</f>
        <v/>
      </c>
      <c r="BD63" t="str">
        <f ca="1">IFERROR(IF(0=LEN(ReferenceData!$BD$63),"",ReferenceData!$BD$63),"")</f>
        <v/>
      </c>
      <c r="BE63" t="str">
        <f ca="1">IFERROR(IF(0=LEN(ReferenceData!$BE$63),"",ReferenceData!$BE$63),"")</f>
        <v/>
      </c>
      <c r="BF63" t="str">
        <f ca="1">IFERROR(IF(0=LEN(ReferenceData!$BF$63),"",ReferenceData!$BF$63),"")</f>
        <v/>
      </c>
      <c r="BG63" t="str">
        <f ca="1">IFERROR(IF(0=LEN(ReferenceData!$BG$63),"",ReferenceData!$BG$63),"")</f>
        <v/>
      </c>
      <c r="BH63" t="str">
        <f ca="1">IFERROR(IF(0=LEN(ReferenceData!$BH$63),"",ReferenceData!$BH$63),"")</f>
        <v/>
      </c>
      <c r="BI63" t="str">
        <f ca="1">IFERROR(IF(0=LEN(ReferenceData!$BI$63),"",ReferenceData!$BI$63),"")</f>
        <v/>
      </c>
      <c r="BJ63" t="str">
        <f ca="1">IFERROR(IF(0=LEN(ReferenceData!$BJ$63),"",ReferenceData!$BJ$63),"")</f>
        <v/>
      </c>
      <c r="BK63" t="str">
        <f ca="1">IFERROR(IF(0=LEN(ReferenceData!$BK$63),"",ReferenceData!$BK$63),"")</f>
        <v/>
      </c>
      <c r="BL63" t="str">
        <f ca="1">IFERROR(IF(0=LEN(ReferenceData!$BL$63),"",ReferenceData!$BL$63),"")</f>
        <v/>
      </c>
      <c r="BM63" t="str">
        <f ca="1">IFERROR(IF(0=LEN(ReferenceData!$BM$63),"",ReferenceData!$BM$63),"")</f>
        <v/>
      </c>
    </row>
    <row r="64" spans="1:65" x14ac:dyDescent="0.25">
      <c r="A64" t="str">
        <f>IFERROR(IF(0=LEN(ReferenceData!$A$64),"",ReferenceData!$A$64),"")</f>
        <v xml:space="preserve">    Jyske Bank A/S</v>
      </c>
      <c r="B64" t="str">
        <f>IFERROR(IF(0=LEN(ReferenceData!$B$64),"",ReferenceData!$B$64),"")</f>
        <v>JYSK DC Equity</v>
      </c>
      <c r="C64" t="str">
        <f>IFERROR(IF(0=LEN(ReferenceData!$C$64),"",ReferenceData!$C$64),"")</f>
        <v>BM109</v>
      </c>
      <c r="D64" t="str">
        <f>IFERROR(IF(0=LEN(ReferenceData!$D$64),"",ReferenceData!$D$64),"")</f>
        <v>BS_TRADING_SECURITIES_DERIVS</v>
      </c>
      <c r="E64" t="str">
        <f>IFERROR(IF(0=LEN(ReferenceData!$E$64),"",ReferenceData!$E$64),"")</f>
        <v>Dynamic</v>
      </c>
      <c r="F64" t="str">
        <f ca="1">IFERROR(IF(0=LEN(ReferenceData!$F$64),"",ReferenceData!$F$64),"")</f>
        <v/>
      </c>
      <c r="G64" t="str">
        <f ca="1">IFERROR(IF(0=LEN(ReferenceData!$G$64),"",ReferenceData!$G$64),"")</f>
        <v/>
      </c>
      <c r="H64" t="str">
        <f ca="1">IFERROR(IF(0=LEN(ReferenceData!$H$64),"",ReferenceData!$H$64),"")</f>
        <v/>
      </c>
      <c r="I64" t="str">
        <f ca="1">IFERROR(IF(0=LEN(ReferenceData!$I$64),"",ReferenceData!$I$64),"")</f>
        <v/>
      </c>
      <c r="J64" t="str">
        <f ca="1">IFERROR(IF(0=LEN(ReferenceData!$J$64),"",ReferenceData!$J$64),"")</f>
        <v/>
      </c>
      <c r="K64" t="str">
        <f ca="1">IFERROR(IF(0=LEN(ReferenceData!$K$64),"",ReferenceData!$K$64),"")</f>
        <v/>
      </c>
      <c r="L64" t="str">
        <f ca="1">IFERROR(IF(0=LEN(ReferenceData!$L$64),"",ReferenceData!$L$64),"")</f>
        <v/>
      </c>
      <c r="M64" t="str">
        <f ca="1">IFERROR(IF(0=LEN(ReferenceData!$M$64),"",ReferenceData!$M$64),"")</f>
        <v/>
      </c>
      <c r="N64" t="str">
        <f ca="1">IFERROR(IF(0=LEN(ReferenceData!$N$64),"",ReferenceData!$N$64),"")</f>
        <v/>
      </c>
      <c r="O64" t="str">
        <f ca="1">IFERROR(IF(0=LEN(ReferenceData!$O$64),"",ReferenceData!$O$64),"")</f>
        <v/>
      </c>
      <c r="P64" t="str">
        <f ca="1">IFERROR(IF(0=LEN(ReferenceData!$P$64),"",ReferenceData!$P$64),"")</f>
        <v/>
      </c>
      <c r="Q64" t="str">
        <f ca="1">IFERROR(IF(0=LEN(ReferenceData!$Q$64),"",ReferenceData!$Q$64),"")</f>
        <v/>
      </c>
      <c r="R64" t="str">
        <f ca="1">IFERROR(IF(0=LEN(ReferenceData!$R$64),"",ReferenceData!$R$64),"")</f>
        <v/>
      </c>
      <c r="S64" t="str">
        <f ca="1">IFERROR(IF(0=LEN(ReferenceData!$S$64),"",ReferenceData!$S$64),"")</f>
        <v/>
      </c>
      <c r="T64" t="str">
        <f ca="1">IFERROR(IF(0=LEN(ReferenceData!$T$64),"",ReferenceData!$T$64),"")</f>
        <v/>
      </c>
      <c r="U64" t="str">
        <f ca="1">IFERROR(IF(0=LEN(ReferenceData!$U$64),"",ReferenceData!$U$64),"")</f>
        <v/>
      </c>
      <c r="V64" t="str">
        <f ca="1">IFERROR(IF(0=LEN(ReferenceData!$V$64),"",ReferenceData!$V$64),"")</f>
        <v/>
      </c>
      <c r="W64" t="str">
        <f ca="1">IFERROR(IF(0=LEN(ReferenceData!$W$64),"",ReferenceData!$W$64),"")</f>
        <v/>
      </c>
      <c r="X64" t="str">
        <f ca="1">IFERROR(IF(0=LEN(ReferenceData!$X$64),"",ReferenceData!$X$64),"")</f>
        <v/>
      </c>
      <c r="Y64" t="str">
        <f ca="1">IFERROR(IF(0=LEN(ReferenceData!$Y$64),"",ReferenceData!$Y$64),"")</f>
        <v/>
      </c>
      <c r="Z64" t="str">
        <f ca="1">IFERROR(IF(0=LEN(ReferenceData!$Z$64),"",ReferenceData!$Z$64),"")</f>
        <v/>
      </c>
      <c r="AA64" t="str">
        <f ca="1">IFERROR(IF(0=LEN(ReferenceData!$AA$64),"",ReferenceData!$AA$64),"")</f>
        <v/>
      </c>
      <c r="AB64" t="str">
        <f ca="1">IFERROR(IF(0=LEN(ReferenceData!$AB$64),"",ReferenceData!$AB$64),"")</f>
        <v/>
      </c>
      <c r="AC64" t="str">
        <f ca="1">IFERROR(IF(0=LEN(ReferenceData!$AC$64),"",ReferenceData!$AC$64),"")</f>
        <v/>
      </c>
      <c r="AD64" t="str">
        <f ca="1">IFERROR(IF(0=LEN(ReferenceData!$AD$64),"",ReferenceData!$AD$64),"")</f>
        <v/>
      </c>
      <c r="AE64" t="str">
        <f ca="1">IFERROR(IF(0=LEN(ReferenceData!$AE$64),"",ReferenceData!$AE$64),"")</f>
        <v/>
      </c>
      <c r="AF64" t="str">
        <f ca="1">IFERROR(IF(0=LEN(ReferenceData!$AF$64),"",ReferenceData!$AF$64),"")</f>
        <v/>
      </c>
      <c r="AG64" t="str">
        <f ca="1">IFERROR(IF(0=LEN(ReferenceData!$AG$64),"",ReferenceData!$AG$64),"")</f>
        <v/>
      </c>
      <c r="AH64" t="str">
        <f ca="1">IFERROR(IF(0=LEN(ReferenceData!$AH$64),"",ReferenceData!$AH$64),"")</f>
        <v/>
      </c>
      <c r="AI64" t="str">
        <f ca="1">IFERROR(IF(0=LEN(ReferenceData!$AI$64),"",ReferenceData!$AI$64),"")</f>
        <v/>
      </c>
      <c r="AJ64" t="str">
        <f ca="1">IFERROR(IF(0=LEN(ReferenceData!$AJ$64),"",ReferenceData!$AJ$64),"")</f>
        <v/>
      </c>
      <c r="AK64" t="str">
        <f ca="1">IFERROR(IF(0=LEN(ReferenceData!$AK$64),"",ReferenceData!$AK$64),"")</f>
        <v/>
      </c>
      <c r="AL64" t="str">
        <f ca="1">IFERROR(IF(0=LEN(ReferenceData!$AL$64),"",ReferenceData!$AL$64),"")</f>
        <v/>
      </c>
      <c r="AM64" t="str">
        <f ca="1">IFERROR(IF(0=LEN(ReferenceData!$AM$64),"",ReferenceData!$AM$64),"")</f>
        <v/>
      </c>
      <c r="AN64" t="str">
        <f ca="1">IFERROR(IF(0=LEN(ReferenceData!$AN$64),"",ReferenceData!$AN$64),"")</f>
        <v/>
      </c>
      <c r="AO64" t="str">
        <f ca="1">IFERROR(IF(0=LEN(ReferenceData!$AO$64),"",ReferenceData!$AO$64),"")</f>
        <v/>
      </c>
      <c r="AP64" t="str">
        <f ca="1">IFERROR(IF(0=LEN(ReferenceData!$AP$64),"",ReferenceData!$AP$64),"")</f>
        <v/>
      </c>
      <c r="AQ64" t="str">
        <f ca="1">IFERROR(IF(0=LEN(ReferenceData!$AQ$64),"",ReferenceData!$AQ$64),"")</f>
        <v/>
      </c>
      <c r="AR64" t="str">
        <f ca="1">IFERROR(IF(0=LEN(ReferenceData!$AR$64),"",ReferenceData!$AR$64),"")</f>
        <v/>
      </c>
      <c r="AS64" t="str">
        <f ca="1">IFERROR(IF(0=LEN(ReferenceData!$AS$64),"",ReferenceData!$AS$64),"")</f>
        <v/>
      </c>
      <c r="AT64" t="str">
        <f ca="1">IFERROR(IF(0=LEN(ReferenceData!$AT$64),"",ReferenceData!$AT$64),"")</f>
        <v/>
      </c>
      <c r="AU64" t="str">
        <f ca="1">IFERROR(IF(0=LEN(ReferenceData!$AU$64),"",ReferenceData!$AU$64),"")</f>
        <v/>
      </c>
      <c r="AV64" t="str">
        <f ca="1">IFERROR(IF(0=LEN(ReferenceData!$AV$64),"",ReferenceData!$AV$64),"")</f>
        <v/>
      </c>
      <c r="AW64" t="str">
        <f ca="1">IFERROR(IF(0=LEN(ReferenceData!$AW$64),"",ReferenceData!$AW$64),"")</f>
        <v/>
      </c>
      <c r="AX64" t="str">
        <f ca="1">IFERROR(IF(0=LEN(ReferenceData!$AX$64),"",ReferenceData!$AX$64),"")</f>
        <v/>
      </c>
      <c r="AY64" t="str">
        <f ca="1">IFERROR(IF(0=LEN(ReferenceData!$AY$64),"",ReferenceData!$AY$64),"")</f>
        <v/>
      </c>
      <c r="AZ64" t="str">
        <f ca="1">IFERROR(IF(0=LEN(ReferenceData!$AZ$64),"",ReferenceData!$AZ$64),"")</f>
        <v/>
      </c>
      <c r="BA64" t="str">
        <f ca="1">IFERROR(IF(0=LEN(ReferenceData!$BA$64),"",ReferenceData!$BA$64),"")</f>
        <v/>
      </c>
      <c r="BB64" t="str">
        <f ca="1">IFERROR(IF(0=LEN(ReferenceData!$BB$64),"",ReferenceData!$BB$64),"")</f>
        <v/>
      </c>
      <c r="BC64" t="str">
        <f ca="1">IFERROR(IF(0=LEN(ReferenceData!$BC$64),"",ReferenceData!$BC$64),"")</f>
        <v/>
      </c>
      <c r="BD64" t="str">
        <f ca="1">IFERROR(IF(0=LEN(ReferenceData!$BD$64),"",ReferenceData!$BD$64),"")</f>
        <v/>
      </c>
      <c r="BE64" t="str">
        <f ca="1">IFERROR(IF(0=LEN(ReferenceData!$BE$64),"",ReferenceData!$BE$64),"")</f>
        <v/>
      </c>
      <c r="BF64" t="str">
        <f ca="1">IFERROR(IF(0=LEN(ReferenceData!$BF$64),"",ReferenceData!$BF$64),"")</f>
        <v/>
      </c>
      <c r="BG64" t="str">
        <f ca="1">IFERROR(IF(0=LEN(ReferenceData!$BG$64),"",ReferenceData!$BG$64),"")</f>
        <v/>
      </c>
      <c r="BH64" t="str">
        <f ca="1">IFERROR(IF(0=LEN(ReferenceData!$BH$64),"",ReferenceData!$BH$64),"")</f>
        <v/>
      </c>
      <c r="BI64" t="str">
        <f ca="1">IFERROR(IF(0=LEN(ReferenceData!$BI$64),"",ReferenceData!$BI$64),"")</f>
        <v/>
      </c>
      <c r="BJ64" t="str">
        <f ca="1">IFERROR(IF(0=LEN(ReferenceData!$BJ$64),"",ReferenceData!$BJ$64),"")</f>
        <v/>
      </c>
      <c r="BK64" t="str">
        <f ca="1">IFERROR(IF(0=LEN(ReferenceData!$BK$64),"",ReferenceData!$BK$64),"")</f>
        <v/>
      </c>
      <c r="BL64" t="str">
        <f ca="1">IFERROR(IF(0=LEN(ReferenceData!$BL$64),"",ReferenceData!$BL$64),"")</f>
        <v/>
      </c>
      <c r="BM64" t="str">
        <f ca="1">IFERROR(IF(0=LEN(ReferenceData!$BM$64),"",ReferenceData!$BM$64),"")</f>
        <v/>
      </c>
    </row>
    <row r="65" spans="1:65" x14ac:dyDescent="0.25">
      <c r="A65" t="str">
        <f>IFERROR(IF(0=LEN(ReferenceData!$A$65),"",ReferenceData!$A$65),"")</f>
        <v xml:space="preserve">    KBC Group NV</v>
      </c>
      <c r="B65" t="str">
        <f>IFERROR(IF(0=LEN(ReferenceData!$B$65),"",ReferenceData!$B$65),"")</f>
        <v>KBC BB Equity</v>
      </c>
      <c r="C65" t="str">
        <f>IFERROR(IF(0=LEN(ReferenceData!$C$65),"",ReferenceData!$C$65),"")</f>
        <v>BM109</v>
      </c>
      <c r="D65" t="str">
        <f>IFERROR(IF(0=LEN(ReferenceData!$D$65),"",ReferenceData!$D$65),"")</f>
        <v>BS_TRADING_SECURITIES_DERIVS</v>
      </c>
      <c r="E65" t="str">
        <f>IFERROR(IF(0=LEN(ReferenceData!$E$65),"",ReferenceData!$E$65),"")</f>
        <v>Dynamic</v>
      </c>
      <c r="F65">
        <f ca="1">IFERROR(IF(0=LEN(ReferenceData!$F$65),"",ReferenceData!$F$65),"")</f>
        <v>4584</v>
      </c>
      <c r="G65">
        <f ca="1">IFERROR(IF(0=LEN(ReferenceData!$G$65),"",ReferenceData!$G$65),"")</f>
        <v>3657</v>
      </c>
      <c r="H65">
        <f ca="1">IFERROR(IF(0=LEN(ReferenceData!$H$65),"",ReferenceData!$H$65),"")</f>
        <v>4239</v>
      </c>
      <c r="I65">
        <f ca="1">IFERROR(IF(0=LEN(ReferenceData!$I$65),"",ReferenceData!$I$65),"")</f>
        <v>4137</v>
      </c>
      <c r="J65">
        <f ca="1">IFERROR(IF(0=LEN(ReferenceData!$J$65),"",ReferenceData!$J$65),"")</f>
        <v>4618</v>
      </c>
      <c r="K65">
        <f ca="1">IFERROR(IF(0=LEN(ReferenceData!$K$65),"",ReferenceData!$K$65),"")</f>
        <v>5607</v>
      </c>
      <c r="L65">
        <f ca="1">IFERROR(IF(0=LEN(ReferenceData!$L$65),"",ReferenceData!$L$65),"")</f>
        <v>5350</v>
      </c>
      <c r="M65">
        <f ca="1">IFERROR(IF(0=LEN(ReferenceData!$M$65),"",ReferenceData!$M$65),"")</f>
        <v>5337</v>
      </c>
      <c r="N65">
        <f ca="1">IFERROR(IF(0=LEN(ReferenceData!$N$65),"",ReferenceData!$N$65),"")</f>
        <v>6279</v>
      </c>
      <c r="O65">
        <f ca="1">IFERROR(IF(0=LEN(ReferenceData!$O$65),"",ReferenceData!$O$65),"")</f>
        <v>8521</v>
      </c>
      <c r="P65">
        <f ca="1">IFERROR(IF(0=LEN(ReferenceData!$P$65),"",ReferenceData!$P$65),"")</f>
        <v>7271</v>
      </c>
      <c r="Q65">
        <f ca="1">IFERROR(IF(0=LEN(ReferenceData!$Q$65),"",ReferenceData!$Q$65),"")</f>
        <v>5838</v>
      </c>
      <c r="R65">
        <f ca="1">IFERROR(IF(0=LEN(ReferenceData!$R$65),"",ReferenceData!$R$65),"")</f>
        <v>5443</v>
      </c>
      <c r="S65">
        <f ca="1">IFERROR(IF(0=LEN(ReferenceData!$S$65),"",ReferenceData!$S$65),"")</f>
        <v>4643</v>
      </c>
      <c r="T65">
        <f ca="1">IFERROR(IF(0=LEN(ReferenceData!$T$65),"",ReferenceData!$T$65),"")</f>
        <v>4594</v>
      </c>
      <c r="U65">
        <f ca="1">IFERROR(IF(0=LEN(ReferenceData!$U$65),"",ReferenceData!$U$65),"")</f>
        <v>5340</v>
      </c>
      <c r="V65">
        <f ca="1">IFERROR(IF(0=LEN(ReferenceData!$V$65),"",ReferenceData!$V$65),"")</f>
        <v>5659</v>
      </c>
      <c r="W65">
        <f ca="1">IFERROR(IF(0=LEN(ReferenceData!$W$65),"",ReferenceData!$W$65),"")</f>
        <v>6246</v>
      </c>
      <c r="X65">
        <f ca="1">IFERROR(IF(0=LEN(ReferenceData!$X$65),"",ReferenceData!$X$65),"")</f>
        <v>5836</v>
      </c>
      <c r="Y65">
        <f ca="1">IFERROR(IF(0=LEN(ReferenceData!$Y$65),"",ReferenceData!$Y$65),"")</f>
        <v>7740</v>
      </c>
      <c r="Z65">
        <f ca="1">IFERROR(IF(0=LEN(ReferenceData!$Z$65),"",ReferenceData!$Z$65),"")</f>
        <v>5163</v>
      </c>
      <c r="AA65">
        <f ca="1">IFERROR(IF(0=LEN(ReferenceData!$AA$65),"",ReferenceData!$AA$65),"")</f>
        <v>6551</v>
      </c>
      <c r="AB65">
        <f ca="1">IFERROR(IF(0=LEN(ReferenceData!$AB$65),"",ReferenceData!$AB$65),"")</f>
        <v>5270</v>
      </c>
      <c r="AC65">
        <f ca="1">IFERROR(IF(0=LEN(ReferenceData!$AC$65),"",ReferenceData!$AC$65),"")</f>
        <v>5395</v>
      </c>
      <c r="AD65">
        <f ca="1">IFERROR(IF(0=LEN(ReferenceData!$AD$65),"",ReferenceData!$AD$65),"")</f>
        <v>4942</v>
      </c>
      <c r="AE65">
        <f ca="1">IFERROR(IF(0=LEN(ReferenceData!$AE$65),"",ReferenceData!$AE$65),"")</f>
        <v>5205</v>
      </c>
      <c r="AF65">
        <f ca="1">IFERROR(IF(0=LEN(ReferenceData!$AF$65),"",ReferenceData!$AF$65),"")</f>
        <v>5758</v>
      </c>
      <c r="AG65">
        <f ca="1">IFERROR(IF(0=LEN(ReferenceData!$AG$65),"",ReferenceData!$AG$65),"")</f>
        <v>5168</v>
      </c>
      <c r="AH65">
        <f ca="1">IFERROR(IF(0=LEN(ReferenceData!$AH$65),"",ReferenceData!$AH$65),"")</f>
        <v>5765</v>
      </c>
      <c r="AI65">
        <f ca="1">IFERROR(IF(0=LEN(ReferenceData!$AI$65),"",ReferenceData!$AI$65),"")</f>
        <v>6087</v>
      </c>
      <c r="AJ65">
        <f ca="1">IFERROR(IF(0=LEN(ReferenceData!$AJ$65),"",ReferenceData!$AJ$65),"")</f>
        <v>6503</v>
      </c>
      <c r="AK65">
        <f ca="1">IFERROR(IF(0=LEN(ReferenceData!$AK$65),"",ReferenceData!$AK$65),"")</f>
        <v>6777</v>
      </c>
      <c r="AL65">
        <f ca="1">IFERROR(IF(0=LEN(ReferenceData!$AL$65),"",ReferenceData!$AL$65),"")</f>
        <v>8249</v>
      </c>
      <c r="AM65" t="str">
        <f ca="1">IFERROR(IF(0=LEN(ReferenceData!$AM$65),"",ReferenceData!$AM$65),"")</f>
        <v/>
      </c>
      <c r="AN65" t="str">
        <f ca="1">IFERROR(IF(0=LEN(ReferenceData!$AN$65),"",ReferenceData!$AN$65),"")</f>
        <v/>
      </c>
      <c r="AO65" t="str">
        <f ca="1">IFERROR(IF(0=LEN(ReferenceData!$AO$65),"",ReferenceData!$AO$65),"")</f>
        <v/>
      </c>
      <c r="AP65">
        <f ca="1">IFERROR(IF(0=LEN(ReferenceData!$AP$65),"",ReferenceData!$AP$65),"")</f>
        <v>8188</v>
      </c>
      <c r="AQ65" t="str">
        <f ca="1">IFERROR(IF(0=LEN(ReferenceData!$AQ$65),"",ReferenceData!$AQ$65),"")</f>
        <v/>
      </c>
      <c r="AR65" t="str">
        <f ca="1">IFERROR(IF(0=LEN(ReferenceData!$AR$65),"",ReferenceData!$AR$65),"")</f>
        <v/>
      </c>
      <c r="AS65" t="str">
        <f ca="1">IFERROR(IF(0=LEN(ReferenceData!$AS$65),"",ReferenceData!$AS$65),"")</f>
        <v/>
      </c>
      <c r="AT65">
        <f ca="1">IFERROR(IF(0=LEN(ReferenceData!$AT$65),"",ReferenceData!$AT$65),"")</f>
        <v>8814</v>
      </c>
      <c r="AU65" t="str">
        <f ca="1">IFERROR(IF(0=LEN(ReferenceData!$AU$65),"",ReferenceData!$AU$65),"")</f>
        <v/>
      </c>
      <c r="AV65">
        <f ca="1">IFERROR(IF(0=LEN(ReferenceData!$AV$65),"",ReferenceData!$AV$65),"")</f>
        <v>8117</v>
      </c>
      <c r="AW65" t="str">
        <f ca="1">IFERROR(IF(0=LEN(ReferenceData!$AW$65),"",ReferenceData!$AW$65),"")</f>
        <v/>
      </c>
      <c r="AX65">
        <f ca="1">IFERROR(IF(0=LEN(ReferenceData!$AX$65),"",ReferenceData!$AX$65),"")</f>
        <v>7823</v>
      </c>
      <c r="AY65">
        <f ca="1">IFERROR(IF(0=LEN(ReferenceData!$AY$65),"",ReferenceData!$AY$65),"")</f>
        <v>8696</v>
      </c>
      <c r="AZ65">
        <f ca="1">IFERROR(IF(0=LEN(ReferenceData!$AZ$65),"",ReferenceData!$AZ$65),"")</f>
        <v>9127</v>
      </c>
      <c r="BA65">
        <f ca="1">IFERROR(IF(0=LEN(ReferenceData!$BA$65),"",ReferenceData!$BA$65),"")</f>
        <v>11171</v>
      </c>
      <c r="BB65">
        <f ca="1">IFERROR(IF(0=LEN(ReferenceData!$BB$65),"",ReferenceData!$BB$65),"")</f>
        <v>12095</v>
      </c>
      <c r="BC65">
        <f ca="1">IFERROR(IF(0=LEN(ReferenceData!$BC$65),"",ReferenceData!$BC$65),"")</f>
        <v>14429</v>
      </c>
      <c r="BD65">
        <f ca="1">IFERROR(IF(0=LEN(ReferenceData!$BD$65),"",ReferenceData!$BD$65),"")</f>
        <v>14951</v>
      </c>
      <c r="BE65">
        <f ca="1">IFERROR(IF(0=LEN(ReferenceData!$BE$65),"",ReferenceData!$BE$65),"")</f>
        <v>14514</v>
      </c>
      <c r="BF65">
        <f ca="1">IFERROR(IF(0=LEN(ReferenceData!$BF$65),"",ReferenceData!$BF$65),"")</f>
        <v>16750</v>
      </c>
      <c r="BG65" t="str">
        <f ca="1">IFERROR(IF(0=LEN(ReferenceData!$BG$65),"",ReferenceData!$BG$65),"")</f>
        <v/>
      </c>
      <c r="BH65" t="str">
        <f ca="1">IFERROR(IF(0=LEN(ReferenceData!$BH$65),"",ReferenceData!$BH$65),"")</f>
        <v/>
      </c>
      <c r="BI65" t="str">
        <f ca="1">IFERROR(IF(0=LEN(ReferenceData!$BI$65),"",ReferenceData!$BI$65),"")</f>
        <v/>
      </c>
      <c r="BJ65">
        <f ca="1">IFERROR(IF(0=LEN(ReferenceData!$BJ$65),"",ReferenceData!$BJ$65),"")</f>
        <v>15758</v>
      </c>
      <c r="BK65">
        <f ca="1">IFERROR(IF(0=LEN(ReferenceData!$BK$65),"",ReferenceData!$BK$65),"")</f>
        <v>18985</v>
      </c>
      <c r="BL65">
        <f ca="1">IFERROR(IF(0=LEN(ReferenceData!$BL$65),"",ReferenceData!$BL$65),"")</f>
        <v>29066</v>
      </c>
      <c r="BM65" t="str">
        <f ca="1">IFERROR(IF(0=LEN(ReferenceData!$BM$65),"",ReferenceData!$BM$65),"")</f>
        <v/>
      </c>
    </row>
    <row r="66" spans="1:65" x14ac:dyDescent="0.25">
      <c r="A66" t="str">
        <f>IFERROR(IF(0=LEN(ReferenceData!$A$66),"",ReferenceData!$A$66),"")</f>
        <v xml:space="preserve">    Komercni Banka AS</v>
      </c>
      <c r="B66" t="str">
        <f>IFERROR(IF(0=LEN(ReferenceData!$B$66),"",ReferenceData!$B$66),"")</f>
        <v>KOMB CP Equity</v>
      </c>
      <c r="C66" t="str">
        <f>IFERROR(IF(0=LEN(ReferenceData!$C$66),"",ReferenceData!$C$66),"")</f>
        <v>BM109</v>
      </c>
      <c r="D66" t="str">
        <f>IFERROR(IF(0=LEN(ReferenceData!$D$66),"",ReferenceData!$D$66),"")</f>
        <v>BS_TRADING_SECURITIES_DERIVS</v>
      </c>
      <c r="E66" t="str">
        <f>IFERROR(IF(0=LEN(ReferenceData!$E$66),"",ReferenceData!$E$66),"")</f>
        <v>Dynamic</v>
      </c>
      <c r="F66" t="str">
        <f ca="1">IFERROR(IF(0=LEN(ReferenceData!$F$66),"",ReferenceData!$F$66),"")</f>
        <v/>
      </c>
      <c r="G66" t="str">
        <f ca="1">IFERROR(IF(0=LEN(ReferenceData!$G$66),"",ReferenceData!$G$66),"")</f>
        <v/>
      </c>
      <c r="H66" t="str">
        <f ca="1">IFERROR(IF(0=LEN(ReferenceData!$H$66),"",ReferenceData!$H$66),"")</f>
        <v/>
      </c>
      <c r="I66" t="str">
        <f ca="1">IFERROR(IF(0=LEN(ReferenceData!$I$66),"",ReferenceData!$I$66),"")</f>
        <v/>
      </c>
      <c r="J66" t="str">
        <f ca="1">IFERROR(IF(0=LEN(ReferenceData!$J$66),"",ReferenceData!$J$66),"")</f>
        <v/>
      </c>
      <c r="K66" t="str">
        <f ca="1">IFERROR(IF(0=LEN(ReferenceData!$K$66),"",ReferenceData!$K$66),"")</f>
        <v/>
      </c>
      <c r="L66" t="str">
        <f ca="1">IFERROR(IF(0=LEN(ReferenceData!$L$66),"",ReferenceData!$L$66),"")</f>
        <v/>
      </c>
      <c r="M66" t="str">
        <f ca="1">IFERROR(IF(0=LEN(ReferenceData!$M$66),"",ReferenceData!$M$66),"")</f>
        <v/>
      </c>
      <c r="N66" t="str">
        <f ca="1">IFERROR(IF(0=LEN(ReferenceData!$N$66),"",ReferenceData!$N$66),"")</f>
        <v/>
      </c>
      <c r="O66" t="str">
        <f ca="1">IFERROR(IF(0=LEN(ReferenceData!$O$66),"",ReferenceData!$O$66),"")</f>
        <v/>
      </c>
      <c r="P66" t="str">
        <f ca="1">IFERROR(IF(0=LEN(ReferenceData!$P$66),"",ReferenceData!$P$66),"")</f>
        <v/>
      </c>
      <c r="Q66" t="str">
        <f ca="1">IFERROR(IF(0=LEN(ReferenceData!$Q$66),"",ReferenceData!$Q$66),"")</f>
        <v/>
      </c>
      <c r="R66" t="str">
        <f ca="1">IFERROR(IF(0=LEN(ReferenceData!$R$66),"",ReferenceData!$R$66),"")</f>
        <v/>
      </c>
      <c r="S66" t="str">
        <f ca="1">IFERROR(IF(0=LEN(ReferenceData!$S$66),"",ReferenceData!$S$66),"")</f>
        <v/>
      </c>
      <c r="T66" t="str">
        <f ca="1">IFERROR(IF(0=LEN(ReferenceData!$T$66),"",ReferenceData!$T$66),"")</f>
        <v/>
      </c>
      <c r="U66" t="str">
        <f ca="1">IFERROR(IF(0=LEN(ReferenceData!$U$66),"",ReferenceData!$U$66),"")</f>
        <v/>
      </c>
      <c r="V66" t="str">
        <f ca="1">IFERROR(IF(0=LEN(ReferenceData!$V$66),"",ReferenceData!$V$66),"")</f>
        <v/>
      </c>
      <c r="W66" t="str">
        <f ca="1">IFERROR(IF(0=LEN(ReferenceData!$W$66),"",ReferenceData!$W$66),"")</f>
        <v/>
      </c>
      <c r="X66" t="str">
        <f ca="1">IFERROR(IF(0=LEN(ReferenceData!$X$66),"",ReferenceData!$X$66),"")</f>
        <v/>
      </c>
      <c r="Y66" t="str">
        <f ca="1">IFERROR(IF(0=LEN(ReferenceData!$Y$66),"",ReferenceData!$Y$66),"")</f>
        <v/>
      </c>
      <c r="Z66" t="str">
        <f ca="1">IFERROR(IF(0=LEN(ReferenceData!$Z$66),"",ReferenceData!$Z$66),"")</f>
        <v/>
      </c>
      <c r="AA66" t="str">
        <f ca="1">IFERROR(IF(0=LEN(ReferenceData!$AA$66),"",ReferenceData!$AA$66),"")</f>
        <v/>
      </c>
      <c r="AB66" t="str">
        <f ca="1">IFERROR(IF(0=LEN(ReferenceData!$AB$66),"",ReferenceData!$AB$66),"")</f>
        <v/>
      </c>
      <c r="AC66" t="str">
        <f ca="1">IFERROR(IF(0=LEN(ReferenceData!$AC$66),"",ReferenceData!$AC$66),"")</f>
        <v/>
      </c>
      <c r="AD66" t="str">
        <f ca="1">IFERROR(IF(0=LEN(ReferenceData!$AD$66),"",ReferenceData!$AD$66),"")</f>
        <v/>
      </c>
      <c r="AE66" t="str">
        <f ca="1">IFERROR(IF(0=LEN(ReferenceData!$AE$66),"",ReferenceData!$AE$66),"")</f>
        <v/>
      </c>
      <c r="AF66" t="str">
        <f ca="1">IFERROR(IF(0=LEN(ReferenceData!$AF$66),"",ReferenceData!$AF$66),"")</f>
        <v/>
      </c>
      <c r="AG66" t="str">
        <f ca="1">IFERROR(IF(0=LEN(ReferenceData!$AG$66),"",ReferenceData!$AG$66),"")</f>
        <v/>
      </c>
      <c r="AH66" t="str">
        <f ca="1">IFERROR(IF(0=LEN(ReferenceData!$AH$66),"",ReferenceData!$AH$66),"")</f>
        <v/>
      </c>
      <c r="AI66" t="str">
        <f ca="1">IFERROR(IF(0=LEN(ReferenceData!$AI$66),"",ReferenceData!$AI$66),"")</f>
        <v/>
      </c>
      <c r="AJ66" t="str">
        <f ca="1">IFERROR(IF(0=LEN(ReferenceData!$AJ$66),"",ReferenceData!$AJ$66),"")</f>
        <v/>
      </c>
      <c r="AK66" t="str">
        <f ca="1">IFERROR(IF(0=LEN(ReferenceData!$AK$66),"",ReferenceData!$AK$66),"")</f>
        <v/>
      </c>
      <c r="AL66" t="str">
        <f ca="1">IFERROR(IF(0=LEN(ReferenceData!$AL$66),"",ReferenceData!$AL$66),"")</f>
        <v/>
      </c>
      <c r="AM66" t="str">
        <f ca="1">IFERROR(IF(0=LEN(ReferenceData!$AM$66),"",ReferenceData!$AM$66),"")</f>
        <v/>
      </c>
      <c r="AN66" t="str">
        <f ca="1">IFERROR(IF(0=LEN(ReferenceData!$AN$66),"",ReferenceData!$AN$66),"")</f>
        <v/>
      </c>
      <c r="AO66" t="str">
        <f ca="1">IFERROR(IF(0=LEN(ReferenceData!$AO$66),"",ReferenceData!$AO$66),"")</f>
        <v/>
      </c>
      <c r="AP66">
        <f ca="1">IFERROR(IF(0=LEN(ReferenceData!$AP$66),"",ReferenceData!$AP$66),"")</f>
        <v>685.62527360000001</v>
      </c>
      <c r="AQ66" t="str">
        <f ca="1">IFERROR(IF(0=LEN(ReferenceData!$AQ$66),"",ReferenceData!$AQ$66),"")</f>
        <v/>
      </c>
      <c r="AR66" t="str">
        <f ca="1">IFERROR(IF(0=LEN(ReferenceData!$AR$66),"",ReferenceData!$AR$66),"")</f>
        <v/>
      </c>
      <c r="AS66" t="str">
        <f ca="1">IFERROR(IF(0=LEN(ReferenceData!$AS$66),"",ReferenceData!$AS$66),"")</f>
        <v/>
      </c>
      <c r="AT66" t="str">
        <f ca="1">IFERROR(IF(0=LEN(ReferenceData!$AT$66),"",ReferenceData!$AT$66),"")</f>
        <v/>
      </c>
      <c r="AU66" t="str">
        <f ca="1">IFERROR(IF(0=LEN(ReferenceData!$AU$66),"",ReferenceData!$AU$66),"")</f>
        <v/>
      </c>
      <c r="AV66" t="str">
        <f ca="1">IFERROR(IF(0=LEN(ReferenceData!$AV$66),"",ReferenceData!$AV$66),"")</f>
        <v/>
      </c>
      <c r="AW66" t="str">
        <f ca="1">IFERROR(IF(0=LEN(ReferenceData!$AW$66),"",ReferenceData!$AW$66),"")</f>
        <v/>
      </c>
      <c r="AX66" t="str">
        <f ca="1">IFERROR(IF(0=LEN(ReferenceData!$AX$66),"",ReferenceData!$AX$66),"")</f>
        <v/>
      </c>
      <c r="AY66" t="str">
        <f ca="1">IFERROR(IF(0=LEN(ReferenceData!$AY$66),"",ReferenceData!$AY$66),"")</f>
        <v/>
      </c>
      <c r="AZ66" t="str">
        <f ca="1">IFERROR(IF(0=LEN(ReferenceData!$AZ$66),"",ReferenceData!$AZ$66),"")</f>
        <v/>
      </c>
      <c r="BA66" t="str">
        <f ca="1">IFERROR(IF(0=LEN(ReferenceData!$BA$66),"",ReferenceData!$BA$66),"")</f>
        <v/>
      </c>
      <c r="BB66" t="str">
        <f ca="1">IFERROR(IF(0=LEN(ReferenceData!$BB$66),"",ReferenceData!$BB$66),"")</f>
        <v/>
      </c>
      <c r="BC66" t="str">
        <f ca="1">IFERROR(IF(0=LEN(ReferenceData!$BC$66),"",ReferenceData!$BC$66),"")</f>
        <v/>
      </c>
      <c r="BD66" t="str">
        <f ca="1">IFERROR(IF(0=LEN(ReferenceData!$BD$66),"",ReferenceData!$BD$66),"")</f>
        <v/>
      </c>
      <c r="BE66" t="str">
        <f ca="1">IFERROR(IF(0=LEN(ReferenceData!$BE$66),"",ReferenceData!$BE$66),"")</f>
        <v/>
      </c>
      <c r="BF66" t="str">
        <f ca="1">IFERROR(IF(0=LEN(ReferenceData!$BF$66),"",ReferenceData!$BF$66),"")</f>
        <v/>
      </c>
      <c r="BG66" t="str">
        <f ca="1">IFERROR(IF(0=LEN(ReferenceData!$BG$66),"",ReferenceData!$BG$66),"")</f>
        <v/>
      </c>
      <c r="BH66" t="str">
        <f ca="1">IFERROR(IF(0=LEN(ReferenceData!$BH$66),"",ReferenceData!$BH$66),"")</f>
        <v/>
      </c>
      <c r="BI66" t="str">
        <f ca="1">IFERROR(IF(0=LEN(ReferenceData!$BI$66),"",ReferenceData!$BI$66),"")</f>
        <v/>
      </c>
      <c r="BJ66" t="str">
        <f ca="1">IFERROR(IF(0=LEN(ReferenceData!$BJ$66),"",ReferenceData!$BJ$66),"")</f>
        <v/>
      </c>
      <c r="BK66" t="str">
        <f ca="1">IFERROR(IF(0=LEN(ReferenceData!$BK$66),"",ReferenceData!$BK$66),"")</f>
        <v/>
      </c>
      <c r="BL66" t="str">
        <f ca="1">IFERROR(IF(0=LEN(ReferenceData!$BL$66),"",ReferenceData!$BL$66),"")</f>
        <v/>
      </c>
      <c r="BM66" t="str">
        <f ca="1">IFERROR(IF(0=LEN(ReferenceData!$BM$66),"",ReferenceData!$BM$66),"")</f>
        <v/>
      </c>
    </row>
    <row r="67" spans="1:65" x14ac:dyDescent="0.25">
      <c r="A67" t="str">
        <f>IFERROR(IF(0=LEN(ReferenceData!$A$67),"",ReferenceData!$A$67),"")</f>
        <v xml:space="preserve">    Lloyds Banking Group PLC</v>
      </c>
      <c r="B67" t="str">
        <f>IFERROR(IF(0=LEN(ReferenceData!$B$67),"",ReferenceData!$B$67),"")</f>
        <v>LLOY LN Equity</v>
      </c>
      <c r="C67" t="str">
        <f>IFERROR(IF(0=LEN(ReferenceData!$C$67),"",ReferenceData!$C$67),"")</f>
        <v>BM109</v>
      </c>
      <c r="D67" t="str">
        <f>IFERROR(IF(0=LEN(ReferenceData!$D$67),"",ReferenceData!$D$67),"")</f>
        <v>BS_TRADING_SECURITIES_DERIVS</v>
      </c>
      <c r="E67" t="str">
        <f>IFERROR(IF(0=LEN(ReferenceData!$E$67),"",ReferenceData!$E$67),"")</f>
        <v>Dynamic</v>
      </c>
      <c r="F67" t="str">
        <f ca="1">IFERROR(IF(0=LEN(ReferenceData!$F$67),"",ReferenceData!$F$67),"")</f>
        <v/>
      </c>
      <c r="G67" t="str">
        <f ca="1">IFERROR(IF(0=LEN(ReferenceData!$G$67),"",ReferenceData!$G$67),"")</f>
        <v/>
      </c>
      <c r="H67">
        <f ca="1">IFERROR(IF(0=LEN(ReferenceData!$H$67),"",ReferenceData!$H$67),"")</f>
        <v>22365.3449</v>
      </c>
      <c r="I67" t="str">
        <f ca="1">IFERROR(IF(0=LEN(ReferenceData!$I$67),"",ReferenceData!$I$67),"")</f>
        <v/>
      </c>
      <c r="J67" t="str">
        <f ca="1">IFERROR(IF(0=LEN(ReferenceData!$J$67),"",ReferenceData!$J$67),"")</f>
        <v/>
      </c>
      <c r="K67" t="str">
        <f ca="1">IFERROR(IF(0=LEN(ReferenceData!$K$67),"",ReferenceData!$K$67),"")</f>
        <v/>
      </c>
      <c r="L67">
        <f ca="1">IFERROR(IF(0=LEN(ReferenceData!$L$67),"",ReferenceData!$L$67),"")</f>
        <v>27530.757280000002</v>
      </c>
      <c r="M67" t="str">
        <f ca="1">IFERROR(IF(0=LEN(ReferenceData!$M$67),"",ReferenceData!$M$67),"")</f>
        <v/>
      </c>
      <c r="N67" t="str">
        <f ca="1">IFERROR(IF(0=LEN(ReferenceData!$N$67),"",ReferenceData!$N$67),"")</f>
        <v/>
      </c>
      <c r="O67" t="str">
        <f ca="1">IFERROR(IF(0=LEN(ReferenceData!$O$67),"",ReferenceData!$O$67),"")</f>
        <v/>
      </c>
      <c r="P67">
        <f ca="1">IFERROR(IF(0=LEN(ReferenceData!$P$67),"",ReferenceData!$P$67),"")</f>
        <v>34310.030429999999</v>
      </c>
      <c r="Q67" t="str">
        <f ca="1">IFERROR(IF(0=LEN(ReferenceData!$Q$67),"",ReferenceData!$Q$67),"")</f>
        <v/>
      </c>
      <c r="R67">
        <f ca="1">IFERROR(IF(0=LEN(ReferenceData!$R$67),"",ReferenceData!$R$67),"")</f>
        <v>26110.686369999999</v>
      </c>
      <c r="S67" t="str">
        <f ca="1">IFERROR(IF(0=LEN(ReferenceData!$S$67),"",ReferenceData!$S$67),"")</f>
        <v/>
      </c>
      <c r="T67">
        <f ca="1">IFERROR(IF(0=LEN(ReferenceData!$T$67),"",ReferenceData!$T$67),"")</f>
        <v>25635.226600000002</v>
      </c>
      <c r="U67" t="str">
        <f ca="1">IFERROR(IF(0=LEN(ReferenceData!$U$67),"",ReferenceData!$U$67),"")</f>
        <v/>
      </c>
      <c r="V67">
        <f ca="1">IFERROR(IF(0=LEN(ReferenceData!$V$67),"",ReferenceData!$V$67),"")</f>
        <v>32156.061099999999</v>
      </c>
      <c r="W67" t="str">
        <f ca="1">IFERROR(IF(0=LEN(ReferenceData!$W$67),"",ReferenceData!$W$67),"")</f>
        <v/>
      </c>
      <c r="X67">
        <f ca="1">IFERROR(IF(0=LEN(ReferenceData!$X$67),"",ReferenceData!$X$67),"")</f>
        <v>34582.585700000003</v>
      </c>
      <c r="Y67" t="str">
        <f ca="1">IFERROR(IF(0=LEN(ReferenceData!$Y$67),"",ReferenceData!$Y$67),"")</f>
        <v/>
      </c>
      <c r="Z67">
        <f ca="1">IFERROR(IF(0=LEN(ReferenceData!$Z$67),"",ReferenceData!$Z$67),"")</f>
        <v>29685.54448</v>
      </c>
      <c r="AA67" t="str">
        <f ca="1">IFERROR(IF(0=LEN(ReferenceData!$AA$67),"",ReferenceData!$AA$67),"")</f>
        <v/>
      </c>
      <c r="AB67">
        <f ca="1">IFERROR(IF(0=LEN(ReferenceData!$AB$67),"",ReferenceData!$AB$67),"")</f>
        <v>27494.4709</v>
      </c>
      <c r="AC67" t="str">
        <f ca="1">IFERROR(IF(0=LEN(ReferenceData!$AC$67),"",ReferenceData!$AC$67),"")</f>
        <v/>
      </c>
      <c r="AD67">
        <f ca="1">IFERROR(IF(0=LEN(ReferenceData!$AD$67),"",ReferenceData!$AD$67),"")</f>
        <v>24521.469789999999</v>
      </c>
      <c r="AE67" t="str">
        <f ca="1">IFERROR(IF(0=LEN(ReferenceData!$AE$67),"",ReferenceData!$AE$67),"")</f>
        <v/>
      </c>
      <c r="AF67">
        <f ca="1">IFERROR(IF(0=LEN(ReferenceData!$AF$67),"",ReferenceData!$AF$67),"")</f>
        <v>28022.984840000001</v>
      </c>
      <c r="AG67" t="str">
        <f ca="1">IFERROR(IF(0=LEN(ReferenceData!$AG$67),"",ReferenceData!$AG$67),"")</f>
        <v/>
      </c>
      <c r="AH67">
        <f ca="1">IFERROR(IF(0=LEN(ReferenceData!$AH$67),"",ReferenceData!$AH$67),"")</f>
        <v>26945.630679999998</v>
      </c>
      <c r="AI67" t="str">
        <f ca="1">IFERROR(IF(0=LEN(ReferenceData!$AI$67),"",ReferenceData!$AI$67),"")</f>
        <v/>
      </c>
      <c r="AJ67">
        <f ca="1">IFERROR(IF(0=LEN(ReferenceData!$AJ$67),"",ReferenceData!$AJ$67),"")</f>
        <v>31709.0658</v>
      </c>
      <c r="AK67" t="str">
        <f ca="1">IFERROR(IF(0=LEN(ReferenceData!$AK$67),"",ReferenceData!$AK$67),"")</f>
        <v/>
      </c>
      <c r="AL67" t="str">
        <f ca="1">IFERROR(IF(0=LEN(ReferenceData!$AL$67),"",ReferenceData!$AL$67),"")</f>
        <v/>
      </c>
      <c r="AM67" t="str">
        <f ca="1">IFERROR(IF(0=LEN(ReferenceData!$AM$67),"",ReferenceData!$AM$67),"")</f>
        <v/>
      </c>
      <c r="AN67" t="str">
        <f ca="1">IFERROR(IF(0=LEN(ReferenceData!$AN$67),"",ReferenceData!$AN$67),"")</f>
        <v/>
      </c>
      <c r="AO67" t="str">
        <f ca="1">IFERROR(IF(0=LEN(ReferenceData!$AO$67),"",ReferenceData!$AO$67),"")</f>
        <v/>
      </c>
      <c r="AP67">
        <f ca="1">IFERROR(IF(0=LEN(ReferenceData!$AP$67),"",ReferenceData!$AP$67),"")</f>
        <v>36314.30646</v>
      </c>
      <c r="AQ67" t="str">
        <f ca="1">IFERROR(IF(0=LEN(ReferenceData!$AQ$67),"",ReferenceData!$AQ$67),"")</f>
        <v/>
      </c>
      <c r="AR67" t="str">
        <f ca="1">IFERROR(IF(0=LEN(ReferenceData!$AR$67),"",ReferenceData!$AR$67),"")</f>
        <v/>
      </c>
      <c r="AS67" t="str">
        <f ca="1">IFERROR(IF(0=LEN(ReferenceData!$AS$67),"",ReferenceData!$AS$67),"")</f>
        <v/>
      </c>
      <c r="AT67">
        <f ca="1">IFERROR(IF(0=LEN(ReferenceData!$AT$67),"",ReferenceData!$AT$67),"")</f>
        <v>41070.743390000003</v>
      </c>
      <c r="AU67" t="str">
        <f ca="1">IFERROR(IF(0=LEN(ReferenceData!$AU$67),"",ReferenceData!$AU$67),"")</f>
        <v/>
      </c>
      <c r="AV67" t="str">
        <f ca="1">IFERROR(IF(0=LEN(ReferenceData!$AV$67),"",ReferenceData!$AV$67),"")</f>
        <v/>
      </c>
      <c r="AW67" t="str">
        <f ca="1">IFERROR(IF(0=LEN(ReferenceData!$AW$67),"",ReferenceData!$AW$67),"")</f>
        <v/>
      </c>
      <c r="AX67" t="str">
        <f ca="1">IFERROR(IF(0=LEN(ReferenceData!$AX$67),"",ReferenceData!$AX$67),"")</f>
        <v/>
      </c>
      <c r="AY67" t="str">
        <f ca="1">IFERROR(IF(0=LEN(ReferenceData!$AY$67),"",ReferenceData!$AY$67),"")</f>
        <v/>
      </c>
      <c r="AZ67" t="str">
        <f ca="1">IFERROR(IF(0=LEN(ReferenceData!$AZ$67),"",ReferenceData!$AZ$67),"")</f>
        <v/>
      </c>
      <c r="BA67" t="str">
        <f ca="1">IFERROR(IF(0=LEN(ReferenceData!$BA$67),"",ReferenceData!$BA$67),"")</f>
        <v/>
      </c>
      <c r="BB67" t="str">
        <f ca="1">IFERROR(IF(0=LEN(ReferenceData!$BB$67),"",ReferenceData!$BB$67),"")</f>
        <v/>
      </c>
      <c r="BC67" t="str">
        <f ca="1">IFERROR(IF(0=LEN(ReferenceData!$BC$67),"",ReferenceData!$BC$67),"")</f>
        <v/>
      </c>
      <c r="BD67">
        <f ca="1">IFERROR(IF(0=LEN(ReferenceData!$BD$67),"",ReferenceData!$BD$67),"")</f>
        <v>55869.371749999998</v>
      </c>
      <c r="BE67" t="str">
        <f ca="1">IFERROR(IF(0=LEN(ReferenceData!$BE$67),"",ReferenceData!$BE$67),"")</f>
        <v/>
      </c>
      <c r="BF67">
        <f ca="1">IFERROR(IF(0=LEN(ReferenceData!$BF$67),"",ReferenceData!$BF$67),"")</f>
        <v>63619.210420000003</v>
      </c>
      <c r="BG67" t="str">
        <f ca="1">IFERROR(IF(0=LEN(ReferenceData!$BG$67),"",ReferenceData!$BG$67),"")</f>
        <v/>
      </c>
      <c r="BH67">
        <f ca="1">IFERROR(IF(0=LEN(ReferenceData!$BH$67),"",ReferenceData!$BH$67),"")</f>
        <v>50112.208960000004</v>
      </c>
      <c r="BI67" t="str">
        <f ca="1">IFERROR(IF(0=LEN(ReferenceData!$BI$67),"",ReferenceData!$BI$67),"")</f>
        <v/>
      </c>
      <c r="BJ67">
        <f ca="1">IFERROR(IF(0=LEN(ReferenceData!$BJ$67),"",ReferenceData!$BJ$67),"")</f>
        <v>50590.847000000002</v>
      </c>
      <c r="BK67" t="str">
        <f ca="1">IFERROR(IF(0=LEN(ReferenceData!$BK$67),"",ReferenceData!$BK$67),"")</f>
        <v/>
      </c>
      <c r="BL67">
        <f ca="1">IFERROR(IF(0=LEN(ReferenceData!$BL$67),"",ReferenceData!$BL$67),"")</f>
        <v>64525.11447</v>
      </c>
      <c r="BM67" t="str">
        <f ca="1">IFERROR(IF(0=LEN(ReferenceData!$BM$67),"",ReferenceData!$BM$67),"")</f>
        <v/>
      </c>
    </row>
    <row r="68" spans="1:65" x14ac:dyDescent="0.25">
      <c r="A68" t="str">
        <f>IFERROR(IF(0=LEN(ReferenceData!$A$68),"",ReferenceData!$A$68),"")</f>
        <v xml:space="preserve">    Mediobanca Banca di Credito Finanziario SpA</v>
      </c>
      <c r="B68" t="str">
        <f>IFERROR(IF(0=LEN(ReferenceData!$B$68),"",ReferenceData!$B$68),"")</f>
        <v>MB IM Equity</v>
      </c>
      <c r="C68" t="str">
        <f>IFERROR(IF(0=LEN(ReferenceData!$C$68),"",ReferenceData!$C$68),"")</f>
        <v>BM109</v>
      </c>
      <c r="D68" t="str">
        <f>IFERROR(IF(0=LEN(ReferenceData!$D$68),"",ReferenceData!$D$68),"")</f>
        <v>BS_TRADING_SECURITIES_DERIVS</v>
      </c>
      <c r="E68" t="str">
        <f>IFERROR(IF(0=LEN(ReferenceData!$E$68),"",ReferenceData!$E$68),"")</f>
        <v>Dynamic</v>
      </c>
      <c r="F68" t="str">
        <f ca="1">IFERROR(IF(0=LEN(ReferenceData!$F$68),"",ReferenceData!$F$68),"")</f>
        <v/>
      </c>
      <c r="G68" t="str">
        <f ca="1">IFERROR(IF(0=LEN(ReferenceData!$G$68),"",ReferenceData!$G$68),"")</f>
        <v/>
      </c>
      <c r="H68">
        <f ca="1">IFERROR(IF(0=LEN(ReferenceData!$H$68),"",ReferenceData!$H$68),"")</f>
        <v>2814.3249999999998</v>
      </c>
      <c r="I68" t="str">
        <f ca="1">IFERROR(IF(0=LEN(ReferenceData!$I$68),"",ReferenceData!$I$68),"")</f>
        <v/>
      </c>
      <c r="J68">
        <f ca="1">IFERROR(IF(0=LEN(ReferenceData!$J$68),"",ReferenceData!$J$68),"")</f>
        <v>2468.1080000000002</v>
      </c>
      <c r="K68" t="str">
        <f ca="1">IFERROR(IF(0=LEN(ReferenceData!$K$68),"",ReferenceData!$K$68),"")</f>
        <v/>
      </c>
      <c r="L68">
        <f ca="1">IFERROR(IF(0=LEN(ReferenceData!$L$68),"",ReferenceData!$L$68),"")</f>
        <v>2876.4389999999999</v>
      </c>
      <c r="M68" t="str">
        <f ca="1">IFERROR(IF(0=LEN(ReferenceData!$M$68),"",ReferenceData!$M$68),"")</f>
        <v/>
      </c>
      <c r="N68">
        <f ca="1">IFERROR(IF(0=LEN(ReferenceData!$N$68),"",ReferenceData!$N$68),"")</f>
        <v>3083.4769999999999</v>
      </c>
      <c r="O68" t="str">
        <f ca="1">IFERROR(IF(0=LEN(ReferenceData!$O$68),"",ReferenceData!$O$68),"")</f>
        <v/>
      </c>
      <c r="P68">
        <f ca="1">IFERROR(IF(0=LEN(ReferenceData!$P$68),"",ReferenceData!$P$68),"")</f>
        <v>3320.6039999999998</v>
      </c>
      <c r="Q68" t="str">
        <f ca="1">IFERROR(IF(0=LEN(ReferenceData!$Q$68),"",ReferenceData!$Q$68),"")</f>
        <v/>
      </c>
      <c r="R68">
        <f ca="1">IFERROR(IF(0=LEN(ReferenceData!$R$68),"",ReferenceData!$R$68),"")</f>
        <v>3908.384</v>
      </c>
      <c r="S68" t="str">
        <f ca="1">IFERROR(IF(0=LEN(ReferenceData!$S$68),"",ReferenceData!$S$68),"")</f>
        <v/>
      </c>
      <c r="T68">
        <f ca="1">IFERROR(IF(0=LEN(ReferenceData!$T$68),"",ReferenceData!$T$68),"")</f>
        <v>4004.2820000000002</v>
      </c>
      <c r="U68" t="str">
        <f ca="1">IFERROR(IF(0=LEN(ReferenceData!$U$68),"",ReferenceData!$U$68),"")</f>
        <v/>
      </c>
      <c r="V68">
        <f ca="1">IFERROR(IF(0=LEN(ReferenceData!$V$68),"",ReferenceData!$V$68),"")</f>
        <v>3811.0430000000001</v>
      </c>
      <c r="W68" t="str">
        <f ca="1">IFERROR(IF(0=LEN(ReferenceData!$W$68),"",ReferenceData!$W$68),"")</f>
        <v/>
      </c>
      <c r="X68">
        <f ca="1">IFERROR(IF(0=LEN(ReferenceData!$X$68),"",ReferenceData!$X$68),"")</f>
        <v>3279.8989999999999</v>
      </c>
      <c r="Y68" t="str">
        <f ca="1">IFERROR(IF(0=LEN(ReferenceData!$Y$68),"",ReferenceData!$Y$68),"")</f>
        <v/>
      </c>
      <c r="Z68">
        <f ca="1">IFERROR(IF(0=LEN(ReferenceData!$Z$68),"",ReferenceData!$Z$68),"")</f>
        <v>3194.6909999999998</v>
      </c>
      <c r="AA68" t="str">
        <f ca="1">IFERROR(IF(0=LEN(ReferenceData!$AA$68),"",ReferenceData!$AA$68),"")</f>
        <v/>
      </c>
      <c r="AB68">
        <f ca="1">IFERROR(IF(0=LEN(ReferenceData!$AB$68),"",ReferenceData!$AB$68),"")</f>
        <v>2774.6019999999999</v>
      </c>
      <c r="AC68" t="str">
        <f ca="1">IFERROR(IF(0=LEN(ReferenceData!$AC$68),"",ReferenceData!$AC$68),"")</f>
        <v/>
      </c>
      <c r="AD68">
        <f ca="1">IFERROR(IF(0=LEN(ReferenceData!$AD$68),"",ReferenceData!$AD$68),"")</f>
        <v>3346.2069999999999</v>
      </c>
      <c r="AE68" t="str">
        <f ca="1">IFERROR(IF(0=LEN(ReferenceData!$AE$68),"",ReferenceData!$AE$68),"")</f>
        <v/>
      </c>
      <c r="AF68">
        <f ca="1">IFERROR(IF(0=LEN(ReferenceData!$AF$68),"",ReferenceData!$AF$68),"")</f>
        <v>3563.2930000000001</v>
      </c>
      <c r="AG68" t="str">
        <f ca="1">IFERROR(IF(0=LEN(ReferenceData!$AG$68),"",ReferenceData!$AG$68),"")</f>
        <v/>
      </c>
      <c r="AH68">
        <f ca="1">IFERROR(IF(0=LEN(ReferenceData!$AH$68),"",ReferenceData!$AH$68),"")</f>
        <v>3563.7260000000001</v>
      </c>
      <c r="AI68" t="str">
        <f ca="1">IFERROR(IF(0=LEN(ReferenceData!$AI$68),"",ReferenceData!$AI$68),"")</f>
        <v/>
      </c>
      <c r="AJ68">
        <f ca="1">IFERROR(IF(0=LEN(ReferenceData!$AJ$68),"",ReferenceData!$AJ$68),"")</f>
        <v>3249.3690000000001</v>
      </c>
      <c r="AK68" t="str">
        <f ca="1">IFERROR(IF(0=LEN(ReferenceData!$AK$68),"",ReferenceData!$AK$68),"")</f>
        <v/>
      </c>
      <c r="AL68">
        <f ca="1">IFERROR(IF(0=LEN(ReferenceData!$AL$68),"",ReferenceData!$AL$68),"")</f>
        <v>4328.7870000000003</v>
      </c>
      <c r="AM68" t="str">
        <f ca="1">IFERROR(IF(0=LEN(ReferenceData!$AM$68),"",ReferenceData!$AM$68),"")</f>
        <v/>
      </c>
      <c r="AN68">
        <f ca="1">IFERROR(IF(0=LEN(ReferenceData!$AN$68),"",ReferenceData!$AN$68),"")</f>
        <v>5144.1279999999997</v>
      </c>
      <c r="AO68" t="str">
        <f ca="1">IFERROR(IF(0=LEN(ReferenceData!$AO$68),"",ReferenceData!$AO$68),"")</f>
        <v/>
      </c>
      <c r="AP68">
        <f ca="1">IFERROR(IF(0=LEN(ReferenceData!$AP$68),"",ReferenceData!$AP$68),"")</f>
        <v>5311.1270000000004</v>
      </c>
      <c r="AQ68" t="str">
        <f ca="1">IFERROR(IF(0=LEN(ReferenceData!$AQ$68),"",ReferenceData!$AQ$68),"")</f>
        <v/>
      </c>
      <c r="AR68">
        <f ca="1">IFERROR(IF(0=LEN(ReferenceData!$AR$68),"",ReferenceData!$AR$68),"")</f>
        <v>5698.5730000000003</v>
      </c>
      <c r="AS68" t="str">
        <f ca="1">IFERROR(IF(0=LEN(ReferenceData!$AS$68),"",ReferenceData!$AS$68),"")</f>
        <v/>
      </c>
      <c r="AT68" t="str">
        <f ca="1">IFERROR(IF(0=LEN(ReferenceData!$AT$68),"",ReferenceData!$AT$68),"")</f>
        <v/>
      </c>
      <c r="AU68" t="str">
        <f ca="1">IFERROR(IF(0=LEN(ReferenceData!$AU$68),"",ReferenceData!$AU$68),"")</f>
        <v/>
      </c>
      <c r="AV68">
        <f ca="1">IFERROR(IF(0=LEN(ReferenceData!$AV$68),"",ReferenceData!$AV$68),"")</f>
        <v>5941.5469999999996</v>
      </c>
      <c r="AW68" t="str">
        <f ca="1">IFERROR(IF(0=LEN(ReferenceData!$AW$68),"",ReferenceData!$AW$68),"")</f>
        <v/>
      </c>
      <c r="AX68" t="str">
        <f ca="1">IFERROR(IF(0=LEN(ReferenceData!$AX$68),"",ReferenceData!$AX$68),"")</f>
        <v/>
      </c>
      <c r="AY68" t="str">
        <f ca="1">IFERROR(IF(0=LEN(ReferenceData!$AY$68),"",ReferenceData!$AY$68),"")</f>
        <v/>
      </c>
      <c r="AZ68" t="str">
        <f ca="1">IFERROR(IF(0=LEN(ReferenceData!$AZ$68),"",ReferenceData!$AZ$68),"")</f>
        <v/>
      </c>
      <c r="BA68" t="str">
        <f ca="1">IFERROR(IF(0=LEN(ReferenceData!$BA$68),"",ReferenceData!$BA$68),"")</f>
        <v/>
      </c>
      <c r="BB68" t="str">
        <f ca="1">IFERROR(IF(0=LEN(ReferenceData!$BB$68),"",ReferenceData!$BB$68),"")</f>
        <v/>
      </c>
      <c r="BC68" t="str">
        <f ca="1">IFERROR(IF(0=LEN(ReferenceData!$BC$68),"",ReferenceData!$BC$68),"")</f>
        <v/>
      </c>
      <c r="BD68" t="str">
        <f ca="1">IFERROR(IF(0=LEN(ReferenceData!$BD$68),"",ReferenceData!$BD$68),"")</f>
        <v/>
      </c>
      <c r="BE68" t="str">
        <f ca="1">IFERROR(IF(0=LEN(ReferenceData!$BE$68),"",ReferenceData!$BE$68),"")</f>
        <v/>
      </c>
      <c r="BF68" t="str">
        <f ca="1">IFERROR(IF(0=LEN(ReferenceData!$BF$68),"",ReferenceData!$BF$68),"")</f>
        <v/>
      </c>
      <c r="BG68" t="str">
        <f ca="1">IFERROR(IF(0=LEN(ReferenceData!$BG$68),"",ReferenceData!$BG$68),"")</f>
        <v/>
      </c>
      <c r="BH68" t="str">
        <f ca="1">IFERROR(IF(0=LEN(ReferenceData!$BH$68),"",ReferenceData!$BH$68),"")</f>
        <v/>
      </c>
      <c r="BI68" t="str">
        <f ca="1">IFERROR(IF(0=LEN(ReferenceData!$BI$68),"",ReferenceData!$BI$68),"")</f>
        <v/>
      </c>
      <c r="BJ68" t="str">
        <f ca="1">IFERROR(IF(0=LEN(ReferenceData!$BJ$68),"",ReferenceData!$BJ$68),"")</f>
        <v/>
      </c>
      <c r="BK68" t="str">
        <f ca="1">IFERROR(IF(0=LEN(ReferenceData!$BK$68),"",ReferenceData!$BK$68),"")</f>
        <v/>
      </c>
      <c r="BL68" t="str">
        <f ca="1">IFERROR(IF(0=LEN(ReferenceData!$BL$68),"",ReferenceData!$BL$68),"")</f>
        <v/>
      </c>
      <c r="BM68" t="str">
        <f ca="1">IFERROR(IF(0=LEN(ReferenceData!$BM$68),"",ReferenceData!$BM$68),"")</f>
        <v/>
      </c>
    </row>
    <row r="69" spans="1:65" x14ac:dyDescent="0.25">
      <c r="A69" t="str">
        <f>IFERROR(IF(0=LEN(ReferenceData!$A$69),"",ReferenceData!$A$69),"")</f>
        <v xml:space="preserve">    NatWest Group PLC</v>
      </c>
      <c r="B69" t="str">
        <f>IFERROR(IF(0=LEN(ReferenceData!$B$69),"",ReferenceData!$B$69),"")</f>
        <v>NWG LN Equity</v>
      </c>
      <c r="C69" t="str">
        <f>IFERROR(IF(0=LEN(ReferenceData!$C$69),"",ReferenceData!$C$69),"")</f>
        <v>BM109</v>
      </c>
      <c r="D69" t="str">
        <f>IFERROR(IF(0=LEN(ReferenceData!$D$69),"",ReferenceData!$D$69),"")</f>
        <v>BS_TRADING_SECURITIES_DERIVS</v>
      </c>
      <c r="E69" t="str">
        <f>IFERROR(IF(0=LEN(ReferenceData!$E$69),"",ReferenceData!$E$69),"")</f>
        <v>Dynamic</v>
      </c>
      <c r="F69">
        <f ca="1">IFERROR(IF(0=LEN(ReferenceData!$F$69),"",ReferenceData!$F$69),"")</f>
        <v>94846.334329999998</v>
      </c>
      <c r="G69" t="str">
        <f ca="1">IFERROR(IF(0=LEN(ReferenceData!$G$69),"",ReferenceData!$G$69),"")</f>
        <v/>
      </c>
      <c r="H69" t="str">
        <f ca="1">IFERROR(IF(0=LEN(ReferenceData!$H$69),"",ReferenceData!$H$69),"")</f>
        <v/>
      </c>
      <c r="I69" t="str">
        <f ca="1">IFERROR(IF(0=LEN(ReferenceData!$I$69),"",ReferenceData!$I$69),"")</f>
        <v/>
      </c>
      <c r="J69">
        <f ca="1">IFERROR(IF(0=LEN(ReferenceData!$J$69),"",ReferenceData!$J$69),"")</f>
        <v>91020.584959999993</v>
      </c>
      <c r="K69" t="str">
        <f ca="1">IFERROR(IF(0=LEN(ReferenceData!$K$69),"",ReferenceData!$K$69),"")</f>
        <v/>
      </c>
      <c r="L69" t="str">
        <f ca="1">IFERROR(IF(0=LEN(ReferenceData!$L$69),"",ReferenceData!$L$69),"")</f>
        <v/>
      </c>
      <c r="M69" t="str">
        <f ca="1">IFERROR(IF(0=LEN(ReferenceData!$M$69),"",ReferenceData!$M$69),"")</f>
        <v/>
      </c>
      <c r="N69">
        <f ca="1">IFERROR(IF(0=LEN(ReferenceData!$N$69),"",ReferenceData!$N$69),"")</f>
        <v>112435.3851</v>
      </c>
      <c r="O69" t="str">
        <f ca="1">IFERROR(IF(0=LEN(ReferenceData!$O$69),"",ReferenceData!$O$69),"")</f>
        <v/>
      </c>
      <c r="P69" t="str">
        <f ca="1">IFERROR(IF(0=LEN(ReferenceData!$P$69),"",ReferenceData!$P$69),"")</f>
        <v/>
      </c>
      <c r="Q69" t="str">
        <f ca="1">IFERROR(IF(0=LEN(ReferenceData!$Q$69),"",ReferenceData!$Q$69),"")</f>
        <v/>
      </c>
      <c r="R69">
        <f ca="1">IFERROR(IF(0=LEN(ReferenceData!$R$69),"",ReferenceData!$R$69),"")</f>
        <v>126171.7341</v>
      </c>
      <c r="S69" t="str">
        <f ca="1">IFERROR(IF(0=LEN(ReferenceData!$S$69),"",ReferenceData!$S$69),"")</f>
        <v/>
      </c>
      <c r="T69" t="str">
        <f ca="1">IFERROR(IF(0=LEN(ReferenceData!$T$69),"",ReferenceData!$T$69),"")</f>
        <v/>
      </c>
      <c r="U69" t="str">
        <f ca="1">IFERROR(IF(0=LEN(ReferenceData!$U$69),"",ReferenceData!$U$69),"")</f>
        <v/>
      </c>
      <c r="V69">
        <f ca="1">IFERROR(IF(0=LEN(ReferenceData!$V$69),"",ReferenceData!$V$69),"")</f>
        <v>185947.27799999999</v>
      </c>
      <c r="W69" t="str">
        <f ca="1">IFERROR(IF(0=LEN(ReferenceData!$W$69),"",ReferenceData!$W$69),"")</f>
        <v/>
      </c>
      <c r="X69" t="str">
        <f ca="1">IFERROR(IF(0=LEN(ReferenceData!$X$69),"",ReferenceData!$X$69),"")</f>
        <v/>
      </c>
      <c r="Y69" t="str">
        <f ca="1">IFERROR(IF(0=LEN(ReferenceData!$Y$69),"",ReferenceData!$Y$69),"")</f>
        <v/>
      </c>
      <c r="Z69">
        <f ca="1">IFERROR(IF(0=LEN(ReferenceData!$Z$69),"",ReferenceData!$Z$69),"")</f>
        <v>177204.97169999999</v>
      </c>
      <c r="AA69" t="str">
        <f ca="1">IFERROR(IF(0=LEN(ReferenceData!$AA$69),"",ReferenceData!$AA$69),"")</f>
        <v/>
      </c>
      <c r="AB69" t="str">
        <f ca="1">IFERROR(IF(0=LEN(ReferenceData!$AB$69),"",ReferenceData!$AB$69),"")</f>
        <v/>
      </c>
      <c r="AC69" t="str">
        <f ca="1">IFERROR(IF(0=LEN(ReferenceData!$AC$69),"",ReferenceData!$AC$69),"")</f>
        <v/>
      </c>
      <c r="AD69">
        <f ca="1">IFERROR(IF(0=LEN(ReferenceData!$AD$69),"",ReferenceData!$AD$69),"")</f>
        <v>148416.552</v>
      </c>
      <c r="AE69" t="str">
        <f ca="1">IFERROR(IF(0=LEN(ReferenceData!$AE$69),"",ReferenceData!$AE$69),"")</f>
        <v/>
      </c>
      <c r="AF69" t="str">
        <f ca="1">IFERROR(IF(0=LEN(ReferenceData!$AF$69),"",ReferenceData!$AF$69),"")</f>
        <v/>
      </c>
      <c r="AG69" t="str">
        <f ca="1">IFERROR(IF(0=LEN(ReferenceData!$AG$69),"",ReferenceData!$AG$69),"")</f>
        <v/>
      </c>
      <c r="AH69">
        <f ca="1">IFERROR(IF(0=LEN(ReferenceData!$AH$69),"",ReferenceData!$AH$69),"")</f>
        <v>177600.6508</v>
      </c>
      <c r="AI69" t="str">
        <f ca="1">IFERROR(IF(0=LEN(ReferenceData!$AI$69),"",ReferenceData!$AI$69),"")</f>
        <v/>
      </c>
      <c r="AJ69" t="str">
        <f ca="1">IFERROR(IF(0=LEN(ReferenceData!$AJ$69),"",ReferenceData!$AJ$69),"")</f>
        <v/>
      </c>
      <c r="AK69" t="str">
        <f ca="1">IFERROR(IF(0=LEN(ReferenceData!$AK$69),"",ReferenceData!$AK$69),"")</f>
        <v/>
      </c>
      <c r="AL69">
        <f ca="1">IFERROR(IF(0=LEN(ReferenceData!$AL$69),"",ReferenceData!$AL$69),"")</f>
        <v>283479.68520000001</v>
      </c>
      <c r="AM69" t="str">
        <f ca="1">IFERROR(IF(0=LEN(ReferenceData!$AM$69),"",ReferenceData!$AM$69),"")</f>
        <v/>
      </c>
      <c r="AN69" t="str">
        <f ca="1">IFERROR(IF(0=LEN(ReferenceData!$AN$69),"",ReferenceData!$AN$69),"")</f>
        <v/>
      </c>
      <c r="AO69" t="str">
        <f ca="1">IFERROR(IF(0=LEN(ReferenceData!$AO$69),"",ReferenceData!$AO$69),"")</f>
        <v/>
      </c>
      <c r="AP69">
        <f ca="1">IFERROR(IF(0=LEN(ReferenceData!$AP$69),"",ReferenceData!$AP$69),"")</f>
        <v>350775.23710000003</v>
      </c>
      <c r="AQ69" t="str">
        <f ca="1">IFERROR(IF(0=LEN(ReferenceData!$AQ$69),"",ReferenceData!$AQ$69),"")</f>
        <v/>
      </c>
      <c r="AR69" t="str">
        <f ca="1">IFERROR(IF(0=LEN(ReferenceData!$AR$69),"",ReferenceData!$AR$69),"")</f>
        <v/>
      </c>
      <c r="AS69" t="str">
        <f ca="1">IFERROR(IF(0=LEN(ReferenceData!$AS$69),"",ReferenceData!$AS$69),"")</f>
        <v/>
      </c>
      <c r="AT69">
        <f ca="1">IFERROR(IF(0=LEN(ReferenceData!$AT$69),"",ReferenceData!$AT$69),"")</f>
        <v>455.84082640000003</v>
      </c>
      <c r="AU69" t="str">
        <f ca="1">IFERROR(IF(0=LEN(ReferenceData!$AU$69),"",ReferenceData!$AU$69),"")</f>
        <v/>
      </c>
      <c r="AV69" t="str">
        <f ca="1">IFERROR(IF(0=LEN(ReferenceData!$AV$69),"",ReferenceData!$AV$69),"")</f>
        <v/>
      </c>
      <c r="AW69" t="str">
        <f ca="1">IFERROR(IF(0=LEN(ReferenceData!$AW$69),"",ReferenceData!$AW$69),"")</f>
        <v/>
      </c>
      <c r="AX69">
        <f ca="1">IFERROR(IF(0=LEN(ReferenceData!$AX$69),"",ReferenceData!$AX$69),"")</f>
        <v>346047.86959999998</v>
      </c>
      <c r="AY69" t="str">
        <f ca="1">IFERROR(IF(0=LEN(ReferenceData!$AY$69),"",ReferenceData!$AY$69),"")</f>
        <v/>
      </c>
      <c r="AZ69" t="str">
        <f ca="1">IFERROR(IF(0=LEN(ReferenceData!$AZ$69),"",ReferenceData!$AZ$69),"")</f>
        <v/>
      </c>
      <c r="BA69" t="str">
        <f ca="1">IFERROR(IF(0=LEN(ReferenceData!$BA$69),"",ReferenceData!$BA$69),"")</f>
        <v/>
      </c>
      <c r="BB69">
        <f ca="1">IFERROR(IF(0=LEN(ReferenceData!$BB$69),"",ReferenceData!$BB$69),"")</f>
        <v>543865.16070000001</v>
      </c>
      <c r="BC69" t="str">
        <f ca="1">IFERROR(IF(0=LEN(ReferenceData!$BC$69),"",ReferenceData!$BC$69),"")</f>
        <v/>
      </c>
      <c r="BD69" t="str">
        <f ca="1">IFERROR(IF(0=LEN(ReferenceData!$BD$69),"",ReferenceData!$BD$69),"")</f>
        <v/>
      </c>
      <c r="BE69">
        <f ca="1">IFERROR(IF(0=LEN(ReferenceData!$BE$69),"",ReferenceData!$BE$69),"")</f>
        <v>543773.16339999996</v>
      </c>
      <c r="BF69">
        <f ca="1">IFERROR(IF(0=LEN(ReferenceData!$BF$69),"",ReferenceData!$BF$69),"")</f>
        <v>633784.3798</v>
      </c>
      <c r="BG69" t="str">
        <f ca="1">IFERROR(IF(0=LEN(ReferenceData!$BG$69),"",ReferenceData!$BG$69),"")</f>
        <v/>
      </c>
      <c r="BH69" t="str">
        <f ca="1">IFERROR(IF(0=LEN(ReferenceData!$BH$69),"",ReferenceData!$BH$69),"")</f>
        <v/>
      </c>
      <c r="BI69" t="str">
        <f ca="1">IFERROR(IF(0=LEN(ReferenceData!$BI$69),"",ReferenceData!$BI$69),"")</f>
        <v/>
      </c>
      <c r="BJ69">
        <f ca="1">IFERROR(IF(0=LEN(ReferenceData!$BJ$69),"",ReferenceData!$BJ$69),"")</f>
        <v>498171.29340000002</v>
      </c>
      <c r="BK69">
        <f ca="1">IFERROR(IF(0=LEN(ReferenceData!$BK$69),"",ReferenceData!$BK$69),"")</f>
        <v>633744.86340000003</v>
      </c>
      <c r="BL69">
        <f ca="1">IFERROR(IF(0=LEN(ReferenceData!$BL$69),"",ReferenceData!$BL$69),"")</f>
        <v>638306.17390000005</v>
      </c>
      <c r="BM69" t="str">
        <f ca="1">IFERROR(IF(0=LEN(ReferenceData!$BM$69),"",ReferenceData!$BM$69),"")</f>
        <v/>
      </c>
    </row>
    <row r="70" spans="1:65" x14ac:dyDescent="0.25">
      <c r="A70" t="str">
        <f>IFERROR(IF(0=LEN(ReferenceData!$A$70),"",ReferenceData!$A$70),"")</f>
        <v xml:space="preserve">    Nordea Bank Abp</v>
      </c>
      <c r="B70" t="str">
        <f>IFERROR(IF(0=LEN(ReferenceData!$B$70),"",ReferenceData!$B$70),"")</f>
        <v>NDA FH Equity</v>
      </c>
      <c r="C70" t="str">
        <f>IFERROR(IF(0=LEN(ReferenceData!$C$70),"",ReferenceData!$C$70),"")</f>
        <v>BM109</v>
      </c>
      <c r="D70" t="str">
        <f>IFERROR(IF(0=LEN(ReferenceData!$D$70),"",ReferenceData!$D$70),"")</f>
        <v>BS_TRADING_SECURITIES_DERIVS</v>
      </c>
      <c r="E70" t="str">
        <f>IFERROR(IF(0=LEN(ReferenceData!$E$70),"",ReferenceData!$E$70),"")</f>
        <v>Dynamic</v>
      </c>
      <c r="F70">
        <f ca="1">IFERROR(IF(0=LEN(ReferenceData!$F$70),"",ReferenceData!$F$70),"")</f>
        <v>20651</v>
      </c>
      <c r="G70" t="str">
        <f ca="1">IFERROR(IF(0=LEN(ReferenceData!$G$70),"",ReferenceData!$G$70),"")</f>
        <v/>
      </c>
      <c r="H70" t="str">
        <f ca="1">IFERROR(IF(0=LEN(ReferenceData!$H$70),"",ReferenceData!$H$70),"")</f>
        <v/>
      </c>
      <c r="I70" t="str">
        <f ca="1">IFERROR(IF(0=LEN(ReferenceData!$I$70),"",ReferenceData!$I$70),"")</f>
        <v/>
      </c>
      <c r="J70">
        <f ca="1">IFERROR(IF(0=LEN(ReferenceData!$J$70),"",ReferenceData!$J$70),"")</f>
        <v>20411</v>
      </c>
      <c r="K70" t="str">
        <f ca="1">IFERROR(IF(0=LEN(ReferenceData!$K$70),"",ReferenceData!$K$70),"")</f>
        <v/>
      </c>
      <c r="L70" t="str">
        <f ca="1">IFERROR(IF(0=LEN(ReferenceData!$L$70),"",ReferenceData!$L$70),"")</f>
        <v/>
      </c>
      <c r="M70" t="str">
        <f ca="1">IFERROR(IF(0=LEN(ReferenceData!$M$70),"",ReferenceData!$M$70),"")</f>
        <v/>
      </c>
      <c r="N70">
        <f ca="1">IFERROR(IF(0=LEN(ReferenceData!$N$70),"",ReferenceData!$N$70),"")</f>
        <v>29972</v>
      </c>
      <c r="O70" t="str">
        <f ca="1">IFERROR(IF(0=LEN(ReferenceData!$O$70),"",ReferenceData!$O$70),"")</f>
        <v/>
      </c>
      <c r="P70" t="str">
        <f ca="1">IFERROR(IF(0=LEN(ReferenceData!$P$70),"",ReferenceData!$P$70),"")</f>
        <v/>
      </c>
      <c r="Q70" t="str">
        <f ca="1">IFERROR(IF(0=LEN(ReferenceData!$Q$70),"",ReferenceData!$Q$70),"")</f>
        <v/>
      </c>
      <c r="R70">
        <f ca="1">IFERROR(IF(0=LEN(ReferenceData!$R$70),"",ReferenceData!$R$70),"")</f>
        <v>28139</v>
      </c>
      <c r="S70" t="str">
        <f ca="1">IFERROR(IF(0=LEN(ReferenceData!$S$70),"",ReferenceData!$S$70),"")</f>
        <v/>
      </c>
      <c r="T70" t="str">
        <f ca="1">IFERROR(IF(0=LEN(ReferenceData!$T$70),"",ReferenceData!$T$70),"")</f>
        <v/>
      </c>
      <c r="U70" t="str">
        <f ca="1">IFERROR(IF(0=LEN(ReferenceData!$U$70),"",ReferenceData!$U$70),"")</f>
        <v/>
      </c>
      <c r="V70">
        <f ca="1">IFERROR(IF(0=LEN(ReferenceData!$V$70),"",ReferenceData!$V$70),"")</f>
        <v>41323</v>
      </c>
      <c r="W70" t="str">
        <f ca="1">IFERROR(IF(0=LEN(ReferenceData!$W$70),"",ReferenceData!$W$70),"")</f>
        <v/>
      </c>
      <c r="X70" t="str">
        <f ca="1">IFERROR(IF(0=LEN(ReferenceData!$X$70),"",ReferenceData!$X$70),"")</f>
        <v/>
      </c>
      <c r="Y70" t="str">
        <f ca="1">IFERROR(IF(0=LEN(ReferenceData!$Y$70),"",ReferenceData!$Y$70),"")</f>
        <v/>
      </c>
      <c r="Z70">
        <f ca="1">IFERROR(IF(0=LEN(ReferenceData!$Z$70),"",ReferenceData!$Z$70),"")</f>
        <v>36784</v>
      </c>
      <c r="AA70" t="str">
        <f ca="1">IFERROR(IF(0=LEN(ReferenceData!$AA$70),"",ReferenceData!$AA$70),"")</f>
        <v/>
      </c>
      <c r="AB70" t="str">
        <f ca="1">IFERROR(IF(0=LEN(ReferenceData!$AB$70),"",ReferenceData!$AB$70),"")</f>
        <v/>
      </c>
      <c r="AC70" t="str">
        <f ca="1">IFERROR(IF(0=LEN(ReferenceData!$AC$70),"",ReferenceData!$AC$70),"")</f>
        <v/>
      </c>
      <c r="AD70">
        <f ca="1">IFERROR(IF(0=LEN(ReferenceData!$AD$70),"",ReferenceData!$AD$70),"")</f>
        <v>33915</v>
      </c>
      <c r="AE70" t="str">
        <f ca="1">IFERROR(IF(0=LEN(ReferenceData!$AE$70),"",ReferenceData!$AE$70),"")</f>
        <v/>
      </c>
      <c r="AF70" t="str">
        <f ca="1">IFERROR(IF(0=LEN(ReferenceData!$AF$70),"",ReferenceData!$AF$70),"")</f>
        <v/>
      </c>
      <c r="AG70" t="str">
        <f ca="1">IFERROR(IF(0=LEN(ReferenceData!$AG$70),"",ReferenceData!$AG$70),"")</f>
        <v/>
      </c>
      <c r="AH70">
        <f ca="1">IFERROR(IF(0=LEN(ReferenceData!$AH$70),"",ReferenceData!$AH$70),"")</f>
        <v>44415</v>
      </c>
      <c r="AI70" t="str">
        <f ca="1">IFERROR(IF(0=LEN(ReferenceData!$AI$70),"",ReferenceData!$AI$70),"")</f>
        <v/>
      </c>
      <c r="AJ70" t="str">
        <f ca="1">IFERROR(IF(0=LEN(ReferenceData!$AJ$70),"",ReferenceData!$AJ$70),"")</f>
        <v/>
      </c>
      <c r="AK70" t="str">
        <f ca="1">IFERROR(IF(0=LEN(ReferenceData!$AK$70),"",ReferenceData!$AK$70),"")</f>
        <v/>
      </c>
      <c r="AL70">
        <f ca="1">IFERROR(IF(0=LEN(ReferenceData!$AL$70),"",ReferenceData!$AL$70),"")</f>
        <v>67438</v>
      </c>
      <c r="AM70" t="str">
        <f ca="1">IFERROR(IF(0=LEN(ReferenceData!$AM$70),"",ReferenceData!$AM$70),"")</f>
        <v/>
      </c>
      <c r="AN70" t="str">
        <f ca="1">IFERROR(IF(0=LEN(ReferenceData!$AN$70),"",ReferenceData!$AN$70),"")</f>
        <v/>
      </c>
      <c r="AO70" t="str">
        <f ca="1">IFERROR(IF(0=LEN(ReferenceData!$AO$70),"",ReferenceData!$AO$70),"")</f>
        <v/>
      </c>
      <c r="AP70">
        <f ca="1">IFERROR(IF(0=LEN(ReferenceData!$AP$70),"",ReferenceData!$AP$70),"")</f>
        <v>77594</v>
      </c>
      <c r="AQ70" t="str">
        <f ca="1">IFERROR(IF(0=LEN(ReferenceData!$AQ$70),"",ReferenceData!$AQ$70),"")</f>
        <v/>
      </c>
      <c r="AR70" t="str">
        <f ca="1">IFERROR(IF(0=LEN(ReferenceData!$AR$70),"",ReferenceData!$AR$70),"")</f>
        <v/>
      </c>
      <c r="AS70" t="str">
        <f ca="1">IFERROR(IF(0=LEN(ReferenceData!$AS$70),"",ReferenceData!$AS$70),"")</f>
        <v/>
      </c>
      <c r="AT70">
        <f ca="1">IFERROR(IF(0=LEN(ReferenceData!$AT$70),"",ReferenceData!$AT$70),"")</f>
        <v>102279</v>
      </c>
      <c r="AU70" t="str">
        <f ca="1">IFERROR(IF(0=LEN(ReferenceData!$AU$70),"",ReferenceData!$AU$70),"")</f>
        <v/>
      </c>
      <c r="AV70" t="str">
        <f ca="1">IFERROR(IF(0=LEN(ReferenceData!$AV$70),"",ReferenceData!$AV$70),"")</f>
        <v/>
      </c>
      <c r="AW70" t="str">
        <f ca="1">IFERROR(IF(0=LEN(ReferenceData!$AW$70),"",ReferenceData!$AW$70),"")</f>
        <v/>
      </c>
      <c r="AX70">
        <f ca="1">IFERROR(IF(0=LEN(ReferenceData!$AX$70),"",ReferenceData!$AX$70),"")</f>
        <v>69003</v>
      </c>
      <c r="AY70">
        <f ca="1">IFERROR(IF(0=LEN(ReferenceData!$AY$70),"",ReferenceData!$AY$70),"")</f>
        <v>72427</v>
      </c>
      <c r="AZ70">
        <f ca="1">IFERROR(IF(0=LEN(ReferenceData!$AZ$70),"",ReferenceData!$AZ$70),"")</f>
        <v>76595</v>
      </c>
      <c r="BA70" t="str">
        <f ca="1">IFERROR(IF(0=LEN(ReferenceData!$BA$70),"",ReferenceData!$BA$70),"")</f>
        <v/>
      </c>
      <c r="BB70">
        <f ca="1">IFERROR(IF(0=LEN(ReferenceData!$BB$70),"",ReferenceData!$BB$70),"")</f>
        <v>115706</v>
      </c>
      <c r="BC70">
        <f ca="1">IFERROR(IF(0=LEN(ReferenceData!$BC$70),"",ReferenceData!$BC$70),"")</f>
        <v>147970</v>
      </c>
      <c r="BD70">
        <f ca="1">IFERROR(IF(0=LEN(ReferenceData!$BD$70),"",ReferenceData!$BD$70),"")</f>
        <v>155552</v>
      </c>
      <c r="BE70">
        <f ca="1">IFERROR(IF(0=LEN(ReferenceData!$BE$70),"",ReferenceData!$BE$70),"")</f>
        <v>163410</v>
      </c>
      <c r="BF70">
        <f ca="1">IFERROR(IF(0=LEN(ReferenceData!$BF$70),"",ReferenceData!$BF$70),"")</f>
        <v>169402</v>
      </c>
      <c r="BG70">
        <f ca="1">IFERROR(IF(0=LEN(ReferenceData!$BG$70),"",ReferenceData!$BG$70),"")</f>
        <v>155133</v>
      </c>
      <c r="BH70">
        <f ca="1">IFERROR(IF(0=LEN(ReferenceData!$BH$70),"",ReferenceData!$BH$70),"")</f>
        <v>81034</v>
      </c>
      <c r="BI70">
        <f ca="1">IFERROR(IF(0=LEN(ReferenceData!$BI$70),"",ReferenceData!$BI$70),"")</f>
        <v>81215</v>
      </c>
      <c r="BJ70">
        <f ca="1">IFERROR(IF(0=LEN(ReferenceData!$BJ$70),"",ReferenceData!$BJ$70),"")</f>
        <v>96099</v>
      </c>
      <c r="BK70">
        <f ca="1">IFERROR(IF(0=LEN(ReferenceData!$BK$70),"",ReferenceData!$BK$70),"")</f>
        <v>137318</v>
      </c>
      <c r="BL70">
        <f ca="1">IFERROR(IF(0=LEN(ReferenceData!$BL$70),"",ReferenceData!$BL$70),"")</f>
        <v>120250</v>
      </c>
      <c r="BM70" t="str">
        <f ca="1">IFERROR(IF(0=LEN(ReferenceData!$BM$70),"",ReferenceData!$BM$70),"")</f>
        <v/>
      </c>
    </row>
    <row r="71" spans="1:65" x14ac:dyDescent="0.25">
      <c r="A71" t="str">
        <f>IFERROR(IF(0=LEN(ReferenceData!$A$71),"",ReferenceData!$A$71),"")</f>
        <v xml:space="preserve">    Raiffeisen Bank International AG</v>
      </c>
      <c r="B71" t="str">
        <f>IFERROR(IF(0=LEN(ReferenceData!$B$71),"",ReferenceData!$B$71),"")</f>
        <v>RBI AV Equity</v>
      </c>
      <c r="C71" t="str">
        <f>IFERROR(IF(0=LEN(ReferenceData!$C$71),"",ReferenceData!$C$71),"")</f>
        <v>BM109</v>
      </c>
      <c r="D71" t="str">
        <f>IFERROR(IF(0=LEN(ReferenceData!$D$71),"",ReferenceData!$D$71),"")</f>
        <v>BS_TRADING_SECURITIES_DERIVS</v>
      </c>
      <c r="E71" t="str">
        <f>IFERROR(IF(0=LEN(ReferenceData!$E$71),"",ReferenceData!$E$71),"")</f>
        <v>Dynamic</v>
      </c>
      <c r="F71" t="str">
        <f ca="1">IFERROR(IF(0=LEN(ReferenceData!$F$71),"",ReferenceData!$F$71),"")</f>
        <v/>
      </c>
      <c r="G71" t="str">
        <f ca="1">IFERROR(IF(0=LEN(ReferenceData!$G$71),"",ReferenceData!$G$71),"")</f>
        <v/>
      </c>
      <c r="H71" t="str">
        <f ca="1">IFERROR(IF(0=LEN(ReferenceData!$H$71),"",ReferenceData!$H$71),"")</f>
        <v/>
      </c>
      <c r="I71" t="str">
        <f ca="1">IFERROR(IF(0=LEN(ReferenceData!$I$71),"",ReferenceData!$I$71),"")</f>
        <v/>
      </c>
      <c r="J71" t="str">
        <f ca="1">IFERROR(IF(0=LEN(ReferenceData!$J$71),"",ReferenceData!$J$71),"")</f>
        <v/>
      </c>
      <c r="K71" t="str">
        <f ca="1">IFERROR(IF(0=LEN(ReferenceData!$K$71),"",ReferenceData!$K$71),"")</f>
        <v/>
      </c>
      <c r="L71" t="str">
        <f ca="1">IFERROR(IF(0=LEN(ReferenceData!$L$71),"",ReferenceData!$L$71),"")</f>
        <v/>
      </c>
      <c r="M71" t="str">
        <f ca="1">IFERROR(IF(0=LEN(ReferenceData!$M$71),"",ReferenceData!$M$71),"")</f>
        <v/>
      </c>
      <c r="N71" t="str">
        <f ca="1">IFERROR(IF(0=LEN(ReferenceData!$N$71),"",ReferenceData!$N$71),"")</f>
        <v/>
      </c>
      <c r="O71" t="str">
        <f ca="1">IFERROR(IF(0=LEN(ReferenceData!$O$71),"",ReferenceData!$O$71),"")</f>
        <v/>
      </c>
      <c r="P71" t="str">
        <f ca="1">IFERROR(IF(0=LEN(ReferenceData!$P$71),"",ReferenceData!$P$71),"")</f>
        <v/>
      </c>
      <c r="Q71" t="str">
        <f ca="1">IFERROR(IF(0=LEN(ReferenceData!$Q$71),"",ReferenceData!$Q$71),"")</f>
        <v/>
      </c>
      <c r="R71" t="str">
        <f ca="1">IFERROR(IF(0=LEN(ReferenceData!$R$71),"",ReferenceData!$R$71),"")</f>
        <v/>
      </c>
      <c r="S71" t="str">
        <f ca="1">IFERROR(IF(0=LEN(ReferenceData!$S$71),"",ReferenceData!$S$71),"")</f>
        <v/>
      </c>
      <c r="T71" t="str">
        <f ca="1">IFERROR(IF(0=LEN(ReferenceData!$T$71),"",ReferenceData!$T$71),"")</f>
        <v/>
      </c>
      <c r="U71" t="str">
        <f ca="1">IFERROR(IF(0=LEN(ReferenceData!$U$71),"",ReferenceData!$U$71),"")</f>
        <v/>
      </c>
      <c r="V71" t="str">
        <f ca="1">IFERROR(IF(0=LEN(ReferenceData!$V$71),"",ReferenceData!$V$71),"")</f>
        <v/>
      </c>
      <c r="W71" t="str">
        <f ca="1">IFERROR(IF(0=LEN(ReferenceData!$W$71),"",ReferenceData!$W$71),"")</f>
        <v/>
      </c>
      <c r="X71" t="str">
        <f ca="1">IFERROR(IF(0=LEN(ReferenceData!$X$71),"",ReferenceData!$X$71),"")</f>
        <v/>
      </c>
      <c r="Y71" t="str">
        <f ca="1">IFERROR(IF(0=LEN(ReferenceData!$Y$71),"",ReferenceData!$Y$71),"")</f>
        <v/>
      </c>
      <c r="Z71" t="str">
        <f ca="1">IFERROR(IF(0=LEN(ReferenceData!$Z$71),"",ReferenceData!$Z$71),"")</f>
        <v/>
      </c>
      <c r="AA71">
        <f ca="1">IFERROR(IF(0=LEN(ReferenceData!$AA$71),"",ReferenceData!$AA$71),"")</f>
        <v>2282</v>
      </c>
      <c r="AB71">
        <f ca="1">IFERROR(IF(0=LEN(ReferenceData!$AB$71),"",ReferenceData!$AB$71),"")</f>
        <v>2018</v>
      </c>
      <c r="AC71">
        <f ca="1">IFERROR(IF(0=LEN(ReferenceData!$AC$71),"",ReferenceData!$AC$71),"")</f>
        <v>2033</v>
      </c>
      <c r="AD71" t="str">
        <f ca="1">IFERROR(IF(0=LEN(ReferenceData!$AD$71),"",ReferenceData!$AD$71),"")</f>
        <v/>
      </c>
      <c r="AE71">
        <f ca="1">IFERROR(IF(0=LEN(ReferenceData!$AE$71),"",ReferenceData!$AE$71),"")</f>
        <v>1850</v>
      </c>
      <c r="AF71">
        <f ca="1">IFERROR(IF(0=LEN(ReferenceData!$AF$71),"",ReferenceData!$AF$71),"")</f>
        <v>2028</v>
      </c>
      <c r="AG71">
        <f ca="1">IFERROR(IF(0=LEN(ReferenceData!$AG$71),"",ReferenceData!$AG$71),"")</f>
        <v>1994</v>
      </c>
      <c r="AH71" t="str">
        <f ca="1">IFERROR(IF(0=LEN(ReferenceData!$AH$71),"",ReferenceData!$AH$71),"")</f>
        <v/>
      </c>
      <c r="AI71">
        <f ca="1">IFERROR(IF(0=LEN(ReferenceData!$AI$71),"",ReferenceData!$AI$71),"")</f>
        <v>2122</v>
      </c>
      <c r="AJ71">
        <f ca="1">IFERROR(IF(0=LEN(ReferenceData!$AJ$71),"",ReferenceData!$AJ$71),"")</f>
        <v>2302</v>
      </c>
      <c r="AK71" t="str">
        <f ca="1">IFERROR(IF(0=LEN(ReferenceData!$AK$71),"",ReferenceData!$AK$71),"")</f>
        <v/>
      </c>
      <c r="AL71" t="str">
        <f ca="1">IFERROR(IF(0=LEN(ReferenceData!$AL$71),"",ReferenceData!$AL$71),"")</f>
        <v/>
      </c>
      <c r="AM71" t="str">
        <f ca="1">IFERROR(IF(0=LEN(ReferenceData!$AM$71),"",ReferenceData!$AM$71),"")</f>
        <v/>
      </c>
      <c r="AN71" t="str">
        <f ca="1">IFERROR(IF(0=LEN(ReferenceData!$AN$71),"",ReferenceData!$AN$71),"")</f>
        <v/>
      </c>
      <c r="AO71" t="str">
        <f ca="1">IFERROR(IF(0=LEN(ReferenceData!$AO$71),"",ReferenceData!$AO$71),"")</f>
        <v/>
      </c>
      <c r="AP71" t="str">
        <f ca="1">IFERROR(IF(0=LEN(ReferenceData!$AP$71),"",ReferenceData!$AP$71),"")</f>
        <v/>
      </c>
      <c r="AQ71" t="str">
        <f ca="1">IFERROR(IF(0=LEN(ReferenceData!$AQ$71),"",ReferenceData!$AQ$71),"")</f>
        <v/>
      </c>
      <c r="AR71" t="str">
        <f ca="1">IFERROR(IF(0=LEN(ReferenceData!$AR$71),"",ReferenceData!$AR$71),"")</f>
        <v/>
      </c>
      <c r="AS71" t="str">
        <f ca="1">IFERROR(IF(0=LEN(ReferenceData!$AS$71),"",ReferenceData!$AS$71),"")</f>
        <v/>
      </c>
      <c r="AT71" t="str">
        <f ca="1">IFERROR(IF(0=LEN(ReferenceData!$AT$71),"",ReferenceData!$AT$71),"")</f>
        <v/>
      </c>
      <c r="AU71" t="str">
        <f ca="1">IFERROR(IF(0=LEN(ReferenceData!$AU$71),"",ReferenceData!$AU$71),"")</f>
        <v/>
      </c>
      <c r="AV71" t="str">
        <f ca="1">IFERROR(IF(0=LEN(ReferenceData!$AV$71),"",ReferenceData!$AV$71),"")</f>
        <v/>
      </c>
      <c r="AW71" t="str">
        <f ca="1">IFERROR(IF(0=LEN(ReferenceData!$AW$71),"",ReferenceData!$AW$71),"")</f>
        <v/>
      </c>
      <c r="AX71" t="str">
        <f ca="1">IFERROR(IF(0=LEN(ReferenceData!$AX$71),"",ReferenceData!$AX$71),"")</f>
        <v/>
      </c>
      <c r="AY71" t="str">
        <f ca="1">IFERROR(IF(0=LEN(ReferenceData!$AY$71),"",ReferenceData!$AY$71),"")</f>
        <v/>
      </c>
      <c r="AZ71" t="str">
        <f ca="1">IFERROR(IF(0=LEN(ReferenceData!$AZ$71),"",ReferenceData!$AZ$71),"")</f>
        <v/>
      </c>
      <c r="BA71" t="str">
        <f ca="1">IFERROR(IF(0=LEN(ReferenceData!$BA$71),"",ReferenceData!$BA$71),"")</f>
        <v/>
      </c>
      <c r="BB71" t="str">
        <f ca="1">IFERROR(IF(0=LEN(ReferenceData!$BB$71),"",ReferenceData!$BB$71),"")</f>
        <v/>
      </c>
      <c r="BC71" t="str">
        <f ca="1">IFERROR(IF(0=LEN(ReferenceData!$BC$71),"",ReferenceData!$BC$71),"")</f>
        <v/>
      </c>
      <c r="BD71" t="str">
        <f ca="1">IFERROR(IF(0=LEN(ReferenceData!$BD$71),"",ReferenceData!$BD$71),"")</f>
        <v/>
      </c>
      <c r="BE71" t="str">
        <f ca="1">IFERROR(IF(0=LEN(ReferenceData!$BE$71),"",ReferenceData!$BE$71),"")</f>
        <v/>
      </c>
      <c r="BF71" t="str">
        <f ca="1">IFERROR(IF(0=LEN(ReferenceData!$BF$71),"",ReferenceData!$BF$71),"")</f>
        <v/>
      </c>
      <c r="BG71" t="str">
        <f ca="1">IFERROR(IF(0=LEN(ReferenceData!$BG$71),"",ReferenceData!$BG$71),"")</f>
        <v/>
      </c>
      <c r="BH71" t="str">
        <f ca="1">IFERROR(IF(0=LEN(ReferenceData!$BH$71),"",ReferenceData!$BH$71),"")</f>
        <v/>
      </c>
      <c r="BI71" t="str">
        <f ca="1">IFERROR(IF(0=LEN(ReferenceData!$BI$71),"",ReferenceData!$BI$71),"")</f>
        <v/>
      </c>
      <c r="BJ71" t="str">
        <f ca="1">IFERROR(IF(0=LEN(ReferenceData!$BJ$71),"",ReferenceData!$BJ$71),"")</f>
        <v/>
      </c>
      <c r="BK71" t="str">
        <f ca="1">IFERROR(IF(0=LEN(ReferenceData!$BK$71),"",ReferenceData!$BK$71),"")</f>
        <v/>
      </c>
      <c r="BL71" t="str">
        <f ca="1">IFERROR(IF(0=LEN(ReferenceData!$BL$71),"",ReferenceData!$BL$71),"")</f>
        <v/>
      </c>
      <c r="BM71" t="str">
        <f ca="1">IFERROR(IF(0=LEN(ReferenceData!$BM$71),"",ReferenceData!$BM$71),"")</f>
        <v/>
      </c>
    </row>
    <row r="72" spans="1:65" x14ac:dyDescent="0.25">
      <c r="A72" t="str">
        <f>IFERROR(IF(0=LEN(ReferenceData!$A$72),"",ReferenceData!$A$72),"")</f>
        <v xml:space="preserve">    Skandinaviska Enskilda Banken AB</v>
      </c>
      <c r="B72" t="str">
        <f>IFERROR(IF(0=LEN(ReferenceData!$B$72),"",ReferenceData!$B$72),"")</f>
        <v>SEBA SS Equity</v>
      </c>
      <c r="C72" t="str">
        <f>IFERROR(IF(0=LEN(ReferenceData!$C$72),"",ReferenceData!$C$72),"")</f>
        <v>BM109</v>
      </c>
      <c r="D72" t="str">
        <f>IFERROR(IF(0=LEN(ReferenceData!$D$72),"",ReferenceData!$D$72),"")</f>
        <v>BS_TRADING_SECURITIES_DERIVS</v>
      </c>
      <c r="E72" t="str">
        <f>IFERROR(IF(0=LEN(ReferenceData!$E$72),"",ReferenceData!$E$72),"")</f>
        <v>Dynamic</v>
      </c>
      <c r="F72" t="str">
        <f ca="1">IFERROR(IF(0=LEN(ReferenceData!$F$72),"",ReferenceData!$F$72),"")</f>
        <v/>
      </c>
      <c r="G72" t="str">
        <f ca="1">IFERROR(IF(0=LEN(ReferenceData!$G$72),"",ReferenceData!$G$72),"")</f>
        <v/>
      </c>
      <c r="H72" t="str">
        <f ca="1">IFERROR(IF(0=LEN(ReferenceData!$H$72),"",ReferenceData!$H$72),"")</f>
        <v/>
      </c>
      <c r="I72" t="str">
        <f ca="1">IFERROR(IF(0=LEN(ReferenceData!$I$72),"",ReferenceData!$I$72),"")</f>
        <v/>
      </c>
      <c r="J72" t="str">
        <f ca="1">IFERROR(IF(0=LEN(ReferenceData!$J$72),"",ReferenceData!$J$72),"")</f>
        <v/>
      </c>
      <c r="K72" t="str">
        <f ca="1">IFERROR(IF(0=LEN(ReferenceData!$K$72),"",ReferenceData!$K$72),"")</f>
        <v/>
      </c>
      <c r="L72" t="str">
        <f ca="1">IFERROR(IF(0=LEN(ReferenceData!$L$72),"",ReferenceData!$L$72),"")</f>
        <v/>
      </c>
      <c r="M72" t="str">
        <f ca="1">IFERROR(IF(0=LEN(ReferenceData!$M$72),"",ReferenceData!$M$72),"")</f>
        <v/>
      </c>
      <c r="N72" t="str">
        <f ca="1">IFERROR(IF(0=LEN(ReferenceData!$N$72),"",ReferenceData!$N$72),"")</f>
        <v/>
      </c>
      <c r="O72" t="str">
        <f ca="1">IFERROR(IF(0=LEN(ReferenceData!$O$72),"",ReferenceData!$O$72),"")</f>
        <v/>
      </c>
      <c r="P72" t="str">
        <f ca="1">IFERROR(IF(0=LEN(ReferenceData!$P$72),"",ReferenceData!$P$72),"")</f>
        <v/>
      </c>
      <c r="Q72" t="str">
        <f ca="1">IFERROR(IF(0=LEN(ReferenceData!$Q$72),"",ReferenceData!$Q$72),"")</f>
        <v/>
      </c>
      <c r="R72" t="str">
        <f ca="1">IFERROR(IF(0=LEN(ReferenceData!$R$72),"",ReferenceData!$R$72),"")</f>
        <v/>
      </c>
      <c r="S72" t="str">
        <f ca="1">IFERROR(IF(0=LEN(ReferenceData!$S$72),"",ReferenceData!$S$72),"")</f>
        <v/>
      </c>
      <c r="T72" t="str">
        <f ca="1">IFERROR(IF(0=LEN(ReferenceData!$T$72),"",ReferenceData!$T$72),"")</f>
        <v/>
      </c>
      <c r="U72" t="str">
        <f ca="1">IFERROR(IF(0=LEN(ReferenceData!$U$72),"",ReferenceData!$U$72),"")</f>
        <v/>
      </c>
      <c r="V72" t="str">
        <f ca="1">IFERROR(IF(0=LEN(ReferenceData!$V$72),"",ReferenceData!$V$72),"")</f>
        <v/>
      </c>
      <c r="W72" t="str">
        <f ca="1">IFERROR(IF(0=LEN(ReferenceData!$W$72),"",ReferenceData!$W$72),"")</f>
        <v/>
      </c>
      <c r="X72" t="str">
        <f ca="1">IFERROR(IF(0=LEN(ReferenceData!$X$72),"",ReferenceData!$X$72),"")</f>
        <v/>
      </c>
      <c r="Y72" t="str">
        <f ca="1">IFERROR(IF(0=LEN(ReferenceData!$Y$72),"",ReferenceData!$Y$72),"")</f>
        <v/>
      </c>
      <c r="Z72" t="str">
        <f ca="1">IFERROR(IF(0=LEN(ReferenceData!$Z$72),"",ReferenceData!$Z$72),"")</f>
        <v/>
      </c>
      <c r="AA72" t="str">
        <f ca="1">IFERROR(IF(0=LEN(ReferenceData!$AA$72),"",ReferenceData!$AA$72),"")</f>
        <v/>
      </c>
      <c r="AB72" t="str">
        <f ca="1">IFERROR(IF(0=LEN(ReferenceData!$AB$72),"",ReferenceData!$AB$72),"")</f>
        <v/>
      </c>
      <c r="AC72" t="str">
        <f ca="1">IFERROR(IF(0=LEN(ReferenceData!$AC$72),"",ReferenceData!$AC$72),"")</f>
        <v/>
      </c>
      <c r="AD72" t="str">
        <f ca="1">IFERROR(IF(0=LEN(ReferenceData!$AD$72),"",ReferenceData!$AD$72),"")</f>
        <v/>
      </c>
      <c r="AE72" t="str">
        <f ca="1">IFERROR(IF(0=LEN(ReferenceData!$AE$72),"",ReferenceData!$AE$72),"")</f>
        <v/>
      </c>
      <c r="AF72" t="str">
        <f ca="1">IFERROR(IF(0=LEN(ReferenceData!$AF$72),"",ReferenceData!$AF$72),"")</f>
        <v/>
      </c>
      <c r="AG72" t="str">
        <f ca="1">IFERROR(IF(0=LEN(ReferenceData!$AG$72),"",ReferenceData!$AG$72),"")</f>
        <v/>
      </c>
      <c r="AH72" t="str">
        <f ca="1">IFERROR(IF(0=LEN(ReferenceData!$AH$72),"",ReferenceData!$AH$72),"")</f>
        <v/>
      </c>
      <c r="AI72" t="str">
        <f ca="1">IFERROR(IF(0=LEN(ReferenceData!$AI$72),"",ReferenceData!$AI$72),"")</f>
        <v/>
      </c>
      <c r="AJ72" t="str">
        <f ca="1">IFERROR(IF(0=LEN(ReferenceData!$AJ$72),"",ReferenceData!$AJ$72),"")</f>
        <v/>
      </c>
      <c r="AK72" t="str">
        <f ca="1">IFERROR(IF(0=LEN(ReferenceData!$AK$72),"",ReferenceData!$AK$72),"")</f>
        <v/>
      </c>
      <c r="AL72">
        <f ca="1">IFERROR(IF(0=LEN(ReferenceData!$AL$72),"",ReferenceData!$AL$72),"")</f>
        <v>20688.49223</v>
      </c>
      <c r="AM72" t="str">
        <f ca="1">IFERROR(IF(0=LEN(ReferenceData!$AM$72),"",ReferenceData!$AM$72),"")</f>
        <v/>
      </c>
      <c r="AN72" t="str">
        <f ca="1">IFERROR(IF(0=LEN(ReferenceData!$AN$72),"",ReferenceData!$AN$72),"")</f>
        <v/>
      </c>
      <c r="AO72" t="str">
        <f ca="1">IFERROR(IF(0=LEN(ReferenceData!$AO$72),"",ReferenceData!$AO$72),"")</f>
        <v/>
      </c>
      <c r="AP72">
        <f ca="1">IFERROR(IF(0=LEN(ReferenceData!$AP$72),"",ReferenceData!$AP$72),"")</f>
        <v>21668.791020000001</v>
      </c>
      <c r="AQ72" t="str">
        <f ca="1">IFERROR(IF(0=LEN(ReferenceData!$AQ$72),"",ReferenceData!$AQ$72),"")</f>
        <v/>
      </c>
      <c r="AR72" t="str">
        <f ca="1">IFERROR(IF(0=LEN(ReferenceData!$AR$72),"",ReferenceData!$AR$72),"")</f>
        <v/>
      </c>
      <c r="AS72" t="str">
        <f ca="1">IFERROR(IF(0=LEN(ReferenceData!$AS$72),"",ReferenceData!$AS$72),"")</f>
        <v/>
      </c>
      <c r="AT72">
        <f ca="1">IFERROR(IF(0=LEN(ReferenceData!$AT$72),"",ReferenceData!$AT$72),"")</f>
        <v>26590.909090000001</v>
      </c>
      <c r="AU72" t="str">
        <f ca="1">IFERROR(IF(0=LEN(ReferenceData!$AU$72),"",ReferenceData!$AU$72),"")</f>
        <v/>
      </c>
      <c r="AV72" t="str">
        <f ca="1">IFERROR(IF(0=LEN(ReferenceData!$AV$72),"",ReferenceData!$AV$72),"")</f>
        <v/>
      </c>
      <c r="AW72" t="str">
        <f ca="1">IFERROR(IF(0=LEN(ReferenceData!$AW$72),"",ReferenceData!$AW$72),"")</f>
        <v/>
      </c>
      <c r="AX72">
        <f ca="1">IFERROR(IF(0=LEN(ReferenceData!$AX$72),"",ReferenceData!$AX$72),"")</f>
        <v>14660.28512</v>
      </c>
      <c r="AY72" t="str">
        <f ca="1">IFERROR(IF(0=LEN(ReferenceData!$AY$72),"",ReferenceData!$AY$72),"")</f>
        <v/>
      </c>
      <c r="AZ72" t="str">
        <f ca="1">IFERROR(IF(0=LEN(ReferenceData!$AZ$72),"",ReferenceData!$AZ$72),"")</f>
        <v/>
      </c>
      <c r="BA72" t="str">
        <f ca="1">IFERROR(IF(0=LEN(ReferenceData!$BA$72),"",ReferenceData!$BA$72),"")</f>
        <v/>
      </c>
      <c r="BB72">
        <f ca="1">IFERROR(IF(0=LEN(ReferenceData!$BB$72),"",ReferenceData!$BB$72),"")</f>
        <v>17788.786090000001</v>
      </c>
      <c r="BC72" t="str">
        <f ca="1">IFERROR(IF(0=LEN(ReferenceData!$BC$72),"",ReferenceData!$BC$72),"")</f>
        <v/>
      </c>
      <c r="BD72" t="str">
        <f ca="1">IFERROR(IF(0=LEN(ReferenceData!$BD$72),"",ReferenceData!$BD$72),"")</f>
        <v/>
      </c>
      <c r="BE72" t="str">
        <f ca="1">IFERROR(IF(0=LEN(ReferenceData!$BE$72),"",ReferenceData!$BE$72),"")</f>
        <v/>
      </c>
      <c r="BF72">
        <f ca="1">IFERROR(IF(0=LEN(ReferenceData!$BF$72),"",ReferenceData!$BF$72),"")</f>
        <v>16669.088619999999</v>
      </c>
      <c r="BG72" t="str">
        <f ca="1">IFERROR(IF(0=LEN(ReferenceData!$BG$72),"",ReferenceData!$BG$72),"")</f>
        <v/>
      </c>
      <c r="BH72" t="str">
        <f ca="1">IFERROR(IF(0=LEN(ReferenceData!$BH$72),"",ReferenceData!$BH$72),"")</f>
        <v/>
      </c>
      <c r="BI72" t="str">
        <f ca="1">IFERROR(IF(0=LEN(ReferenceData!$BI$72),"",ReferenceData!$BI$72),"")</f>
        <v/>
      </c>
      <c r="BJ72">
        <f ca="1">IFERROR(IF(0=LEN(ReferenceData!$BJ$72),"",ReferenceData!$BJ$72),"")</f>
        <v>12906.075279999999</v>
      </c>
      <c r="BK72" t="str">
        <f ca="1">IFERROR(IF(0=LEN(ReferenceData!$BK$72),"",ReferenceData!$BK$72),"")</f>
        <v/>
      </c>
      <c r="BL72" t="str">
        <f ca="1">IFERROR(IF(0=LEN(ReferenceData!$BL$72),"",ReferenceData!$BL$72),"")</f>
        <v/>
      </c>
      <c r="BM72" t="str">
        <f ca="1">IFERROR(IF(0=LEN(ReferenceData!$BM$72),"",ReferenceData!$BM$72),"")</f>
        <v/>
      </c>
    </row>
    <row r="73" spans="1:65" x14ac:dyDescent="0.25">
      <c r="A73" t="str">
        <f>IFERROR(IF(0=LEN(ReferenceData!$A$73),"",ReferenceData!$A$73),"")</f>
        <v xml:space="preserve">    Svenska Handelsbanken AB</v>
      </c>
      <c r="B73" t="str">
        <f>IFERROR(IF(0=LEN(ReferenceData!$B$73),"",ReferenceData!$B$73),"")</f>
        <v>SHBA SS Equity</v>
      </c>
      <c r="C73" t="str">
        <f>IFERROR(IF(0=LEN(ReferenceData!$C$73),"",ReferenceData!$C$73),"")</f>
        <v>BM109</v>
      </c>
      <c r="D73" t="str">
        <f>IFERROR(IF(0=LEN(ReferenceData!$D$73),"",ReferenceData!$D$73),"")</f>
        <v>BS_TRADING_SECURITIES_DERIVS</v>
      </c>
      <c r="E73" t="str">
        <f>IFERROR(IF(0=LEN(ReferenceData!$E$73),"",ReferenceData!$E$73),"")</f>
        <v>Dynamic</v>
      </c>
      <c r="F73">
        <f ca="1">IFERROR(IF(0=LEN(ReferenceData!$F$73),"",ReferenceData!$F$73),"")</f>
        <v>4172.2302440000003</v>
      </c>
      <c r="G73">
        <f ca="1">IFERROR(IF(0=LEN(ReferenceData!$G$73),"",ReferenceData!$G$73),"")</f>
        <v>3304.1837780000001</v>
      </c>
      <c r="H73">
        <f ca="1">IFERROR(IF(0=LEN(ReferenceData!$H$73),"",ReferenceData!$H$73),"")</f>
        <v>3552.7770919999998</v>
      </c>
      <c r="I73">
        <f ca="1">IFERROR(IF(0=LEN(ReferenceData!$I$73),"",ReferenceData!$I$73),"")</f>
        <v>4154.276202</v>
      </c>
      <c r="J73">
        <f ca="1">IFERROR(IF(0=LEN(ReferenceData!$J$73),"",ReferenceData!$J$73),"")</f>
        <v>4112.0364950000003</v>
      </c>
      <c r="K73">
        <f ca="1">IFERROR(IF(0=LEN(ReferenceData!$K$73),"",ReferenceData!$K$73),"")</f>
        <v>6575.7573329999996</v>
      </c>
      <c r="L73">
        <f ca="1">IFERROR(IF(0=LEN(ReferenceData!$L$73),"",ReferenceData!$L$73),"")</f>
        <v>7129.0326960000002</v>
      </c>
      <c r="M73">
        <f ca="1">IFERROR(IF(0=LEN(ReferenceData!$M$73),"",ReferenceData!$M$73),"")</f>
        <v>6017.9610160000002</v>
      </c>
      <c r="N73">
        <f ca="1">IFERROR(IF(0=LEN(ReferenceData!$N$73),"",ReferenceData!$N$73),"")</f>
        <v>6705.3627919999999</v>
      </c>
      <c r="O73">
        <f ca="1">IFERROR(IF(0=LEN(ReferenceData!$O$73),"",ReferenceData!$O$73),"")</f>
        <v>9816.3816889999998</v>
      </c>
      <c r="P73">
        <f ca="1">IFERROR(IF(0=LEN(ReferenceData!$P$73),"",ReferenceData!$P$73),"")</f>
        <v>7734.8784859999996</v>
      </c>
      <c r="Q73">
        <f ca="1">IFERROR(IF(0=LEN(ReferenceData!$Q$73),"",ReferenceData!$Q$73),"")</f>
        <v>4448.1397610000004</v>
      </c>
      <c r="R73">
        <f ca="1">IFERROR(IF(0=LEN(ReferenceData!$R$73),"",ReferenceData!$R$73),"")</f>
        <v>2794.1691099999998</v>
      </c>
      <c r="S73">
        <f ca="1">IFERROR(IF(0=LEN(ReferenceData!$S$73),"",ReferenceData!$S$73),"")</f>
        <v>2540.5817040000002</v>
      </c>
      <c r="T73">
        <f ca="1">IFERROR(IF(0=LEN(ReferenceData!$T$73),"",ReferenceData!$T$73),"")</f>
        <v>2437.9858770000001</v>
      </c>
      <c r="U73">
        <f ca="1">IFERROR(IF(0=LEN(ReferenceData!$U$73),"",ReferenceData!$U$73),"")</f>
        <v>2932.6453940000001</v>
      </c>
      <c r="V73">
        <f ca="1">IFERROR(IF(0=LEN(ReferenceData!$V$73),"",ReferenceData!$V$73),"")</f>
        <v>2841.1220939999998</v>
      </c>
      <c r="W73">
        <f ca="1">IFERROR(IF(0=LEN(ReferenceData!$W$73),"",ReferenceData!$W$73),"")</f>
        <v>3413.3399319999999</v>
      </c>
      <c r="X73">
        <f ca="1">IFERROR(IF(0=LEN(ReferenceData!$X$73),"",ReferenceData!$X$73),"")</f>
        <v>3438.807503</v>
      </c>
      <c r="Y73">
        <f ca="1">IFERROR(IF(0=LEN(ReferenceData!$Y$73),"",ReferenceData!$Y$73),"")</f>
        <v>5299.3344829999996</v>
      </c>
      <c r="Z73">
        <f ca="1">IFERROR(IF(0=LEN(ReferenceData!$Z$73),"",ReferenceData!$Z$73),"")</f>
        <v>2546.2826230000001</v>
      </c>
      <c r="AA73">
        <f ca="1">IFERROR(IF(0=LEN(ReferenceData!$AA$73),"",ReferenceData!$AA$73),"")</f>
        <v>4088.3405200000002</v>
      </c>
      <c r="AB73">
        <f ca="1">IFERROR(IF(0=LEN(ReferenceData!$AB$73),"",ReferenceData!$AB$73),"")</f>
        <v>946.9750262</v>
      </c>
      <c r="AC73">
        <f ca="1">IFERROR(IF(0=LEN(ReferenceData!$AC$73),"",ReferenceData!$AC$73),"")</f>
        <v>1386.293862</v>
      </c>
      <c r="AD73">
        <f ca="1">IFERROR(IF(0=LEN(ReferenceData!$AD$73),"",ReferenceData!$AD$73),"")</f>
        <v>767.49712390000002</v>
      </c>
      <c r="AE73">
        <f ca="1">IFERROR(IF(0=LEN(ReferenceData!$AE$73),"",ReferenceData!$AE$73),"")</f>
        <v>2646.1672370000001</v>
      </c>
      <c r="AF73">
        <f ca="1">IFERROR(IF(0=LEN(ReferenceData!$AF$73),"",ReferenceData!$AF$73),"")</f>
        <v>1711.5442459999999</v>
      </c>
      <c r="AG73">
        <f ca="1">IFERROR(IF(0=LEN(ReferenceData!$AG$73),"",ReferenceData!$AG$73),"")</f>
        <v>1290.253035</v>
      </c>
      <c r="AH73">
        <f ca="1">IFERROR(IF(0=LEN(ReferenceData!$AH$73),"",ReferenceData!$AH$73),"")</f>
        <v>1059.667338</v>
      </c>
      <c r="AI73">
        <f ca="1">IFERROR(IF(0=LEN(ReferenceData!$AI$73),"",ReferenceData!$AI$73),"")</f>
        <v>1509.196911</v>
      </c>
      <c r="AJ73">
        <f ca="1">IFERROR(IF(0=LEN(ReferenceData!$AJ$73),"",ReferenceData!$AJ$73),"")</f>
        <v>1645.8654329999999</v>
      </c>
      <c r="AK73">
        <f ca="1">IFERROR(IF(0=LEN(ReferenceData!$AK$73),"",ReferenceData!$AK$73),"")</f>
        <v>1561.313474</v>
      </c>
      <c r="AL73">
        <f ca="1">IFERROR(IF(0=LEN(ReferenceData!$AL$73),"",ReferenceData!$AL$73),"")</f>
        <v>2059.9695040000001</v>
      </c>
      <c r="AM73">
        <f ca="1">IFERROR(IF(0=LEN(ReferenceData!$AM$73),"",ReferenceData!$AM$73),"")</f>
        <v>1835.836984</v>
      </c>
      <c r="AN73">
        <f ca="1">IFERROR(IF(0=LEN(ReferenceData!$AN$73),"",ReferenceData!$AN$73),"")</f>
        <v>3198.2599759999998</v>
      </c>
      <c r="AO73">
        <f ca="1">IFERROR(IF(0=LEN(ReferenceData!$AO$73),"",ReferenceData!$AO$73),"")</f>
        <v>5912.1622639999996</v>
      </c>
      <c r="AP73">
        <f ca="1">IFERROR(IF(0=LEN(ReferenceData!$AP$73),"",ReferenceData!$AP$73),"")</f>
        <v>3373.772586</v>
      </c>
      <c r="AQ73" t="str">
        <f ca="1">IFERROR(IF(0=LEN(ReferenceData!$AQ$73),"",ReferenceData!$AQ$73),"")</f>
        <v/>
      </c>
      <c r="AR73">
        <f ca="1">IFERROR(IF(0=LEN(ReferenceData!$AR$73),"",ReferenceData!$AR$73),"")</f>
        <v>4185.1262880000004</v>
      </c>
      <c r="AS73">
        <f ca="1">IFERROR(IF(0=LEN(ReferenceData!$AS$73),"",ReferenceData!$AS$73),"")</f>
        <v>9461.5409259999997</v>
      </c>
      <c r="AT73">
        <f ca="1">IFERROR(IF(0=LEN(ReferenceData!$AT$73),"",ReferenceData!$AT$73),"")</f>
        <v>6692.0957829999998</v>
      </c>
      <c r="AU73" t="str">
        <f ca="1">IFERROR(IF(0=LEN(ReferenceData!$AU$73),"",ReferenceData!$AU$73),"")</f>
        <v/>
      </c>
      <c r="AV73">
        <f ca="1">IFERROR(IF(0=LEN(ReferenceData!$AV$73),"",ReferenceData!$AV$73),"")</f>
        <v>5122.9730289999998</v>
      </c>
      <c r="AW73">
        <f ca="1">IFERROR(IF(0=LEN(ReferenceData!$AW$73),"",ReferenceData!$AW$73),"")</f>
        <v>5152.2354180000002</v>
      </c>
      <c r="AX73" t="str">
        <f ca="1">IFERROR(IF(0=LEN(ReferenceData!$AX$73),"",ReferenceData!$AX$73),"")</f>
        <v/>
      </c>
      <c r="AY73" t="str">
        <f ca="1">IFERROR(IF(0=LEN(ReferenceData!$AY$73),"",ReferenceData!$AY$73),"")</f>
        <v/>
      </c>
      <c r="AZ73" t="str">
        <f ca="1">IFERROR(IF(0=LEN(ReferenceData!$AZ$73),"",ReferenceData!$AZ$73),"")</f>
        <v/>
      </c>
      <c r="BA73" t="str">
        <f ca="1">IFERROR(IF(0=LEN(ReferenceData!$BA$73),"",ReferenceData!$BA$73),"")</f>
        <v/>
      </c>
      <c r="BB73">
        <f ca="1">IFERROR(IF(0=LEN(ReferenceData!$BB$73),"",ReferenceData!$BB$73),"")</f>
        <v>9711.5002750000003</v>
      </c>
      <c r="BC73" t="str">
        <f ca="1">IFERROR(IF(0=LEN(ReferenceData!$BC$73),"",ReferenceData!$BC$73),"")</f>
        <v/>
      </c>
      <c r="BD73" t="str">
        <f ca="1">IFERROR(IF(0=LEN(ReferenceData!$BD$73),"",ReferenceData!$BD$73),"")</f>
        <v/>
      </c>
      <c r="BE73">
        <f ca="1">IFERROR(IF(0=LEN(ReferenceData!$BE$73),"",ReferenceData!$BE$73),"")</f>
        <v>10300.49662</v>
      </c>
      <c r="BF73">
        <f ca="1">IFERROR(IF(0=LEN(ReferenceData!$BF$73),"",ReferenceData!$BF$73),"")</f>
        <v>13184.84073</v>
      </c>
      <c r="BG73" t="str">
        <f ca="1">IFERROR(IF(0=LEN(ReferenceData!$BG$73),"",ReferenceData!$BG$73),"")</f>
        <v/>
      </c>
      <c r="BH73">
        <f ca="1">IFERROR(IF(0=LEN(ReferenceData!$BH$73),"",ReferenceData!$BH$73),"")</f>
        <v>7824.5078290000001</v>
      </c>
      <c r="BI73">
        <f ca="1">IFERROR(IF(0=LEN(ReferenceData!$BI$73),"",ReferenceData!$BI$73),"")</f>
        <v>8650.8468009999997</v>
      </c>
      <c r="BJ73">
        <f ca="1">IFERROR(IF(0=LEN(ReferenceData!$BJ$73),"",ReferenceData!$BJ$73),"")</f>
        <v>9080.3553599999996</v>
      </c>
      <c r="BK73">
        <f ca="1">IFERROR(IF(0=LEN(ReferenceData!$BK$73),"",ReferenceData!$BK$73),"")</f>
        <v>12691.191709999999</v>
      </c>
      <c r="BL73">
        <f ca="1">IFERROR(IF(0=LEN(ReferenceData!$BL$73),"",ReferenceData!$BL$73),"")</f>
        <v>12112.62861</v>
      </c>
      <c r="BM73" t="str">
        <f ca="1">IFERROR(IF(0=LEN(ReferenceData!$BM$73),"",ReferenceData!$BM$73),"")</f>
        <v/>
      </c>
    </row>
    <row r="74" spans="1:65" x14ac:dyDescent="0.25">
      <c r="A74" t="str">
        <f>IFERROR(IF(0=LEN(ReferenceData!$A$74),"",ReferenceData!$A$74),"")</f>
        <v xml:space="preserve">    Swedbank AB</v>
      </c>
      <c r="B74" t="str">
        <f>IFERROR(IF(0=LEN(ReferenceData!$B$74),"",ReferenceData!$B$74),"")</f>
        <v>SWEDA SS Equity</v>
      </c>
      <c r="C74" t="str">
        <f>IFERROR(IF(0=LEN(ReferenceData!$C$74),"",ReferenceData!$C$74),"")</f>
        <v>BM109</v>
      </c>
      <c r="D74" t="str">
        <f>IFERROR(IF(0=LEN(ReferenceData!$D$74),"",ReferenceData!$D$74),"")</f>
        <v>BS_TRADING_SECURITIES_DERIVS</v>
      </c>
      <c r="E74" t="str">
        <f>IFERROR(IF(0=LEN(ReferenceData!$E$74),"",ReferenceData!$E$74),"")</f>
        <v>Dynamic</v>
      </c>
      <c r="F74" t="str">
        <f ca="1">IFERROR(IF(0=LEN(ReferenceData!$F$74),"",ReferenceData!$F$74),"")</f>
        <v/>
      </c>
      <c r="G74">
        <f ca="1">IFERROR(IF(0=LEN(ReferenceData!$G$74),"",ReferenceData!$G$74),"")</f>
        <v>692.31866319999995</v>
      </c>
      <c r="H74">
        <f ca="1">IFERROR(IF(0=LEN(ReferenceData!$H$74),"",ReferenceData!$H$74),"")</f>
        <v>1044.6392080000001</v>
      </c>
      <c r="I74">
        <f ca="1">IFERROR(IF(0=LEN(ReferenceData!$I$74),"",ReferenceData!$I$74),"")</f>
        <v>2568.4891790000001</v>
      </c>
      <c r="J74">
        <f ca="1">IFERROR(IF(0=LEN(ReferenceData!$J$74),"",ReferenceData!$J$74),"")</f>
        <v>2060.7904720000001</v>
      </c>
      <c r="K74">
        <f ca="1">IFERROR(IF(0=LEN(ReferenceData!$K$74),"",ReferenceData!$K$74),"")</f>
        <v>2560.4266269999998</v>
      </c>
      <c r="L74">
        <f ca="1">IFERROR(IF(0=LEN(ReferenceData!$L$74),"",ReferenceData!$L$74),"")</f>
        <v>2854.5190040000002</v>
      </c>
      <c r="M74">
        <f ca="1">IFERROR(IF(0=LEN(ReferenceData!$M$74),"",ReferenceData!$M$74),"")</f>
        <v>1566.4550180000001</v>
      </c>
      <c r="N74">
        <f ca="1">IFERROR(IF(0=LEN(ReferenceData!$N$74),"",ReferenceData!$N$74),"")</f>
        <v>2588.3430069999999</v>
      </c>
      <c r="O74">
        <f ca="1">IFERROR(IF(0=LEN(ReferenceData!$O$74),"",ReferenceData!$O$74),"")</f>
        <v>5910.5303009999998</v>
      </c>
      <c r="P74">
        <f ca="1">IFERROR(IF(0=LEN(ReferenceData!$P$74),"",ReferenceData!$P$74),"")</f>
        <v>4604.7611619999998</v>
      </c>
      <c r="Q74">
        <f ca="1">IFERROR(IF(0=LEN(ReferenceData!$Q$74),"",ReferenceData!$Q$74),"")</f>
        <v>2409.6661399999998</v>
      </c>
      <c r="R74">
        <f ca="1">IFERROR(IF(0=LEN(ReferenceData!$R$74),"",ReferenceData!$R$74),"")</f>
        <v>2951.0258789999998</v>
      </c>
      <c r="S74">
        <f ca="1">IFERROR(IF(0=LEN(ReferenceData!$S$74),"",ReferenceData!$S$74),"")</f>
        <v>2716.4400740000001</v>
      </c>
      <c r="T74">
        <f ca="1">IFERROR(IF(0=LEN(ReferenceData!$T$74),"",ReferenceData!$T$74),"")</f>
        <v>2446.9581229999999</v>
      </c>
      <c r="U74">
        <f ca="1">IFERROR(IF(0=LEN(ReferenceData!$U$74),"",ReferenceData!$U$74),"")</f>
        <v>3648.3511010000002</v>
      </c>
      <c r="V74">
        <f ca="1">IFERROR(IF(0=LEN(ReferenceData!$V$74),"",ReferenceData!$V$74),"")</f>
        <v>3689.6862209999999</v>
      </c>
      <c r="W74">
        <f ca="1">IFERROR(IF(0=LEN(ReferenceData!$W$74),"",ReferenceData!$W$74),"")</f>
        <v>3566.4818519999999</v>
      </c>
      <c r="X74">
        <f ca="1">IFERROR(IF(0=LEN(ReferenceData!$X$74),"",ReferenceData!$X$74),"")</f>
        <v>3493.2719299999999</v>
      </c>
      <c r="Y74">
        <f ca="1">IFERROR(IF(0=LEN(ReferenceData!$Y$74),"",ReferenceData!$Y$74),"")</f>
        <v>6077.1136450000004</v>
      </c>
      <c r="Z74">
        <f ca="1">IFERROR(IF(0=LEN(ReferenceData!$Z$74),"",ReferenceData!$Z$74),"")</f>
        <v>2906.785343</v>
      </c>
      <c r="AA74">
        <f ca="1">IFERROR(IF(0=LEN(ReferenceData!$AA$74),"",ReferenceData!$AA$74),"")</f>
        <v>3846.6757859999998</v>
      </c>
      <c r="AB74">
        <f ca="1">IFERROR(IF(0=LEN(ReferenceData!$AB$74),"",ReferenceData!$AB$74),"")</f>
        <v>2720.9673339999999</v>
      </c>
      <c r="AC74">
        <f ca="1">IFERROR(IF(0=LEN(ReferenceData!$AC$74),"",ReferenceData!$AC$74),"")</f>
        <v>3150.4497369999999</v>
      </c>
      <c r="AD74">
        <f ca="1">IFERROR(IF(0=LEN(ReferenceData!$AD$74),"",ReferenceData!$AD$74),"")</f>
        <v>2863.2638729999999</v>
      </c>
      <c r="AE74">
        <f ca="1">IFERROR(IF(0=LEN(ReferenceData!$AE$74),"",ReferenceData!$AE$74),"")</f>
        <v>6003.1119250000002</v>
      </c>
      <c r="AF74" t="str">
        <f ca="1">IFERROR(IF(0=LEN(ReferenceData!$AF$74),"",ReferenceData!$AF$74),"")</f>
        <v/>
      </c>
      <c r="AG74" t="str">
        <f ca="1">IFERROR(IF(0=LEN(ReferenceData!$AG$74),"",ReferenceData!$AG$74),"")</f>
        <v/>
      </c>
      <c r="AH74">
        <f ca="1">IFERROR(IF(0=LEN(ReferenceData!$AH$74),"",ReferenceData!$AH$74),"")</f>
        <v>4563.6882379999997</v>
      </c>
      <c r="AI74" t="str">
        <f ca="1">IFERROR(IF(0=LEN(ReferenceData!$AI$74),"",ReferenceData!$AI$74),"")</f>
        <v/>
      </c>
      <c r="AJ74">
        <f ca="1">IFERROR(IF(0=LEN(ReferenceData!$AJ$74),"",ReferenceData!$AJ$74),"")</f>
        <v>7800.5618430000004</v>
      </c>
      <c r="AK74">
        <f ca="1">IFERROR(IF(0=LEN(ReferenceData!$AK$74),"",ReferenceData!$AK$74),"")</f>
        <v>7683.1818489999996</v>
      </c>
      <c r="AL74">
        <f ca="1">IFERROR(IF(0=LEN(ReferenceData!$AL$74),"",ReferenceData!$AL$74),"")</f>
        <v>7399.2785670000003</v>
      </c>
      <c r="AM74">
        <f ca="1">IFERROR(IF(0=LEN(ReferenceData!$AM$74),"",ReferenceData!$AM$74),"")</f>
        <v>9813.1699000000008</v>
      </c>
      <c r="AN74">
        <f ca="1">IFERROR(IF(0=LEN(ReferenceData!$AN$74),"",ReferenceData!$AN$74),"")</f>
        <v>10663.813050000001</v>
      </c>
      <c r="AO74">
        <f ca="1">IFERROR(IF(0=LEN(ReferenceData!$AO$74),"",ReferenceData!$AO$74),"")</f>
        <v>10625.243899999999</v>
      </c>
      <c r="AP74">
        <f ca="1">IFERROR(IF(0=LEN(ReferenceData!$AP$74),"",ReferenceData!$AP$74),"")</f>
        <v>7390.6919989999997</v>
      </c>
      <c r="AQ74">
        <f ca="1">IFERROR(IF(0=LEN(ReferenceData!$AQ$74),"",ReferenceData!$AQ$74),"")</f>
        <v>10617.41296</v>
      </c>
      <c r="AR74">
        <f ca="1">IFERROR(IF(0=LEN(ReferenceData!$AR$74),"",ReferenceData!$AR$74),"")</f>
        <v>10338.502899999999</v>
      </c>
      <c r="AS74">
        <f ca="1">IFERROR(IF(0=LEN(ReferenceData!$AS$74),"",ReferenceData!$AS$74),"")</f>
        <v>14973.818370000001</v>
      </c>
      <c r="AT74">
        <f ca="1">IFERROR(IF(0=LEN(ReferenceData!$AT$74),"",ReferenceData!$AT$74),"")</f>
        <v>10590.80314</v>
      </c>
      <c r="AU74" t="str">
        <f ca="1">IFERROR(IF(0=LEN(ReferenceData!$AU$74),"",ReferenceData!$AU$74),"")</f>
        <v/>
      </c>
      <c r="AV74" t="str">
        <f ca="1">IFERROR(IF(0=LEN(ReferenceData!$AV$74),"",ReferenceData!$AV$74),"")</f>
        <v/>
      </c>
      <c r="AW74">
        <f ca="1">IFERROR(IF(0=LEN(ReferenceData!$AW$74),"",ReferenceData!$AW$74),"")</f>
        <v>7606.7218080000002</v>
      </c>
      <c r="AX74">
        <f ca="1">IFERROR(IF(0=LEN(ReferenceData!$AX$74),"",ReferenceData!$AX$74),"")</f>
        <v>5541.0009120000004</v>
      </c>
      <c r="AY74" t="str">
        <f ca="1">IFERROR(IF(0=LEN(ReferenceData!$AY$74),"",ReferenceData!$AY$74),"")</f>
        <v/>
      </c>
      <c r="AZ74" t="str">
        <f ca="1">IFERROR(IF(0=LEN(ReferenceData!$AZ$74),"",ReferenceData!$AZ$74),"")</f>
        <v/>
      </c>
      <c r="BA74" t="str">
        <f ca="1">IFERROR(IF(0=LEN(ReferenceData!$BA$74),"",ReferenceData!$BA$74),"")</f>
        <v/>
      </c>
      <c r="BB74" t="str">
        <f ca="1">IFERROR(IF(0=LEN(ReferenceData!$BB$74),"",ReferenceData!$BB$74),"")</f>
        <v/>
      </c>
      <c r="BC74" t="str">
        <f ca="1">IFERROR(IF(0=LEN(ReferenceData!$BC$74),"",ReferenceData!$BC$74),"")</f>
        <v/>
      </c>
      <c r="BD74" t="str">
        <f ca="1">IFERROR(IF(0=LEN(ReferenceData!$BD$74),"",ReferenceData!$BD$74),"")</f>
        <v/>
      </c>
      <c r="BE74" t="str">
        <f ca="1">IFERROR(IF(0=LEN(ReferenceData!$BE$74),"",ReferenceData!$BE$74),"")</f>
        <v/>
      </c>
      <c r="BF74" t="str">
        <f ca="1">IFERROR(IF(0=LEN(ReferenceData!$BF$74),"",ReferenceData!$BF$74),"")</f>
        <v/>
      </c>
      <c r="BG74" t="str">
        <f ca="1">IFERROR(IF(0=LEN(ReferenceData!$BG$74),"",ReferenceData!$BG$74),"")</f>
        <v/>
      </c>
      <c r="BH74">
        <f ca="1">IFERROR(IF(0=LEN(ReferenceData!$BH$74),"",ReferenceData!$BH$74),"")</f>
        <v>6639.7329069999996</v>
      </c>
      <c r="BI74" t="str">
        <f ca="1">IFERROR(IF(0=LEN(ReferenceData!$BI$74),"",ReferenceData!$BI$74),"")</f>
        <v/>
      </c>
      <c r="BJ74">
        <f ca="1">IFERROR(IF(0=LEN(ReferenceData!$BJ$74),"",ReferenceData!$BJ$74),"")</f>
        <v>7237.0276469999999</v>
      </c>
      <c r="BK74" t="str">
        <f ca="1">IFERROR(IF(0=LEN(ReferenceData!$BK$74),"",ReferenceData!$BK$74),"")</f>
        <v/>
      </c>
      <c r="BL74">
        <f ca="1">IFERROR(IF(0=LEN(ReferenceData!$BL$74),"",ReferenceData!$BL$74),"")</f>
        <v>8080.4762259999998</v>
      </c>
      <c r="BM74">
        <f ca="1">IFERROR(IF(0=LEN(ReferenceData!$BM$74),"",ReferenceData!$BM$74),"")</f>
        <v>7853.9689639999997</v>
      </c>
    </row>
    <row r="75" spans="1:65" x14ac:dyDescent="0.25">
      <c r="A75" t="str">
        <f>IFERROR(IF(0=LEN(ReferenceData!$A$75),"",ReferenceData!$A$75),"")</f>
        <v xml:space="preserve">    Societe Generale SA</v>
      </c>
      <c r="B75" t="str">
        <f>IFERROR(IF(0=LEN(ReferenceData!$B$75),"",ReferenceData!$B$75),"")</f>
        <v>GLE FP Equity</v>
      </c>
      <c r="C75" t="str">
        <f>IFERROR(IF(0=LEN(ReferenceData!$C$75),"",ReferenceData!$C$75),"")</f>
        <v>BM109</v>
      </c>
      <c r="D75" t="str">
        <f>IFERROR(IF(0=LEN(ReferenceData!$D$75),"",ReferenceData!$D$75),"")</f>
        <v>BS_TRADING_SECURITIES_DERIVS</v>
      </c>
      <c r="E75" t="str">
        <f>IFERROR(IF(0=LEN(ReferenceData!$E$75),"",ReferenceData!$E$75),"")</f>
        <v>Dynamic</v>
      </c>
      <c r="F75">
        <f ca="1">IFERROR(IF(0=LEN(ReferenceData!$F$75),"",ReferenceData!$F$75),"")</f>
        <v>96745</v>
      </c>
      <c r="G75" t="str">
        <f ca="1">IFERROR(IF(0=LEN(ReferenceData!$G$75),"",ReferenceData!$G$75),"")</f>
        <v/>
      </c>
      <c r="H75">
        <f ca="1">IFERROR(IF(0=LEN(ReferenceData!$H$75),"",ReferenceData!$H$75),"")</f>
        <v>91377</v>
      </c>
      <c r="I75" t="str">
        <f ca="1">IFERROR(IF(0=LEN(ReferenceData!$I$75),"",ReferenceData!$I$75),"")</f>
        <v/>
      </c>
      <c r="J75">
        <f ca="1">IFERROR(IF(0=LEN(ReferenceData!$J$75),"",ReferenceData!$J$75),"")</f>
        <v>83535</v>
      </c>
      <c r="K75" t="str">
        <f ca="1">IFERROR(IF(0=LEN(ReferenceData!$K$75),"",ReferenceData!$K$75),"")</f>
        <v/>
      </c>
      <c r="L75">
        <f ca="1">IFERROR(IF(0=LEN(ReferenceData!$L$75),"",ReferenceData!$L$75),"")</f>
        <v>75269</v>
      </c>
      <c r="M75" t="str">
        <f ca="1">IFERROR(IF(0=LEN(ReferenceData!$M$75),"",ReferenceData!$M$75),"")</f>
        <v/>
      </c>
      <c r="N75">
        <f ca="1">IFERROR(IF(0=LEN(ReferenceData!$N$75),"",ReferenceData!$N$75),"")</f>
        <v>76775</v>
      </c>
      <c r="O75" t="str">
        <f ca="1">IFERROR(IF(0=LEN(ReferenceData!$O$75),"",ReferenceData!$O$75),"")</f>
        <v/>
      </c>
      <c r="P75">
        <f ca="1">IFERROR(IF(0=LEN(ReferenceData!$P$75),"",ReferenceData!$P$75),"")</f>
        <v>110713</v>
      </c>
      <c r="Q75" t="str">
        <f ca="1">IFERROR(IF(0=LEN(ReferenceData!$Q$75),"",ReferenceData!$Q$75),"")</f>
        <v/>
      </c>
      <c r="R75">
        <f ca="1">IFERROR(IF(0=LEN(ReferenceData!$R$75),"",ReferenceData!$R$75),"")</f>
        <v>100355</v>
      </c>
      <c r="S75" t="str">
        <f ca="1">IFERROR(IF(0=LEN(ReferenceData!$S$75),"",ReferenceData!$S$75),"")</f>
        <v/>
      </c>
      <c r="T75">
        <f ca="1">IFERROR(IF(0=LEN(ReferenceData!$T$75),"",ReferenceData!$T$75),"")</f>
        <v>130816</v>
      </c>
      <c r="U75" t="str">
        <f ca="1">IFERROR(IF(0=LEN(ReferenceData!$U$75),"",ReferenceData!$U$75),"")</f>
        <v/>
      </c>
      <c r="V75">
        <f ca="1">IFERROR(IF(0=LEN(ReferenceData!$V$75),"",ReferenceData!$V$75),"")</f>
        <v>151536</v>
      </c>
      <c r="W75" t="str">
        <f ca="1">IFERROR(IF(0=LEN(ReferenceData!$W$75),"",ReferenceData!$W$75),"")</f>
        <v/>
      </c>
      <c r="X75">
        <f ca="1">IFERROR(IF(0=LEN(ReferenceData!$X$75),"",ReferenceData!$X$75),"")</f>
        <v>169488</v>
      </c>
      <c r="Y75" t="str">
        <f ca="1">IFERROR(IF(0=LEN(ReferenceData!$Y$75),"",ReferenceData!$Y$75),"")</f>
        <v/>
      </c>
      <c r="Z75">
        <f ca="1">IFERROR(IF(0=LEN(ReferenceData!$Z$75),"",ReferenceData!$Z$75),"")</f>
        <v>135849</v>
      </c>
      <c r="AA75" t="str">
        <f ca="1">IFERROR(IF(0=LEN(ReferenceData!$AA$75),"",ReferenceData!$AA$75),"")</f>
        <v/>
      </c>
      <c r="AB75">
        <f ca="1">IFERROR(IF(0=LEN(ReferenceData!$AB$75),"",ReferenceData!$AB$75),"")</f>
        <v>146007</v>
      </c>
      <c r="AC75" t="str">
        <f ca="1">IFERROR(IF(0=LEN(ReferenceData!$AC$75),"",ReferenceData!$AC$75),"")</f>
        <v/>
      </c>
      <c r="AD75">
        <f ca="1">IFERROR(IF(0=LEN(ReferenceData!$AD$75),"",ReferenceData!$AD$75),"")</f>
        <v>122983</v>
      </c>
      <c r="AE75" t="str">
        <f ca="1">IFERROR(IF(0=LEN(ReferenceData!$AE$75),"",ReferenceData!$AE$75),"")</f>
        <v/>
      </c>
      <c r="AF75">
        <f ca="1">IFERROR(IF(0=LEN(ReferenceData!$AF$75),"",ReferenceData!$AF$75),"")</f>
        <v>130006</v>
      </c>
      <c r="AG75" t="str">
        <f ca="1">IFERROR(IF(0=LEN(ReferenceData!$AG$75),"",ReferenceData!$AG$75),"")</f>
        <v/>
      </c>
      <c r="AH75">
        <f ca="1">IFERROR(IF(0=LEN(ReferenceData!$AH$75),"",ReferenceData!$AH$75),"")</f>
        <v>134450</v>
      </c>
      <c r="AI75" t="str">
        <f ca="1">IFERROR(IF(0=LEN(ReferenceData!$AI$75),"",ReferenceData!$AI$75),"")</f>
        <v/>
      </c>
      <c r="AJ75" t="str">
        <f ca="1">IFERROR(IF(0=LEN(ReferenceData!$AJ$75),"",ReferenceData!$AJ$75),"")</f>
        <v/>
      </c>
      <c r="AK75" t="str">
        <f ca="1">IFERROR(IF(0=LEN(ReferenceData!$AK$75),"",ReferenceData!$AK$75),"")</f>
        <v/>
      </c>
      <c r="AL75" t="str">
        <f ca="1">IFERROR(IF(0=LEN(ReferenceData!$AL$75),"",ReferenceData!$AL$75),"")</f>
        <v/>
      </c>
      <c r="AM75" t="str">
        <f ca="1">IFERROR(IF(0=LEN(ReferenceData!$AM$75),"",ReferenceData!$AM$75),"")</f>
        <v/>
      </c>
      <c r="AN75" t="str">
        <f ca="1">IFERROR(IF(0=LEN(ReferenceData!$AN$75),"",ReferenceData!$AN$75),"")</f>
        <v/>
      </c>
      <c r="AO75" t="str">
        <f ca="1">IFERROR(IF(0=LEN(ReferenceData!$AO$75),"",ReferenceData!$AO$75),"")</f>
        <v/>
      </c>
      <c r="AP75" t="str">
        <f ca="1">IFERROR(IF(0=LEN(ReferenceData!$AP$75),"",ReferenceData!$AP$75),"")</f>
        <v/>
      </c>
      <c r="AQ75" t="str">
        <f ca="1">IFERROR(IF(0=LEN(ReferenceData!$AQ$75),"",ReferenceData!$AQ$75),"")</f>
        <v/>
      </c>
      <c r="AR75" t="str">
        <f ca="1">IFERROR(IF(0=LEN(ReferenceData!$AR$75),"",ReferenceData!$AR$75),"")</f>
        <v/>
      </c>
      <c r="AS75" t="str">
        <f ca="1">IFERROR(IF(0=LEN(ReferenceData!$AS$75),"",ReferenceData!$AS$75),"")</f>
        <v/>
      </c>
      <c r="AT75">
        <f ca="1">IFERROR(IF(0=LEN(ReferenceData!$AT$75),"",ReferenceData!$AT$75),"")</f>
        <v>209779</v>
      </c>
      <c r="AU75" t="str">
        <f ca="1">IFERROR(IF(0=LEN(ReferenceData!$AU$75),"",ReferenceData!$AU$75),"")</f>
        <v/>
      </c>
      <c r="AV75">
        <f ca="1">IFERROR(IF(0=LEN(ReferenceData!$AV$75),"",ReferenceData!$AV$75),"")</f>
        <v>175884</v>
      </c>
      <c r="AW75" t="str">
        <f ca="1">IFERROR(IF(0=LEN(ReferenceData!$AW$75),"",ReferenceData!$AW$75),"")</f>
        <v/>
      </c>
      <c r="AX75">
        <f ca="1">IFERROR(IF(0=LEN(ReferenceData!$AX$75),"",ReferenceData!$AX$75),"")</f>
        <v>162072</v>
      </c>
      <c r="AY75" t="str">
        <f ca="1">IFERROR(IF(0=LEN(ReferenceData!$AY$75),"",ReferenceData!$AY$75),"")</f>
        <v/>
      </c>
      <c r="AZ75" t="str">
        <f ca="1">IFERROR(IF(0=LEN(ReferenceData!$AZ$75),"",ReferenceData!$AZ$75),"")</f>
        <v/>
      </c>
      <c r="BA75" t="str">
        <f ca="1">IFERROR(IF(0=LEN(ReferenceData!$BA$75),"",ReferenceData!$BA$75),"")</f>
        <v/>
      </c>
      <c r="BB75">
        <f ca="1">IFERROR(IF(0=LEN(ReferenceData!$BB$75),"",ReferenceData!$BB$75),"")</f>
        <v>218124</v>
      </c>
      <c r="BC75" t="str">
        <f ca="1">IFERROR(IF(0=LEN(ReferenceData!$BC$75),"",ReferenceData!$BC$75),"")</f>
        <v/>
      </c>
      <c r="BD75" t="str">
        <f ca="1">IFERROR(IF(0=LEN(ReferenceData!$BD$75),"",ReferenceData!$BD$75),"")</f>
        <v/>
      </c>
      <c r="BE75" t="str">
        <f ca="1">IFERROR(IF(0=LEN(ReferenceData!$BE$75),"",ReferenceData!$BE$75),"")</f>
        <v/>
      </c>
      <c r="BF75" t="str">
        <f ca="1">IFERROR(IF(0=LEN(ReferenceData!$BF$75),"",ReferenceData!$BF$75),"")</f>
        <v/>
      </c>
      <c r="BG75" t="str">
        <f ca="1">IFERROR(IF(0=LEN(ReferenceData!$BG$75),"",ReferenceData!$BG$75),"")</f>
        <v/>
      </c>
      <c r="BH75" t="str">
        <f ca="1">IFERROR(IF(0=LEN(ReferenceData!$BH$75),"",ReferenceData!$BH$75),"")</f>
        <v/>
      </c>
      <c r="BI75" t="str">
        <f ca="1">IFERROR(IF(0=LEN(ReferenceData!$BI$75),"",ReferenceData!$BI$75),"")</f>
        <v/>
      </c>
      <c r="BJ75" t="str">
        <f ca="1">IFERROR(IF(0=LEN(ReferenceData!$BJ$75),"",ReferenceData!$BJ$75),"")</f>
        <v/>
      </c>
      <c r="BK75" t="str">
        <f ca="1">IFERROR(IF(0=LEN(ReferenceData!$BK$75),"",ReferenceData!$BK$75),"")</f>
        <v/>
      </c>
      <c r="BL75" t="str">
        <f ca="1">IFERROR(IF(0=LEN(ReferenceData!$BL$75),"",ReferenceData!$BL$75),"")</f>
        <v/>
      </c>
      <c r="BM75" t="str">
        <f ca="1">IFERROR(IF(0=LEN(ReferenceData!$BM$75),"",ReferenceData!$BM$75),"")</f>
        <v/>
      </c>
    </row>
    <row r="76" spans="1:65" x14ac:dyDescent="0.25">
      <c r="A76" t="str">
        <f>IFERROR(IF(0=LEN(ReferenceData!$A$76),"",ReferenceData!$A$76),"")</f>
        <v xml:space="preserve">    Standard Chartered PLC</v>
      </c>
      <c r="B76" t="str">
        <f>IFERROR(IF(0=LEN(ReferenceData!$B$76),"",ReferenceData!$B$76),"")</f>
        <v>STAN LN Equity</v>
      </c>
      <c r="C76" t="str">
        <f>IFERROR(IF(0=LEN(ReferenceData!$C$76),"",ReferenceData!$C$76),"")</f>
        <v>BM109</v>
      </c>
      <c r="D76" t="str">
        <f>IFERROR(IF(0=LEN(ReferenceData!$D$76),"",ReferenceData!$D$76),"")</f>
        <v>BS_TRADING_SECURITIES_DERIVS</v>
      </c>
      <c r="E76" t="str">
        <f>IFERROR(IF(0=LEN(ReferenceData!$E$76),"",ReferenceData!$E$76),"")</f>
        <v>Dynamic</v>
      </c>
      <c r="F76" t="str">
        <f ca="1">IFERROR(IF(0=LEN(ReferenceData!$F$76),"",ReferenceData!$F$76),"")</f>
        <v/>
      </c>
      <c r="G76" t="str">
        <f ca="1">IFERROR(IF(0=LEN(ReferenceData!$G$76),"",ReferenceData!$G$76),"")</f>
        <v/>
      </c>
      <c r="H76" t="str">
        <f ca="1">IFERROR(IF(0=LEN(ReferenceData!$H$76),"",ReferenceData!$H$76),"")</f>
        <v/>
      </c>
      <c r="I76" t="str">
        <f ca="1">IFERROR(IF(0=LEN(ReferenceData!$I$76),"",ReferenceData!$I$76),"")</f>
        <v/>
      </c>
      <c r="J76" t="str">
        <f ca="1">IFERROR(IF(0=LEN(ReferenceData!$J$76),"",ReferenceData!$J$76),"")</f>
        <v/>
      </c>
      <c r="K76" t="str">
        <f ca="1">IFERROR(IF(0=LEN(ReferenceData!$K$76),"",ReferenceData!$K$76),"")</f>
        <v/>
      </c>
      <c r="L76" t="str">
        <f ca="1">IFERROR(IF(0=LEN(ReferenceData!$L$76),"",ReferenceData!$L$76),"")</f>
        <v/>
      </c>
      <c r="M76" t="str">
        <f ca="1">IFERROR(IF(0=LEN(ReferenceData!$M$76),"",ReferenceData!$M$76),"")</f>
        <v/>
      </c>
      <c r="N76" t="str">
        <f ca="1">IFERROR(IF(0=LEN(ReferenceData!$N$76),"",ReferenceData!$N$76),"")</f>
        <v/>
      </c>
      <c r="O76" t="str">
        <f ca="1">IFERROR(IF(0=LEN(ReferenceData!$O$76),"",ReferenceData!$O$76),"")</f>
        <v/>
      </c>
      <c r="P76" t="str">
        <f ca="1">IFERROR(IF(0=LEN(ReferenceData!$P$76),"",ReferenceData!$P$76),"")</f>
        <v/>
      </c>
      <c r="Q76" t="str">
        <f ca="1">IFERROR(IF(0=LEN(ReferenceData!$Q$76),"",ReferenceData!$Q$76),"")</f>
        <v/>
      </c>
      <c r="R76" t="str">
        <f ca="1">IFERROR(IF(0=LEN(ReferenceData!$R$76),"",ReferenceData!$R$76),"")</f>
        <v/>
      </c>
      <c r="S76" t="str">
        <f ca="1">IFERROR(IF(0=LEN(ReferenceData!$S$76),"",ReferenceData!$S$76),"")</f>
        <v/>
      </c>
      <c r="T76" t="str">
        <f ca="1">IFERROR(IF(0=LEN(ReferenceData!$T$76),"",ReferenceData!$T$76),"")</f>
        <v/>
      </c>
      <c r="U76" t="str">
        <f ca="1">IFERROR(IF(0=LEN(ReferenceData!$U$76),"",ReferenceData!$U$76),"")</f>
        <v/>
      </c>
      <c r="V76" t="str">
        <f ca="1">IFERROR(IF(0=LEN(ReferenceData!$V$76),"",ReferenceData!$V$76),"")</f>
        <v/>
      </c>
      <c r="W76" t="str">
        <f ca="1">IFERROR(IF(0=LEN(ReferenceData!$W$76),"",ReferenceData!$W$76),"")</f>
        <v/>
      </c>
      <c r="X76" t="str">
        <f ca="1">IFERROR(IF(0=LEN(ReferenceData!$X$76),"",ReferenceData!$X$76),"")</f>
        <v/>
      </c>
      <c r="Y76" t="str">
        <f ca="1">IFERROR(IF(0=LEN(ReferenceData!$Y$76),"",ReferenceData!$Y$76),"")</f>
        <v/>
      </c>
      <c r="Z76" t="str">
        <f ca="1">IFERROR(IF(0=LEN(ReferenceData!$Z$76),"",ReferenceData!$Z$76),"")</f>
        <v/>
      </c>
      <c r="AA76" t="str">
        <f ca="1">IFERROR(IF(0=LEN(ReferenceData!$AA$76),"",ReferenceData!$AA$76),"")</f>
        <v/>
      </c>
      <c r="AB76" t="str">
        <f ca="1">IFERROR(IF(0=LEN(ReferenceData!$AB$76),"",ReferenceData!$AB$76),"")</f>
        <v/>
      </c>
      <c r="AC76" t="str">
        <f ca="1">IFERROR(IF(0=LEN(ReferenceData!$AC$76),"",ReferenceData!$AC$76),"")</f>
        <v/>
      </c>
      <c r="AD76" t="str">
        <f ca="1">IFERROR(IF(0=LEN(ReferenceData!$AD$76),"",ReferenceData!$AD$76),"")</f>
        <v/>
      </c>
      <c r="AE76" t="str">
        <f ca="1">IFERROR(IF(0=LEN(ReferenceData!$AE$76),"",ReferenceData!$AE$76),"")</f>
        <v/>
      </c>
      <c r="AF76" t="str">
        <f ca="1">IFERROR(IF(0=LEN(ReferenceData!$AF$76),"",ReferenceData!$AF$76),"")</f>
        <v/>
      </c>
      <c r="AG76" t="str">
        <f ca="1">IFERROR(IF(0=LEN(ReferenceData!$AG$76),"",ReferenceData!$AG$76),"")</f>
        <v/>
      </c>
      <c r="AH76" t="str">
        <f ca="1">IFERROR(IF(0=LEN(ReferenceData!$AH$76),"",ReferenceData!$AH$76),"")</f>
        <v/>
      </c>
      <c r="AI76" t="str">
        <f ca="1">IFERROR(IF(0=LEN(ReferenceData!$AI$76),"",ReferenceData!$AI$76),"")</f>
        <v/>
      </c>
      <c r="AJ76" t="str">
        <f ca="1">IFERROR(IF(0=LEN(ReferenceData!$AJ$76),"",ReferenceData!$AJ$76),"")</f>
        <v/>
      </c>
      <c r="AK76" t="str">
        <f ca="1">IFERROR(IF(0=LEN(ReferenceData!$AK$76),"",ReferenceData!$AK$76),"")</f>
        <v/>
      </c>
      <c r="AL76" t="str">
        <f ca="1">IFERROR(IF(0=LEN(ReferenceData!$AL$76),"",ReferenceData!$AL$76),"")</f>
        <v/>
      </c>
      <c r="AM76" t="str">
        <f ca="1">IFERROR(IF(0=LEN(ReferenceData!$AM$76),"",ReferenceData!$AM$76),"")</f>
        <v/>
      </c>
      <c r="AN76" t="str">
        <f ca="1">IFERROR(IF(0=LEN(ReferenceData!$AN$76),"",ReferenceData!$AN$76),"")</f>
        <v/>
      </c>
      <c r="AO76" t="str">
        <f ca="1">IFERROR(IF(0=LEN(ReferenceData!$AO$76),"",ReferenceData!$AO$76),"")</f>
        <v/>
      </c>
      <c r="AP76" t="str">
        <f ca="1">IFERROR(IF(0=LEN(ReferenceData!$AP$76),"",ReferenceData!$AP$76),"")</f>
        <v/>
      </c>
      <c r="AQ76" t="str">
        <f ca="1">IFERROR(IF(0=LEN(ReferenceData!$AQ$76),"",ReferenceData!$AQ$76),"")</f>
        <v/>
      </c>
      <c r="AR76" t="str">
        <f ca="1">IFERROR(IF(0=LEN(ReferenceData!$AR$76),"",ReferenceData!$AR$76),"")</f>
        <v/>
      </c>
      <c r="AS76" t="str">
        <f ca="1">IFERROR(IF(0=LEN(ReferenceData!$AS$76),"",ReferenceData!$AS$76),"")</f>
        <v/>
      </c>
      <c r="AT76" t="str">
        <f ca="1">IFERROR(IF(0=LEN(ReferenceData!$AT$76),"",ReferenceData!$AT$76),"")</f>
        <v/>
      </c>
      <c r="AU76" t="str">
        <f ca="1">IFERROR(IF(0=LEN(ReferenceData!$AU$76),"",ReferenceData!$AU$76),"")</f>
        <v/>
      </c>
      <c r="AV76" t="str">
        <f ca="1">IFERROR(IF(0=LEN(ReferenceData!$AV$76),"",ReferenceData!$AV$76),"")</f>
        <v/>
      </c>
      <c r="AW76" t="str">
        <f ca="1">IFERROR(IF(0=LEN(ReferenceData!$AW$76),"",ReferenceData!$AW$76),"")</f>
        <v/>
      </c>
      <c r="AX76" t="str">
        <f ca="1">IFERROR(IF(0=LEN(ReferenceData!$AX$76),"",ReferenceData!$AX$76),"")</f>
        <v/>
      </c>
      <c r="AY76" t="str">
        <f ca="1">IFERROR(IF(0=LEN(ReferenceData!$AY$76),"",ReferenceData!$AY$76),"")</f>
        <v/>
      </c>
      <c r="AZ76" t="str">
        <f ca="1">IFERROR(IF(0=LEN(ReferenceData!$AZ$76),"",ReferenceData!$AZ$76),"")</f>
        <v/>
      </c>
      <c r="BA76" t="str">
        <f ca="1">IFERROR(IF(0=LEN(ReferenceData!$BA$76),"",ReferenceData!$BA$76),"")</f>
        <v/>
      </c>
      <c r="BB76" t="str">
        <f ca="1">IFERROR(IF(0=LEN(ReferenceData!$BB$76),"",ReferenceData!$BB$76),"")</f>
        <v/>
      </c>
      <c r="BC76" t="str">
        <f ca="1">IFERROR(IF(0=LEN(ReferenceData!$BC$76),"",ReferenceData!$BC$76),"")</f>
        <v/>
      </c>
      <c r="BD76" t="str">
        <f ca="1">IFERROR(IF(0=LEN(ReferenceData!$BD$76),"",ReferenceData!$BD$76),"")</f>
        <v/>
      </c>
      <c r="BE76" t="str">
        <f ca="1">IFERROR(IF(0=LEN(ReferenceData!$BE$76),"",ReferenceData!$BE$76),"")</f>
        <v/>
      </c>
      <c r="BF76" t="str">
        <f ca="1">IFERROR(IF(0=LEN(ReferenceData!$BF$76),"",ReferenceData!$BF$76),"")</f>
        <v/>
      </c>
      <c r="BG76" t="str">
        <f ca="1">IFERROR(IF(0=LEN(ReferenceData!$BG$76),"",ReferenceData!$BG$76),"")</f>
        <v/>
      </c>
      <c r="BH76" t="str">
        <f ca="1">IFERROR(IF(0=LEN(ReferenceData!$BH$76),"",ReferenceData!$BH$76),"")</f>
        <v/>
      </c>
      <c r="BI76" t="str">
        <f ca="1">IFERROR(IF(0=LEN(ReferenceData!$BI$76),"",ReferenceData!$BI$76),"")</f>
        <v/>
      </c>
      <c r="BJ76" t="str">
        <f ca="1">IFERROR(IF(0=LEN(ReferenceData!$BJ$76),"",ReferenceData!$BJ$76),"")</f>
        <v/>
      </c>
      <c r="BK76" t="str">
        <f ca="1">IFERROR(IF(0=LEN(ReferenceData!$BK$76),"",ReferenceData!$BK$76),"")</f>
        <v/>
      </c>
      <c r="BL76" t="str">
        <f ca="1">IFERROR(IF(0=LEN(ReferenceData!$BL$76),"",ReferenceData!$BL$76),"")</f>
        <v/>
      </c>
      <c r="BM76" t="str">
        <f ca="1">IFERROR(IF(0=LEN(ReferenceData!$BM$76),"",ReferenceData!$BM$76),"")</f>
        <v/>
      </c>
    </row>
    <row r="77" spans="1:65" x14ac:dyDescent="0.25">
      <c r="A77" t="str">
        <f>IFERROR(IF(0=LEN(ReferenceData!$A$77),"",ReferenceData!$A$77),"")</f>
        <v xml:space="preserve">    UBS Group AG</v>
      </c>
      <c r="B77" t="str">
        <f>IFERROR(IF(0=LEN(ReferenceData!$B$77),"",ReferenceData!$B$77),"")</f>
        <v>UBSG SW Equity</v>
      </c>
      <c r="C77" t="str">
        <f>IFERROR(IF(0=LEN(ReferenceData!$C$77),"",ReferenceData!$C$77),"")</f>
        <v>BM109</v>
      </c>
      <c r="D77" t="str">
        <f>IFERROR(IF(0=LEN(ReferenceData!$D$77),"",ReferenceData!$D$77),"")</f>
        <v>BS_TRADING_SECURITIES_DERIVS</v>
      </c>
      <c r="E77" t="str">
        <f>IFERROR(IF(0=LEN(ReferenceData!$E$77),"",ReferenceData!$E$77),"")</f>
        <v>Dynamic</v>
      </c>
      <c r="F77" t="str">
        <f ca="1">IFERROR(IF(0=LEN(ReferenceData!$F$77),"",ReferenceData!$F$77),"")</f>
        <v/>
      </c>
      <c r="G77" t="str">
        <f ca="1">IFERROR(IF(0=LEN(ReferenceData!$G$77),"",ReferenceData!$G$77),"")</f>
        <v/>
      </c>
      <c r="H77" t="str">
        <f ca="1">IFERROR(IF(0=LEN(ReferenceData!$H$77),"",ReferenceData!$H$77),"")</f>
        <v/>
      </c>
      <c r="I77" t="str">
        <f ca="1">IFERROR(IF(0=LEN(ReferenceData!$I$77),"",ReferenceData!$I$77),"")</f>
        <v/>
      </c>
      <c r="J77" t="str">
        <f ca="1">IFERROR(IF(0=LEN(ReferenceData!$J$77),"",ReferenceData!$J$77),"")</f>
        <v/>
      </c>
      <c r="K77" t="str">
        <f ca="1">IFERROR(IF(0=LEN(ReferenceData!$K$77),"",ReferenceData!$K$77),"")</f>
        <v/>
      </c>
      <c r="L77" t="str">
        <f ca="1">IFERROR(IF(0=LEN(ReferenceData!$L$77),"",ReferenceData!$L$77),"")</f>
        <v/>
      </c>
      <c r="M77" t="str">
        <f ca="1">IFERROR(IF(0=LEN(ReferenceData!$M$77),"",ReferenceData!$M$77),"")</f>
        <v/>
      </c>
      <c r="N77" t="str">
        <f ca="1">IFERROR(IF(0=LEN(ReferenceData!$N$77),"",ReferenceData!$N$77),"")</f>
        <v/>
      </c>
      <c r="O77" t="str">
        <f ca="1">IFERROR(IF(0=LEN(ReferenceData!$O$77),"",ReferenceData!$O$77),"")</f>
        <v/>
      </c>
      <c r="P77" t="str">
        <f ca="1">IFERROR(IF(0=LEN(ReferenceData!$P$77),"",ReferenceData!$P$77),"")</f>
        <v/>
      </c>
      <c r="Q77" t="str">
        <f ca="1">IFERROR(IF(0=LEN(ReferenceData!$Q$77),"",ReferenceData!$Q$77),"")</f>
        <v/>
      </c>
      <c r="R77" t="str">
        <f ca="1">IFERROR(IF(0=LEN(ReferenceData!$R$77),"",ReferenceData!$R$77),"")</f>
        <v/>
      </c>
      <c r="S77" t="str">
        <f ca="1">IFERROR(IF(0=LEN(ReferenceData!$S$77),"",ReferenceData!$S$77),"")</f>
        <v/>
      </c>
      <c r="T77" t="str">
        <f ca="1">IFERROR(IF(0=LEN(ReferenceData!$T$77),"",ReferenceData!$T$77),"")</f>
        <v/>
      </c>
      <c r="U77" t="str">
        <f ca="1">IFERROR(IF(0=LEN(ReferenceData!$U$77),"",ReferenceData!$U$77),"")</f>
        <v/>
      </c>
      <c r="V77" t="str">
        <f ca="1">IFERROR(IF(0=LEN(ReferenceData!$V$77),"",ReferenceData!$V$77),"")</f>
        <v/>
      </c>
      <c r="W77" t="str">
        <f ca="1">IFERROR(IF(0=LEN(ReferenceData!$W$77),"",ReferenceData!$W$77),"")</f>
        <v/>
      </c>
      <c r="X77" t="str">
        <f ca="1">IFERROR(IF(0=LEN(ReferenceData!$X$77),"",ReferenceData!$X$77),"")</f>
        <v/>
      </c>
      <c r="Y77" t="str">
        <f ca="1">IFERROR(IF(0=LEN(ReferenceData!$Y$77),"",ReferenceData!$Y$77),"")</f>
        <v/>
      </c>
      <c r="Z77" t="str">
        <f ca="1">IFERROR(IF(0=LEN(ReferenceData!$Z$77),"",ReferenceData!$Z$77),"")</f>
        <v/>
      </c>
      <c r="AA77" t="str">
        <f ca="1">IFERROR(IF(0=LEN(ReferenceData!$AA$77),"",ReferenceData!$AA$77),"")</f>
        <v/>
      </c>
      <c r="AB77" t="str">
        <f ca="1">IFERROR(IF(0=LEN(ReferenceData!$AB$77),"",ReferenceData!$AB$77),"")</f>
        <v/>
      </c>
      <c r="AC77" t="str">
        <f ca="1">IFERROR(IF(0=LEN(ReferenceData!$AC$77),"",ReferenceData!$AC$77),"")</f>
        <v/>
      </c>
      <c r="AD77" t="str">
        <f ca="1">IFERROR(IF(0=LEN(ReferenceData!$AD$77),"",ReferenceData!$AD$77),"")</f>
        <v/>
      </c>
      <c r="AE77" t="str">
        <f ca="1">IFERROR(IF(0=LEN(ReferenceData!$AE$77),"",ReferenceData!$AE$77),"")</f>
        <v/>
      </c>
      <c r="AF77" t="str">
        <f ca="1">IFERROR(IF(0=LEN(ReferenceData!$AF$77),"",ReferenceData!$AF$77),"")</f>
        <v/>
      </c>
      <c r="AG77" t="str">
        <f ca="1">IFERROR(IF(0=LEN(ReferenceData!$AG$77),"",ReferenceData!$AG$77),"")</f>
        <v/>
      </c>
      <c r="AH77" t="str">
        <f ca="1">IFERROR(IF(0=LEN(ReferenceData!$AH$77),"",ReferenceData!$AH$77),"")</f>
        <v/>
      </c>
      <c r="AI77" t="str">
        <f ca="1">IFERROR(IF(0=LEN(ReferenceData!$AI$77),"",ReferenceData!$AI$77),"")</f>
        <v/>
      </c>
      <c r="AJ77" t="str">
        <f ca="1">IFERROR(IF(0=LEN(ReferenceData!$AJ$77),"",ReferenceData!$AJ$77),"")</f>
        <v/>
      </c>
      <c r="AK77" t="str">
        <f ca="1">IFERROR(IF(0=LEN(ReferenceData!$AK$77),"",ReferenceData!$AK$77),"")</f>
        <v/>
      </c>
      <c r="AL77" t="str">
        <f ca="1">IFERROR(IF(0=LEN(ReferenceData!$AL$77),"",ReferenceData!$AL$77),"")</f>
        <v/>
      </c>
      <c r="AM77" t="str">
        <f ca="1">IFERROR(IF(0=LEN(ReferenceData!$AM$77),"",ReferenceData!$AM$77),"")</f>
        <v/>
      </c>
      <c r="AN77" t="str">
        <f ca="1">IFERROR(IF(0=LEN(ReferenceData!$AN$77),"",ReferenceData!$AN$77),"")</f>
        <v/>
      </c>
      <c r="AO77" t="str">
        <f ca="1">IFERROR(IF(0=LEN(ReferenceData!$AO$77),"",ReferenceData!$AO$77),"")</f>
        <v/>
      </c>
      <c r="AP77" t="str">
        <f ca="1">IFERROR(IF(0=LEN(ReferenceData!$AP$77),"",ReferenceData!$AP$77),"")</f>
        <v/>
      </c>
      <c r="AQ77" t="str">
        <f ca="1">IFERROR(IF(0=LEN(ReferenceData!$AQ$77),"",ReferenceData!$AQ$77),"")</f>
        <v/>
      </c>
      <c r="AR77" t="str">
        <f ca="1">IFERROR(IF(0=LEN(ReferenceData!$AR$77),"",ReferenceData!$AR$77),"")</f>
        <v/>
      </c>
      <c r="AS77" t="str">
        <f ca="1">IFERROR(IF(0=LEN(ReferenceData!$AS$77),"",ReferenceData!$AS$77),"")</f>
        <v/>
      </c>
      <c r="AT77" t="str">
        <f ca="1">IFERROR(IF(0=LEN(ReferenceData!$AT$77),"",ReferenceData!$AT$77),"")</f>
        <v/>
      </c>
      <c r="AU77" t="str">
        <f ca="1">IFERROR(IF(0=LEN(ReferenceData!$AU$77),"",ReferenceData!$AU$77),"")</f>
        <v/>
      </c>
      <c r="AV77" t="str">
        <f ca="1">IFERROR(IF(0=LEN(ReferenceData!$AV$77),"",ReferenceData!$AV$77),"")</f>
        <v/>
      </c>
      <c r="AW77" t="str">
        <f ca="1">IFERROR(IF(0=LEN(ReferenceData!$AW$77),"",ReferenceData!$AW$77),"")</f>
        <v/>
      </c>
      <c r="AX77" t="str">
        <f ca="1">IFERROR(IF(0=LEN(ReferenceData!$AX$77),"",ReferenceData!$AX$77),"")</f>
        <v/>
      </c>
      <c r="AY77" t="str">
        <f ca="1">IFERROR(IF(0=LEN(ReferenceData!$AY$77),"",ReferenceData!$AY$77),"")</f>
        <v/>
      </c>
      <c r="AZ77" t="str">
        <f ca="1">IFERROR(IF(0=LEN(ReferenceData!$AZ$77),"",ReferenceData!$AZ$77),"")</f>
        <v/>
      </c>
      <c r="BA77" t="str">
        <f ca="1">IFERROR(IF(0=LEN(ReferenceData!$BA$77),"",ReferenceData!$BA$77),"")</f>
        <v/>
      </c>
      <c r="BB77" t="str">
        <f ca="1">IFERROR(IF(0=LEN(ReferenceData!$BB$77),"",ReferenceData!$BB$77),"")</f>
        <v/>
      </c>
      <c r="BC77" t="str">
        <f ca="1">IFERROR(IF(0=LEN(ReferenceData!$BC$77),"",ReferenceData!$BC$77),"")</f>
        <v/>
      </c>
      <c r="BD77" t="str">
        <f ca="1">IFERROR(IF(0=LEN(ReferenceData!$BD$77),"",ReferenceData!$BD$77),"")</f>
        <v/>
      </c>
      <c r="BE77" t="str">
        <f ca="1">IFERROR(IF(0=LEN(ReferenceData!$BE$77),"",ReferenceData!$BE$77),"")</f>
        <v/>
      </c>
      <c r="BF77" t="str">
        <f ca="1">IFERROR(IF(0=LEN(ReferenceData!$BF$77),"",ReferenceData!$BF$77),"")</f>
        <v/>
      </c>
      <c r="BG77" t="str">
        <f ca="1">IFERROR(IF(0=LEN(ReferenceData!$BG$77),"",ReferenceData!$BG$77),"")</f>
        <v/>
      </c>
      <c r="BH77" t="str">
        <f ca="1">IFERROR(IF(0=LEN(ReferenceData!$BH$77),"",ReferenceData!$BH$77),"")</f>
        <v/>
      </c>
      <c r="BI77" t="str">
        <f ca="1">IFERROR(IF(0=LEN(ReferenceData!$BI$77),"",ReferenceData!$BI$77),"")</f>
        <v/>
      </c>
      <c r="BJ77">
        <f ca="1">IFERROR(IF(0=LEN(ReferenceData!$BJ$77),"",ReferenceData!$BJ$77),"")</f>
        <v>321366.52289999998</v>
      </c>
      <c r="BK77" t="str">
        <f ca="1">IFERROR(IF(0=LEN(ReferenceData!$BK$77),"",ReferenceData!$BK$77),"")</f>
        <v/>
      </c>
      <c r="BL77" t="str">
        <f ca="1">IFERROR(IF(0=LEN(ReferenceData!$BL$77),"",ReferenceData!$BL$77),"")</f>
        <v/>
      </c>
      <c r="BM77" t="str">
        <f ca="1">IFERROR(IF(0=LEN(ReferenceData!$BM$77),"",ReferenceData!$BM$77),"")</f>
        <v/>
      </c>
    </row>
    <row r="78" spans="1:65" x14ac:dyDescent="0.25">
      <c r="A78" t="str">
        <f>IFERROR(IF(0=LEN(ReferenceData!$A$78),"",ReferenceData!$A$78),"")</f>
        <v xml:space="preserve">    UniCredit SpA</v>
      </c>
      <c r="B78" t="str">
        <f>IFERROR(IF(0=LEN(ReferenceData!$B$78),"",ReferenceData!$B$78),"")</f>
        <v>UCG IM Equity</v>
      </c>
      <c r="C78" t="str">
        <f>IFERROR(IF(0=LEN(ReferenceData!$C$78),"",ReferenceData!$C$78),"")</f>
        <v>BM109</v>
      </c>
      <c r="D78" t="str">
        <f>IFERROR(IF(0=LEN(ReferenceData!$D$78),"",ReferenceData!$D$78),"")</f>
        <v>BS_TRADING_SECURITIES_DERIVS</v>
      </c>
      <c r="E78" t="str">
        <f>IFERROR(IF(0=LEN(ReferenceData!$E$78),"",ReferenceData!$E$78),"")</f>
        <v>Dynamic</v>
      </c>
      <c r="F78">
        <f ca="1">IFERROR(IF(0=LEN(ReferenceData!$F$78),"",ReferenceData!$F$78),"")</f>
        <v>29519</v>
      </c>
      <c r="G78" t="str">
        <f ca="1">IFERROR(IF(0=LEN(ReferenceData!$G$78),"",ReferenceData!$G$78),"")</f>
        <v/>
      </c>
      <c r="H78">
        <f ca="1">IFERROR(IF(0=LEN(ReferenceData!$H$78),"",ReferenceData!$H$78),"")</f>
        <v>28433</v>
      </c>
      <c r="I78" t="str">
        <f ca="1">IFERROR(IF(0=LEN(ReferenceData!$I$78),"",ReferenceData!$I$78),"")</f>
        <v/>
      </c>
      <c r="J78">
        <f ca="1">IFERROR(IF(0=LEN(ReferenceData!$J$78),"",ReferenceData!$J$78),"")</f>
        <v>29309</v>
      </c>
      <c r="K78" t="str">
        <f ca="1">IFERROR(IF(0=LEN(ReferenceData!$K$78),"",ReferenceData!$K$78),"")</f>
        <v/>
      </c>
      <c r="L78">
        <f ca="1">IFERROR(IF(0=LEN(ReferenceData!$L$78),"",ReferenceData!$L$78),"")</f>
        <v>33214</v>
      </c>
      <c r="M78" t="str">
        <f ca="1">IFERROR(IF(0=LEN(ReferenceData!$M$78),"",ReferenceData!$M$78),"")</f>
        <v/>
      </c>
      <c r="N78">
        <f ca="1">IFERROR(IF(0=LEN(ReferenceData!$N$78),"",ReferenceData!$N$78),"")</f>
        <v>39643</v>
      </c>
      <c r="O78" t="str">
        <f ca="1">IFERROR(IF(0=LEN(ReferenceData!$O$78),"",ReferenceData!$O$78),"")</f>
        <v/>
      </c>
      <c r="P78">
        <f ca="1">IFERROR(IF(0=LEN(ReferenceData!$P$78),"",ReferenceData!$P$78),"")</f>
        <v>41702</v>
      </c>
      <c r="Q78" t="str">
        <f ca="1">IFERROR(IF(0=LEN(ReferenceData!$Q$78),"",ReferenceData!$Q$78),"")</f>
        <v/>
      </c>
      <c r="R78">
        <f ca="1">IFERROR(IF(0=LEN(ReferenceData!$R$78),"",ReferenceData!$R$78),"")</f>
        <v>40824</v>
      </c>
      <c r="S78" t="str">
        <f ca="1">IFERROR(IF(0=LEN(ReferenceData!$S$78),"",ReferenceData!$S$78),"")</f>
        <v/>
      </c>
      <c r="T78">
        <f ca="1">IFERROR(IF(0=LEN(ReferenceData!$T$78),"",ReferenceData!$T$78),"")</f>
        <v>39102</v>
      </c>
      <c r="U78" t="str">
        <f ca="1">IFERROR(IF(0=LEN(ReferenceData!$U$78),"",ReferenceData!$U$78),"")</f>
        <v/>
      </c>
      <c r="V78">
        <f ca="1">IFERROR(IF(0=LEN(ReferenceData!$V$78),"",ReferenceData!$V$78),"")</f>
        <v>45162</v>
      </c>
      <c r="W78" t="str">
        <f ca="1">IFERROR(IF(0=LEN(ReferenceData!$W$78),"",ReferenceData!$W$78),"")</f>
        <v/>
      </c>
      <c r="X78">
        <f ca="1">IFERROR(IF(0=LEN(ReferenceData!$X$78),"",ReferenceData!$X$78),"")</f>
        <v>43119</v>
      </c>
      <c r="Y78" t="str">
        <f ca="1">IFERROR(IF(0=LEN(ReferenceData!$Y$78),"",ReferenceData!$Y$78),"")</f>
        <v/>
      </c>
      <c r="Z78">
        <f ca="1">IFERROR(IF(0=LEN(ReferenceData!$Z$78),"",ReferenceData!$Z$78),"")</f>
        <v>34351</v>
      </c>
      <c r="AA78" t="str">
        <f ca="1">IFERROR(IF(0=LEN(ReferenceData!$AA$78),"",ReferenceData!$AA$78),"")</f>
        <v/>
      </c>
      <c r="AB78">
        <f ca="1">IFERROR(IF(0=LEN(ReferenceData!$AB$78),"",ReferenceData!$AB$78),"")</f>
        <v>35686</v>
      </c>
      <c r="AC78" t="str">
        <f ca="1">IFERROR(IF(0=LEN(ReferenceData!$AC$78),"",ReferenceData!$AC$78),"")</f>
        <v/>
      </c>
      <c r="AD78">
        <f ca="1">IFERROR(IF(0=LEN(ReferenceData!$AD$78),"",ReferenceData!$AD$78),"")</f>
        <v>32152</v>
      </c>
      <c r="AE78" t="str">
        <f ca="1">IFERROR(IF(0=LEN(ReferenceData!$AE$78),"",ReferenceData!$AE$78),"")</f>
        <v/>
      </c>
      <c r="AF78">
        <f ca="1">IFERROR(IF(0=LEN(ReferenceData!$AF$78),"",ReferenceData!$AF$78),"")</f>
        <v>35662.673000000003</v>
      </c>
      <c r="AG78" t="str">
        <f ca="1">IFERROR(IF(0=LEN(ReferenceData!$AG$78),"",ReferenceData!$AG$78),"")</f>
        <v/>
      </c>
      <c r="AH78">
        <f ca="1">IFERROR(IF(0=LEN(ReferenceData!$AH$78),"",ReferenceData!$AH$78),"")</f>
        <v>34769.334000000003</v>
      </c>
      <c r="AI78" t="str">
        <f ca="1">IFERROR(IF(0=LEN(ReferenceData!$AI$78),"",ReferenceData!$AI$78),"")</f>
        <v/>
      </c>
      <c r="AJ78">
        <f ca="1">IFERROR(IF(0=LEN(ReferenceData!$AJ$78),"",ReferenceData!$AJ$78),"")</f>
        <v>39062.720000000001</v>
      </c>
      <c r="AK78" t="str">
        <f ca="1">IFERROR(IF(0=LEN(ReferenceData!$AK$78),"",ReferenceData!$AK$78),"")</f>
        <v/>
      </c>
      <c r="AL78" t="str">
        <f ca="1">IFERROR(IF(0=LEN(ReferenceData!$AL$78),"",ReferenceData!$AL$78),"")</f>
        <v/>
      </c>
      <c r="AM78" t="str">
        <f ca="1">IFERROR(IF(0=LEN(ReferenceData!$AM$78),"",ReferenceData!$AM$78),"")</f>
        <v/>
      </c>
      <c r="AN78">
        <f ca="1">IFERROR(IF(0=LEN(ReferenceData!$AN$78),"",ReferenceData!$AN$78),"")</f>
        <v>54247.313000000002</v>
      </c>
      <c r="AO78" t="str">
        <f ca="1">IFERROR(IF(0=LEN(ReferenceData!$AO$78),"",ReferenceData!$AO$78),"")</f>
        <v/>
      </c>
      <c r="AP78">
        <f ca="1">IFERROR(IF(0=LEN(ReferenceData!$AP$78),"",ReferenceData!$AP$78),"")</f>
        <v>48140.506999999998</v>
      </c>
      <c r="AQ78" t="str">
        <f ca="1">IFERROR(IF(0=LEN(ReferenceData!$AQ$78),"",ReferenceData!$AQ$78),"")</f>
        <v/>
      </c>
      <c r="AR78">
        <f ca="1">IFERROR(IF(0=LEN(ReferenceData!$AR$78),"",ReferenceData!$AR$78),"")</f>
        <v>57673.267999999996</v>
      </c>
      <c r="AS78" t="str">
        <f ca="1">IFERROR(IF(0=LEN(ReferenceData!$AS$78),"",ReferenceData!$AS$78),"")</f>
        <v/>
      </c>
      <c r="AT78" t="str">
        <f ca="1">IFERROR(IF(0=LEN(ReferenceData!$AT$78),"",ReferenceData!$AT$78),"")</f>
        <v/>
      </c>
      <c r="AU78" t="str">
        <f ca="1">IFERROR(IF(0=LEN(ReferenceData!$AU$78),"",ReferenceData!$AU$78),"")</f>
        <v/>
      </c>
      <c r="AV78">
        <f ca="1">IFERROR(IF(0=LEN(ReferenceData!$AV$78),"",ReferenceData!$AV$78),"")</f>
        <v>48705.983999999997</v>
      </c>
      <c r="AW78" t="str">
        <f ca="1">IFERROR(IF(0=LEN(ReferenceData!$AW$78),"",ReferenceData!$AW$78),"")</f>
        <v/>
      </c>
      <c r="AX78" t="str">
        <f ca="1">IFERROR(IF(0=LEN(ReferenceData!$AX$78),"",ReferenceData!$AX$78),"")</f>
        <v/>
      </c>
      <c r="AY78" t="str">
        <f ca="1">IFERROR(IF(0=LEN(ReferenceData!$AY$78),"",ReferenceData!$AY$78),"")</f>
        <v/>
      </c>
      <c r="AZ78">
        <f ca="1">IFERROR(IF(0=LEN(ReferenceData!$AZ$78),"",ReferenceData!$AZ$78),"")</f>
        <v>59746.889000000003</v>
      </c>
      <c r="BA78" t="str">
        <f ca="1">IFERROR(IF(0=LEN(ReferenceData!$BA$78),"",ReferenceData!$BA$78),"")</f>
        <v/>
      </c>
      <c r="BB78" t="str">
        <f ca="1">IFERROR(IF(0=LEN(ReferenceData!$BB$78),"",ReferenceData!$BB$78),"")</f>
        <v/>
      </c>
      <c r="BC78" t="str">
        <f ca="1">IFERROR(IF(0=LEN(ReferenceData!$BC$78),"",ReferenceData!$BC$78),"")</f>
        <v/>
      </c>
      <c r="BD78" t="str">
        <f ca="1">IFERROR(IF(0=LEN(ReferenceData!$BD$78),"",ReferenceData!$BD$78),"")</f>
        <v/>
      </c>
      <c r="BE78" t="str">
        <f ca="1">IFERROR(IF(0=LEN(ReferenceData!$BE$78),"",ReferenceData!$BE$78),"")</f>
        <v/>
      </c>
      <c r="BF78" t="str">
        <f ca="1">IFERROR(IF(0=LEN(ReferenceData!$BF$78),"",ReferenceData!$BF$78),"")</f>
        <v/>
      </c>
      <c r="BG78" t="str">
        <f ca="1">IFERROR(IF(0=LEN(ReferenceData!$BG$78),"",ReferenceData!$BG$78),"")</f>
        <v/>
      </c>
      <c r="BH78" t="str">
        <f ca="1">IFERROR(IF(0=LEN(ReferenceData!$BH$78),"",ReferenceData!$BH$78),"")</f>
        <v/>
      </c>
      <c r="BI78" t="str">
        <f ca="1">IFERROR(IF(0=LEN(ReferenceData!$BI$78),"",ReferenceData!$BI$78),"")</f>
        <v/>
      </c>
      <c r="BJ78" t="str">
        <f ca="1">IFERROR(IF(0=LEN(ReferenceData!$BJ$78),"",ReferenceData!$BJ$78),"")</f>
        <v/>
      </c>
      <c r="BK78" t="str">
        <f ca="1">IFERROR(IF(0=LEN(ReferenceData!$BK$78),"",ReferenceData!$BK$78),"")</f>
        <v/>
      </c>
      <c r="BL78" t="str">
        <f ca="1">IFERROR(IF(0=LEN(ReferenceData!$BL$78),"",ReferenceData!$BL$78),"")</f>
        <v/>
      </c>
      <c r="BM78" t="str">
        <f ca="1">IFERROR(IF(0=LEN(ReferenceData!$BM$78),"",ReferenceData!$BM$78),"")</f>
        <v/>
      </c>
    </row>
    <row r="79" spans="1:65" x14ac:dyDescent="0.25">
      <c r="A79" t="str">
        <f>IFERROR(IF(0=LEN(ReferenceData!$A$79),"",ReferenceData!$A$79),"")</f>
        <v>-- Consumer Loans</v>
      </c>
      <c r="B79" t="str">
        <f>IFERROR(IF(0=LEN(ReferenceData!$B$79),"",ReferenceData!$B$79),"")</f>
        <v/>
      </c>
      <c r="C79" t="str">
        <f>IFERROR(IF(0=LEN(ReferenceData!$C$79),"",ReferenceData!$C$79),"")</f>
        <v/>
      </c>
      <c r="D79" t="str">
        <f>IFERROR(IF(0=LEN(ReferenceData!$D$79),"",ReferenceData!$D$79),"")</f>
        <v/>
      </c>
      <c r="E79" t="str">
        <f>IFERROR(IF(0=LEN(ReferenceData!$E$79),"",ReferenceData!$E$79),"")</f>
        <v>Sum</v>
      </c>
      <c r="F79">
        <f ca="1">IFERROR(IF(0=LEN(ReferenceData!$F$79),"",ReferenceData!$F$79),"")</f>
        <v>6167713.6570899989</v>
      </c>
      <c r="G79">
        <f ca="1">IFERROR(IF(0=LEN(ReferenceData!$G$79),"",ReferenceData!$G$79),"")</f>
        <v>3401070.5640799999</v>
      </c>
      <c r="H79">
        <f ca="1">IFERROR(IF(0=LEN(ReferenceData!$H$79),"",ReferenceData!$H$79),"")</f>
        <v>5647324.2947600009</v>
      </c>
      <c r="I79">
        <f ca="1">IFERROR(IF(0=LEN(ReferenceData!$I$79),"",ReferenceData!$I$79),"")</f>
        <v>2970473.4201300004</v>
      </c>
      <c r="J79">
        <f ca="1">IFERROR(IF(0=LEN(ReferenceData!$J$79),"",ReferenceData!$J$79),"")</f>
        <v>6390128.6282400023</v>
      </c>
      <c r="K79">
        <f ca="1">IFERROR(IF(0=LEN(ReferenceData!$K$79),"",ReferenceData!$K$79),"")</f>
        <v>3415532.7072999994</v>
      </c>
      <c r="L79">
        <f ca="1">IFERROR(IF(0=LEN(ReferenceData!$L$79),"",ReferenceData!$L$79),"")</f>
        <v>5654149.5319800004</v>
      </c>
      <c r="M79">
        <f ca="1">IFERROR(IF(0=LEN(ReferenceData!$M$79),"",ReferenceData!$M$79),"")</f>
        <v>2869738.0936800004</v>
      </c>
      <c r="N79">
        <f ca="1">IFERROR(IF(0=LEN(ReferenceData!$N$79),"",ReferenceData!$N$79),"")</f>
        <v>6207291.4733099993</v>
      </c>
      <c r="O79">
        <f ca="1">IFERROR(IF(0=LEN(ReferenceData!$O$79),"",ReferenceData!$O$79),"")</f>
        <v>3005960.5482100002</v>
      </c>
      <c r="P79">
        <f ca="1">IFERROR(IF(0=LEN(ReferenceData!$P$79),"",ReferenceData!$P$79),"")</f>
        <v>5556639.9811199997</v>
      </c>
      <c r="Q79">
        <f ca="1">IFERROR(IF(0=LEN(ReferenceData!$Q$79),"",ReferenceData!$Q$79),"")</f>
        <v>2543296.70065</v>
      </c>
      <c r="R79">
        <f ca="1">IFERROR(IF(0=LEN(ReferenceData!$R$79),"",ReferenceData!$R$79),"")</f>
        <v>6532537.8305299999</v>
      </c>
      <c r="S79">
        <f ca="1">IFERROR(IF(0=LEN(ReferenceData!$S$79),"",ReferenceData!$S$79),"")</f>
        <v>3264362.4325899994</v>
      </c>
      <c r="T79">
        <f ca="1">IFERROR(IF(0=LEN(ReferenceData!$T$79),"",ReferenceData!$T$79),"")</f>
        <v>5444606.4375299998</v>
      </c>
      <c r="U79">
        <f ca="1">IFERROR(IF(0=LEN(ReferenceData!$U$79),"",ReferenceData!$U$79),"")</f>
        <v>2945272.5761700002</v>
      </c>
      <c r="V79">
        <f ca="1">IFERROR(IF(0=LEN(ReferenceData!$V$79),"",ReferenceData!$V$79),"")</f>
        <v>6159160.4993700003</v>
      </c>
      <c r="W79">
        <f ca="1">IFERROR(IF(0=LEN(ReferenceData!$W$79),"",ReferenceData!$W$79),"")</f>
        <v>3134993.8555600005</v>
      </c>
      <c r="X79">
        <f ca="1">IFERROR(IF(0=LEN(ReferenceData!$X$79),"",ReferenceData!$X$79),"")</f>
        <v>5504049.058459999</v>
      </c>
      <c r="Y79">
        <f ca="1">IFERROR(IF(0=LEN(ReferenceData!$Y$79),"",ReferenceData!$Y$79),"")</f>
        <v>2856972.1117000002</v>
      </c>
      <c r="Z79">
        <f ca="1">IFERROR(IF(0=LEN(ReferenceData!$Z$79),"",ReferenceData!$Z$79),"")</f>
        <v>6161762.0730600022</v>
      </c>
      <c r="AA79">
        <f ca="1">IFERROR(IF(0=LEN(ReferenceData!$AA$79),"",ReferenceData!$AA$79),"")</f>
        <v>3026747.0016199998</v>
      </c>
      <c r="AB79">
        <f ca="1">IFERROR(IF(0=LEN(ReferenceData!$AB$79),"",ReferenceData!$AB$79),"")</f>
        <v>5259276.1025199993</v>
      </c>
      <c r="AC79">
        <f ca="1">IFERROR(IF(0=LEN(ReferenceData!$AC$79),"",ReferenceData!$AC$79),"")</f>
        <v>2708111.6900599999</v>
      </c>
      <c r="AD79">
        <f ca="1">IFERROR(IF(0=LEN(ReferenceData!$AD$79),"",ReferenceData!$AD$79),"")</f>
        <v>5563673.1411800003</v>
      </c>
      <c r="AE79">
        <f ca="1">IFERROR(IF(0=LEN(ReferenceData!$AE$79),"",ReferenceData!$AE$79),"")</f>
        <v>2990844.7855900005</v>
      </c>
      <c r="AF79">
        <f ca="1">IFERROR(IF(0=LEN(ReferenceData!$AF$79),"",ReferenceData!$AF$79),"")</f>
        <v>5148464.3546000002</v>
      </c>
      <c r="AG79">
        <f ca="1">IFERROR(IF(0=LEN(ReferenceData!$AG$79),"",ReferenceData!$AG$79),"")</f>
        <v>2569983.7124600005</v>
      </c>
      <c r="AH79">
        <f ca="1">IFERROR(IF(0=LEN(ReferenceData!$AH$79),"",ReferenceData!$AH$79),"")</f>
        <v>5216617.7744799992</v>
      </c>
      <c r="AI79">
        <f ca="1">IFERROR(IF(0=LEN(ReferenceData!$AI$79),"",ReferenceData!$AI$79),"")</f>
        <v>2403205.6976600001</v>
      </c>
      <c r="AJ79">
        <f ca="1">IFERROR(IF(0=LEN(ReferenceData!$AJ$79),"",ReferenceData!$AJ$79),"")</f>
        <v>4638019.2189100012</v>
      </c>
      <c r="AK79">
        <f ca="1">IFERROR(IF(0=LEN(ReferenceData!$AK$79),"",ReferenceData!$AK$79),"")</f>
        <v>2186257.8164899996</v>
      </c>
      <c r="AL79">
        <f ca="1">IFERROR(IF(0=LEN(ReferenceData!$AL$79),"",ReferenceData!$AL$79),"")</f>
        <v>4011405.5261750002</v>
      </c>
      <c r="AM79">
        <f ca="1">IFERROR(IF(0=LEN(ReferenceData!$AM$79),"",ReferenceData!$AM$79),"")</f>
        <v>1923287.8558999998</v>
      </c>
      <c r="AN79">
        <f ca="1">IFERROR(IF(0=LEN(ReferenceData!$AN$79),"",ReferenceData!$AN$79),"")</f>
        <v>3782949.6937799999</v>
      </c>
      <c r="AO79">
        <f ca="1">IFERROR(IF(0=LEN(ReferenceData!$AO$79),"",ReferenceData!$AO$79),"")</f>
        <v>1854338.6692839998</v>
      </c>
      <c r="AP79">
        <f ca="1">IFERROR(IF(0=LEN(ReferenceData!$AP$79),"",ReferenceData!$AP$79),"")</f>
        <v>4539826.6489639999</v>
      </c>
      <c r="AQ79">
        <f ca="1">IFERROR(IF(0=LEN(ReferenceData!$AQ$79),"",ReferenceData!$AQ$79),"")</f>
        <v>1651292.3253240001</v>
      </c>
      <c r="AR79">
        <f ca="1">IFERROR(IF(0=LEN(ReferenceData!$AR$79),"",ReferenceData!$AR$79),"")</f>
        <v>2522451.1787880003</v>
      </c>
      <c r="AS79">
        <f ca="1">IFERROR(IF(0=LEN(ReferenceData!$AS$79),"",ReferenceData!$AS$79),"")</f>
        <v>1446149.1794110001</v>
      </c>
      <c r="AT79">
        <f ca="1">IFERROR(IF(0=LEN(ReferenceData!$AT$79),"",ReferenceData!$AT$79),"")</f>
        <v>3808947.3214540002</v>
      </c>
      <c r="AU79">
        <f ca="1">IFERROR(IF(0=LEN(ReferenceData!$AU$79),"",ReferenceData!$AU$79),"")</f>
        <v>1400321.5106599999</v>
      </c>
      <c r="AV79">
        <f ca="1">IFERROR(IF(0=LEN(ReferenceData!$AV$79),"",ReferenceData!$AV$79),"")</f>
        <v>2870630.5634599994</v>
      </c>
      <c r="AW79">
        <f ca="1">IFERROR(IF(0=LEN(ReferenceData!$AW$79),"",ReferenceData!$AW$79),"")</f>
        <v>1391661.5544369998</v>
      </c>
      <c r="AX79">
        <f ca="1">IFERROR(IF(0=LEN(ReferenceData!$AX$79),"",ReferenceData!$AX$79),"")</f>
        <v>3170049.2635730002</v>
      </c>
      <c r="AY79">
        <f ca="1">IFERROR(IF(0=LEN(ReferenceData!$AY$79),"",ReferenceData!$AY$79),"")</f>
        <v>1502754.74226</v>
      </c>
      <c r="AZ79">
        <f ca="1">IFERROR(IF(0=LEN(ReferenceData!$AZ$79),"",ReferenceData!$AZ$79),"")</f>
        <v>2279613.5274399999</v>
      </c>
      <c r="BA79">
        <f ca="1">IFERROR(IF(0=LEN(ReferenceData!$BA$79),"",ReferenceData!$BA$79),"")</f>
        <v>1500378.3113599999</v>
      </c>
      <c r="BB79">
        <f ca="1">IFERROR(IF(0=LEN(ReferenceData!$BB$79),"",ReferenceData!$BB$79),"")</f>
        <v>2732753.4243010003</v>
      </c>
      <c r="BC79">
        <f ca="1">IFERROR(IF(0=LEN(ReferenceData!$BC$79),"",ReferenceData!$BC$79),"")</f>
        <v>1151627.05195</v>
      </c>
      <c r="BD79">
        <f ca="1">IFERROR(IF(0=LEN(ReferenceData!$BD$79),"",ReferenceData!$BD$79),"")</f>
        <v>1624801.0901599999</v>
      </c>
      <c r="BE79">
        <f ca="1">IFERROR(IF(0=LEN(ReferenceData!$BE$79),"",ReferenceData!$BE$79),"")</f>
        <v>1290555.9563199999</v>
      </c>
      <c r="BF79">
        <f ca="1">IFERROR(IF(0=LEN(ReferenceData!$BF$79),"",ReferenceData!$BF$79),"")</f>
        <v>2959486.5226199995</v>
      </c>
      <c r="BG79">
        <f ca="1">IFERROR(IF(0=LEN(ReferenceData!$BG$79),"",ReferenceData!$BG$79),"")</f>
        <v>1218416.6993</v>
      </c>
      <c r="BH79">
        <f ca="1">IFERROR(IF(0=LEN(ReferenceData!$BH$79),"",ReferenceData!$BH$79),"")</f>
        <v>1967038.797</v>
      </c>
      <c r="BI79">
        <f ca="1">IFERROR(IF(0=LEN(ReferenceData!$BI$79),"",ReferenceData!$BI$79),"")</f>
        <v>1245031.4406999999</v>
      </c>
      <c r="BJ79">
        <f ca="1">IFERROR(IF(0=LEN(ReferenceData!$BJ$79),"",ReferenceData!$BJ$79),"")</f>
        <v>2831771.6113300002</v>
      </c>
      <c r="BK79">
        <f ca="1">IFERROR(IF(0=LEN(ReferenceData!$BK$79),"",ReferenceData!$BK$79),"")</f>
        <v>935203.84810000006</v>
      </c>
      <c r="BL79">
        <f ca="1">IFERROR(IF(0=LEN(ReferenceData!$BL$79),"",ReferenceData!$BL$79),"")</f>
        <v>1890491.1417999999</v>
      </c>
      <c r="BM79">
        <f ca="1">IFERROR(IF(0=LEN(ReferenceData!$BM$79),"",ReferenceData!$BM$79),"")</f>
        <v>180122.25</v>
      </c>
    </row>
    <row r="80" spans="1:65" x14ac:dyDescent="0.25">
      <c r="A80" t="str">
        <f>IFERROR(IF(0=LEN(ReferenceData!$A$80),"",ReferenceData!$A$80),"")</f>
        <v xml:space="preserve">    ABN AMRO Bank NV</v>
      </c>
      <c r="B80" t="str">
        <f>IFERROR(IF(0=LEN(ReferenceData!$B$80),"",ReferenceData!$B$80),"")</f>
        <v>ABN NA Equity</v>
      </c>
      <c r="C80" t="str">
        <f>IFERROR(IF(0=LEN(ReferenceData!$C$80),"",ReferenceData!$C$80),"")</f>
        <v>BS017</v>
      </c>
      <c r="D80" t="str">
        <f>IFERROR(IF(0=LEN(ReferenceData!$D$80),"",ReferenceData!$D$80),"")</f>
        <v>BS_CONS_LOAN</v>
      </c>
      <c r="E80" t="str">
        <f>IFERROR(IF(0=LEN(ReferenceData!$E$80),"",ReferenceData!$E$80),"")</f>
        <v>Dynamic</v>
      </c>
      <c r="F80">
        <f ca="1">IFERROR(IF(0=LEN(ReferenceData!$F$80),"",ReferenceData!$F$80),"")</f>
        <v>159800</v>
      </c>
      <c r="G80">
        <f ca="1">IFERROR(IF(0=LEN(ReferenceData!$G$80),"",ReferenceData!$G$80),"")</f>
        <v>158659</v>
      </c>
      <c r="H80">
        <f ca="1">IFERROR(IF(0=LEN(ReferenceData!$H$80),"",ReferenceData!$H$80),"")</f>
        <v>155403</v>
      </c>
      <c r="I80">
        <f ca="1">IFERROR(IF(0=LEN(ReferenceData!$I$80),"",ReferenceData!$I$80),"")</f>
        <v>154609</v>
      </c>
      <c r="J80">
        <f ca="1">IFERROR(IF(0=LEN(ReferenceData!$J$80),"",ReferenceData!$J$80),"")</f>
        <v>154197</v>
      </c>
      <c r="K80">
        <f ca="1">IFERROR(IF(0=LEN(ReferenceData!$K$80),"",ReferenceData!$K$80),"")</f>
        <v>151318</v>
      </c>
      <c r="L80">
        <f ca="1">IFERROR(IF(0=LEN(ReferenceData!$L$80),"",ReferenceData!$L$80),"")</f>
        <v>152222</v>
      </c>
      <c r="M80">
        <f ca="1">IFERROR(IF(0=LEN(ReferenceData!$M$80),"",ReferenceData!$M$80),"")</f>
        <v>152192</v>
      </c>
      <c r="N80">
        <f ca="1">IFERROR(IF(0=LEN(ReferenceData!$N$80),"",ReferenceData!$N$80),"")</f>
        <v>151659</v>
      </c>
      <c r="O80">
        <f ca="1">IFERROR(IF(0=LEN(ReferenceData!$O$80),"",ReferenceData!$O$80),"")</f>
        <v>151565</v>
      </c>
      <c r="P80">
        <f ca="1">IFERROR(IF(0=LEN(ReferenceData!$P$80),"",ReferenceData!$P$80),"")</f>
        <v>153711</v>
      </c>
      <c r="Q80">
        <f ca="1">IFERROR(IF(0=LEN(ReferenceData!$Q$80),"",ReferenceData!$Q$80),"")</f>
        <v>156271</v>
      </c>
      <c r="R80">
        <f ca="1">IFERROR(IF(0=LEN(ReferenceData!$R$80),"",ReferenceData!$R$80),"")</f>
        <v>157145</v>
      </c>
      <c r="S80">
        <f ca="1">IFERROR(IF(0=LEN(ReferenceData!$S$80),"",ReferenceData!$S$80),"")</f>
        <v>157458</v>
      </c>
      <c r="T80">
        <f ca="1">IFERROR(IF(0=LEN(ReferenceData!$T$80),"",ReferenceData!$T$80),"")</f>
        <v>157288</v>
      </c>
      <c r="U80">
        <f ca="1">IFERROR(IF(0=LEN(ReferenceData!$U$80),"",ReferenceData!$U$80),"")</f>
        <v>156847</v>
      </c>
      <c r="V80">
        <f ca="1">IFERROR(IF(0=LEN(ReferenceData!$V$80),"",ReferenceData!$V$80),"")</f>
        <v>156904</v>
      </c>
      <c r="W80">
        <f ca="1">IFERROR(IF(0=LEN(ReferenceData!$W$80),"",ReferenceData!$W$80),"")</f>
        <v>157971</v>
      </c>
      <c r="X80">
        <f ca="1">IFERROR(IF(0=LEN(ReferenceData!$X$80),"",ReferenceData!$X$80),"")</f>
        <v>161841</v>
      </c>
      <c r="Y80">
        <f ca="1">IFERROR(IF(0=LEN(ReferenceData!$Y$80),"",ReferenceData!$Y$80),"")</f>
        <v>159491</v>
      </c>
      <c r="Z80">
        <f ca="1">IFERROR(IF(0=LEN(ReferenceData!$Z$80),"",ReferenceData!$Z$80),"")</f>
        <v>160519</v>
      </c>
      <c r="AA80">
        <f ca="1">IFERROR(IF(0=LEN(ReferenceData!$AA$80),"",ReferenceData!$AA$80),"")</f>
        <v>161270</v>
      </c>
      <c r="AB80">
        <f ca="1">IFERROR(IF(0=LEN(ReferenceData!$AB$80),"",ReferenceData!$AB$80),"")</f>
        <v>163453</v>
      </c>
      <c r="AC80">
        <f ca="1">IFERROR(IF(0=LEN(ReferenceData!$AC$80),"",ReferenceData!$AC$80),"")</f>
        <v>160277</v>
      </c>
      <c r="AD80">
        <f ca="1">IFERROR(IF(0=LEN(ReferenceData!$AD$80),"",ReferenceData!$AD$80),"")</f>
        <v>161054</v>
      </c>
      <c r="AE80">
        <f ca="1">IFERROR(IF(0=LEN(ReferenceData!$AE$80),"",ReferenceData!$AE$80),"")</f>
        <v>162482</v>
      </c>
      <c r="AF80">
        <f ca="1">IFERROR(IF(0=LEN(ReferenceData!$AF$80),"",ReferenceData!$AF$80),"")</f>
        <v>164870</v>
      </c>
      <c r="AG80">
        <f ca="1">IFERROR(IF(0=LEN(ReferenceData!$AG$80),"",ReferenceData!$AG$80),"")</f>
        <v>162999</v>
      </c>
      <c r="AH80">
        <f ca="1">IFERROR(IF(0=LEN(ReferenceData!$AH$80),"",ReferenceData!$AH$80),"")</f>
        <v>165251</v>
      </c>
      <c r="AI80">
        <f ca="1">IFERROR(IF(0=LEN(ReferenceData!$AI$80),"",ReferenceData!$AI$80),"")</f>
        <v>163825</v>
      </c>
      <c r="AJ80">
        <f ca="1">IFERROR(IF(0=LEN(ReferenceData!$AJ$80),"",ReferenceData!$AJ$80),"")</f>
        <v>163359</v>
      </c>
      <c r="AK80">
        <f ca="1">IFERROR(IF(0=LEN(ReferenceData!$AK$80),"",ReferenceData!$AK$80),"")</f>
        <v>163042</v>
      </c>
      <c r="AL80">
        <f ca="1">IFERROR(IF(0=LEN(ReferenceData!$AL$80),"",ReferenceData!$AL$80),"")</f>
        <v>164867</v>
      </c>
      <c r="AM80">
        <f ca="1">IFERROR(IF(0=LEN(ReferenceData!$AM$80),"",ReferenceData!$AM$80),"")</f>
        <v>161591</v>
      </c>
      <c r="AN80">
        <f ca="1">IFERROR(IF(0=LEN(ReferenceData!$AN$80),"",ReferenceData!$AN$80),"")</f>
        <v>164831</v>
      </c>
      <c r="AO80">
        <f ca="1">IFERROR(IF(0=LEN(ReferenceData!$AO$80),"",ReferenceData!$AO$80),"")</f>
        <v>161400</v>
      </c>
      <c r="AP80">
        <f ca="1">IFERROR(IF(0=LEN(ReferenceData!$AP$80),"",ReferenceData!$AP$80),"")</f>
        <v>167013</v>
      </c>
      <c r="AQ80">
        <f ca="1">IFERROR(IF(0=LEN(ReferenceData!$AQ$80),"",ReferenceData!$AQ$80),"")</f>
        <v>167454</v>
      </c>
      <c r="AR80">
        <f ca="1">IFERROR(IF(0=LEN(ReferenceData!$AR$80),"",ReferenceData!$AR$80),"")</f>
        <v>167896</v>
      </c>
      <c r="AS80" t="str">
        <f ca="1">IFERROR(IF(0=LEN(ReferenceData!$AS$80),"",ReferenceData!$AS$80),"")</f>
        <v/>
      </c>
      <c r="AT80">
        <f ca="1">IFERROR(IF(0=LEN(ReferenceData!$AT$80),"",ReferenceData!$AT$80),"")</f>
        <v>168588</v>
      </c>
      <c r="AU80">
        <f ca="1">IFERROR(IF(0=LEN(ReferenceData!$AU$80),"",ReferenceData!$AU$80),"")</f>
        <v>165788</v>
      </c>
      <c r="AV80">
        <f ca="1">IFERROR(IF(0=LEN(ReferenceData!$AV$80),"",ReferenceData!$AV$80),"")</f>
        <v>167191</v>
      </c>
      <c r="AW80">
        <f ca="1">IFERROR(IF(0=LEN(ReferenceData!$AW$80),"",ReferenceData!$AW$80),"")</f>
        <v>170396</v>
      </c>
      <c r="AX80">
        <f ca="1">IFERROR(IF(0=LEN(ReferenceData!$AX$80),"",ReferenceData!$AX$80),"")</f>
        <v>170265</v>
      </c>
      <c r="AY80">
        <f ca="1">IFERROR(IF(0=LEN(ReferenceData!$AY$80),"",ReferenceData!$AY$80),"")</f>
        <v>172102</v>
      </c>
      <c r="AZ80">
        <f ca="1">IFERROR(IF(0=LEN(ReferenceData!$AZ$80),"",ReferenceData!$AZ$80),"")</f>
        <v>169157</v>
      </c>
      <c r="BA80">
        <f ca="1">IFERROR(IF(0=LEN(ReferenceData!$BA$80),"",ReferenceData!$BA$80),"")</f>
        <v>174298</v>
      </c>
      <c r="BB80">
        <f ca="1">IFERROR(IF(0=LEN(ReferenceData!$BB$80),"",ReferenceData!$BB$80),"")</f>
        <v>170774</v>
      </c>
      <c r="BC80" t="str">
        <f ca="1">IFERROR(IF(0=LEN(ReferenceData!$BC$80),"",ReferenceData!$BC$80),"")</f>
        <v/>
      </c>
      <c r="BD80" t="str">
        <f ca="1">IFERROR(IF(0=LEN(ReferenceData!$BD$80),"",ReferenceData!$BD$80),"")</f>
        <v/>
      </c>
      <c r="BE80" t="str">
        <f ca="1">IFERROR(IF(0=LEN(ReferenceData!$BE$80),"",ReferenceData!$BE$80),"")</f>
        <v/>
      </c>
      <c r="BF80" t="str">
        <f ca="1">IFERROR(IF(0=LEN(ReferenceData!$BF$80),"",ReferenceData!$BF$80),"")</f>
        <v/>
      </c>
      <c r="BG80" t="str">
        <f ca="1">IFERROR(IF(0=LEN(ReferenceData!$BG$80),"",ReferenceData!$BG$80),"")</f>
        <v/>
      </c>
      <c r="BH80" t="str">
        <f ca="1">IFERROR(IF(0=LEN(ReferenceData!$BH$80),"",ReferenceData!$BH$80),"")</f>
        <v/>
      </c>
      <c r="BI80" t="str">
        <f ca="1">IFERROR(IF(0=LEN(ReferenceData!$BI$80),"",ReferenceData!$BI$80),"")</f>
        <v/>
      </c>
      <c r="BJ80" t="str">
        <f ca="1">IFERROR(IF(0=LEN(ReferenceData!$BJ$80),"",ReferenceData!$BJ$80),"")</f>
        <v/>
      </c>
      <c r="BK80" t="str">
        <f ca="1">IFERROR(IF(0=LEN(ReferenceData!$BK$80),"",ReferenceData!$BK$80),"")</f>
        <v/>
      </c>
      <c r="BL80" t="str">
        <f ca="1">IFERROR(IF(0=LEN(ReferenceData!$BL$80),"",ReferenceData!$BL$80),"")</f>
        <v/>
      </c>
      <c r="BM80" t="str">
        <f ca="1">IFERROR(IF(0=LEN(ReferenceData!$BM$80),"",ReferenceData!$BM$80),"")</f>
        <v/>
      </c>
    </row>
    <row r="81" spans="1:65" x14ac:dyDescent="0.25">
      <c r="A81" t="str">
        <f>IFERROR(IF(0=LEN(ReferenceData!$A$81),"",ReferenceData!$A$81),"")</f>
        <v xml:space="preserve">    AIB Group PLC</v>
      </c>
      <c r="B81" t="str">
        <f>IFERROR(IF(0=LEN(ReferenceData!$B$81),"",ReferenceData!$B$81),"")</f>
        <v>AIBG ID Equity</v>
      </c>
      <c r="C81" t="str">
        <f>IFERROR(IF(0=LEN(ReferenceData!$C$81),"",ReferenceData!$C$81),"")</f>
        <v>BS017</v>
      </c>
      <c r="D81" t="str">
        <f>IFERROR(IF(0=LEN(ReferenceData!$D$81),"",ReferenceData!$D$81),"")</f>
        <v>BS_CONS_LOAN</v>
      </c>
      <c r="E81" t="str">
        <f>IFERROR(IF(0=LEN(ReferenceData!$E$81),"",ReferenceData!$E$81),"")</f>
        <v>Dynamic</v>
      </c>
      <c r="F81" t="str">
        <f ca="1">IFERROR(IF(0=LEN(ReferenceData!$F$81),"",ReferenceData!$F$81),"")</f>
        <v/>
      </c>
      <c r="G81" t="str">
        <f ca="1">IFERROR(IF(0=LEN(ReferenceData!$G$81),"",ReferenceData!$G$81),"")</f>
        <v/>
      </c>
      <c r="H81" t="str">
        <f ca="1">IFERROR(IF(0=LEN(ReferenceData!$H$81),"",ReferenceData!$H$81),"")</f>
        <v/>
      </c>
      <c r="I81" t="str">
        <f ca="1">IFERROR(IF(0=LEN(ReferenceData!$I$81),"",ReferenceData!$I$81),"")</f>
        <v/>
      </c>
      <c r="J81" t="str">
        <f ca="1">IFERROR(IF(0=LEN(ReferenceData!$J$81),"",ReferenceData!$J$81),"")</f>
        <v/>
      </c>
      <c r="K81" t="str">
        <f ca="1">IFERROR(IF(0=LEN(ReferenceData!$K$81),"",ReferenceData!$K$81),"")</f>
        <v/>
      </c>
      <c r="L81" t="str">
        <f ca="1">IFERROR(IF(0=LEN(ReferenceData!$L$81),"",ReferenceData!$L$81),"")</f>
        <v/>
      </c>
      <c r="M81" t="str">
        <f ca="1">IFERROR(IF(0=LEN(ReferenceData!$M$81),"",ReferenceData!$M$81),"")</f>
        <v/>
      </c>
      <c r="N81" t="str">
        <f ca="1">IFERROR(IF(0=LEN(ReferenceData!$N$81),"",ReferenceData!$N$81),"")</f>
        <v/>
      </c>
      <c r="O81" t="str">
        <f ca="1">IFERROR(IF(0=LEN(ReferenceData!$O$81),"",ReferenceData!$O$81),"")</f>
        <v/>
      </c>
      <c r="P81" t="str">
        <f ca="1">IFERROR(IF(0=LEN(ReferenceData!$P$81),"",ReferenceData!$P$81),"")</f>
        <v/>
      </c>
      <c r="Q81" t="str">
        <f ca="1">IFERROR(IF(0=LEN(ReferenceData!$Q$81),"",ReferenceData!$Q$81),"")</f>
        <v/>
      </c>
      <c r="R81" t="str">
        <f ca="1">IFERROR(IF(0=LEN(ReferenceData!$R$81),"",ReferenceData!$R$81),"")</f>
        <v/>
      </c>
      <c r="S81" t="str">
        <f ca="1">IFERROR(IF(0=LEN(ReferenceData!$S$81),"",ReferenceData!$S$81),"")</f>
        <v/>
      </c>
      <c r="T81" t="str">
        <f ca="1">IFERROR(IF(0=LEN(ReferenceData!$T$81),"",ReferenceData!$T$81),"")</f>
        <v/>
      </c>
      <c r="U81" t="str">
        <f ca="1">IFERROR(IF(0=LEN(ReferenceData!$U$81),"",ReferenceData!$U$81),"")</f>
        <v/>
      </c>
      <c r="V81" t="str">
        <f ca="1">IFERROR(IF(0=LEN(ReferenceData!$V$81),"",ReferenceData!$V$81),"")</f>
        <v/>
      </c>
      <c r="W81" t="str">
        <f ca="1">IFERROR(IF(0=LEN(ReferenceData!$W$81),"",ReferenceData!$W$81),"")</f>
        <v/>
      </c>
      <c r="X81" t="str">
        <f ca="1">IFERROR(IF(0=LEN(ReferenceData!$X$81),"",ReferenceData!$X$81),"")</f>
        <v/>
      </c>
      <c r="Y81" t="str">
        <f ca="1">IFERROR(IF(0=LEN(ReferenceData!$Y$81),"",ReferenceData!$Y$81),"")</f>
        <v/>
      </c>
      <c r="Z81" t="str">
        <f ca="1">IFERROR(IF(0=LEN(ReferenceData!$Z$81),"",ReferenceData!$Z$81),"")</f>
        <v/>
      </c>
      <c r="AA81" t="str">
        <f ca="1">IFERROR(IF(0=LEN(ReferenceData!$AA$81),"",ReferenceData!$AA$81),"")</f>
        <v/>
      </c>
      <c r="AB81" t="str">
        <f ca="1">IFERROR(IF(0=LEN(ReferenceData!$AB$81),"",ReferenceData!$AB$81),"")</f>
        <v/>
      </c>
      <c r="AC81" t="str">
        <f ca="1">IFERROR(IF(0=LEN(ReferenceData!$AC$81),"",ReferenceData!$AC$81),"")</f>
        <v/>
      </c>
      <c r="AD81" t="str">
        <f ca="1">IFERROR(IF(0=LEN(ReferenceData!$AD$81),"",ReferenceData!$AD$81),"")</f>
        <v/>
      </c>
      <c r="AE81" t="str">
        <f ca="1">IFERROR(IF(0=LEN(ReferenceData!$AE$81),"",ReferenceData!$AE$81),"")</f>
        <v/>
      </c>
      <c r="AF81" t="str">
        <f ca="1">IFERROR(IF(0=LEN(ReferenceData!$AF$81),"",ReferenceData!$AF$81),"")</f>
        <v/>
      </c>
      <c r="AG81" t="str">
        <f ca="1">IFERROR(IF(0=LEN(ReferenceData!$AG$81),"",ReferenceData!$AG$81),"")</f>
        <v/>
      </c>
      <c r="AH81" t="str">
        <f ca="1">IFERROR(IF(0=LEN(ReferenceData!$AH$81),"",ReferenceData!$AH$81),"")</f>
        <v/>
      </c>
      <c r="AI81" t="str">
        <f ca="1">IFERROR(IF(0=LEN(ReferenceData!$AI$81),"",ReferenceData!$AI$81),"")</f>
        <v/>
      </c>
      <c r="AJ81" t="str">
        <f ca="1">IFERROR(IF(0=LEN(ReferenceData!$AJ$81),"",ReferenceData!$AJ$81),"")</f>
        <v/>
      </c>
      <c r="AK81" t="str">
        <f ca="1">IFERROR(IF(0=LEN(ReferenceData!$AK$81),"",ReferenceData!$AK$81),"")</f>
        <v/>
      </c>
      <c r="AL81" t="str">
        <f ca="1">IFERROR(IF(0=LEN(ReferenceData!$AL$81),"",ReferenceData!$AL$81),"")</f>
        <v/>
      </c>
      <c r="AM81" t="str">
        <f ca="1">IFERROR(IF(0=LEN(ReferenceData!$AM$81),"",ReferenceData!$AM$81),"")</f>
        <v/>
      </c>
      <c r="AN81" t="str">
        <f ca="1">IFERROR(IF(0=LEN(ReferenceData!$AN$81),"",ReferenceData!$AN$81),"")</f>
        <v/>
      </c>
      <c r="AO81" t="str">
        <f ca="1">IFERROR(IF(0=LEN(ReferenceData!$AO$81),"",ReferenceData!$AO$81),"")</f>
        <v/>
      </c>
      <c r="AP81" t="str">
        <f ca="1">IFERROR(IF(0=LEN(ReferenceData!$AP$81),"",ReferenceData!$AP$81),"")</f>
        <v/>
      </c>
      <c r="AQ81" t="str">
        <f ca="1">IFERROR(IF(0=LEN(ReferenceData!$AQ$81),"",ReferenceData!$AQ$81),"")</f>
        <v/>
      </c>
      <c r="AR81" t="str">
        <f ca="1">IFERROR(IF(0=LEN(ReferenceData!$AR$81),"",ReferenceData!$AR$81),"")</f>
        <v/>
      </c>
      <c r="AS81" t="str">
        <f ca="1">IFERROR(IF(0=LEN(ReferenceData!$AS$81),"",ReferenceData!$AS$81),"")</f>
        <v/>
      </c>
      <c r="AT81" t="str">
        <f ca="1">IFERROR(IF(0=LEN(ReferenceData!$AT$81),"",ReferenceData!$AT$81),"")</f>
        <v/>
      </c>
      <c r="AU81" t="str">
        <f ca="1">IFERROR(IF(0=LEN(ReferenceData!$AU$81),"",ReferenceData!$AU$81),"")</f>
        <v/>
      </c>
      <c r="AV81" t="str">
        <f ca="1">IFERROR(IF(0=LEN(ReferenceData!$AV$81),"",ReferenceData!$AV$81),"")</f>
        <v/>
      </c>
      <c r="AW81" t="str">
        <f ca="1">IFERROR(IF(0=LEN(ReferenceData!$AW$81),"",ReferenceData!$AW$81),"")</f>
        <v/>
      </c>
      <c r="AX81" t="str">
        <f ca="1">IFERROR(IF(0=LEN(ReferenceData!$AX$81),"",ReferenceData!$AX$81),"")</f>
        <v/>
      </c>
      <c r="AY81" t="str">
        <f ca="1">IFERROR(IF(0=LEN(ReferenceData!$AY$81),"",ReferenceData!$AY$81),"")</f>
        <v/>
      </c>
      <c r="AZ81" t="str">
        <f ca="1">IFERROR(IF(0=LEN(ReferenceData!$AZ$81),"",ReferenceData!$AZ$81),"")</f>
        <v/>
      </c>
      <c r="BA81" t="str">
        <f ca="1">IFERROR(IF(0=LEN(ReferenceData!$BA$81),"",ReferenceData!$BA$81),"")</f>
        <v/>
      </c>
      <c r="BB81" t="str">
        <f ca="1">IFERROR(IF(0=LEN(ReferenceData!$BB$81),"",ReferenceData!$BB$81),"")</f>
        <v/>
      </c>
      <c r="BC81" t="str">
        <f ca="1">IFERROR(IF(0=LEN(ReferenceData!$BC$81),"",ReferenceData!$BC$81),"")</f>
        <v/>
      </c>
      <c r="BD81" t="str">
        <f ca="1">IFERROR(IF(0=LEN(ReferenceData!$BD$81),"",ReferenceData!$BD$81),"")</f>
        <v/>
      </c>
      <c r="BE81" t="str">
        <f ca="1">IFERROR(IF(0=LEN(ReferenceData!$BE$81),"",ReferenceData!$BE$81),"")</f>
        <v/>
      </c>
      <c r="BF81" t="str">
        <f ca="1">IFERROR(IF(0=LEN(ReferenceData!$BF$81),"",ReferenceData!$BF$81),"")</f>
        <v/>
      </c>
      <c r="BG81" t="str">
        <f ca="1">IFERROR(IF(0=LEN(ReferenceData!$BG$81),"",ReferenceData!$BG$81),"")</f>
        <v/>
      </c>
      <c r="BH81" t="str">
        <f ca="1">IFERROR(IF(0=LEN(ReferenceData!$BH$81),"",ReferenceData!$BH$81),"")</f>
        <v/>
      </c>
      <c r="BI81" t="str">
        <f ca="1">IFERROR(IF(0=LEN(ReferenceData!$BI$81),"",ReferenceData!$BI$81),"")</f>
        <v/>
      </c>
      <c r="BJ81" t="str">
        <f ca="1">IFERROR(IF(0=LEN(ReferenceData!$BJ$81),"",ReferenceData!$BJ$81),"")</f>
        <v/>
      </c>
      <c r="BK81" t="str">
        <f ca="1">IFERROR(IF(0=LEN(ReferenceData!$BK$81),"",ReferenceData!$BK$81),"")</f>
        <v/>
      </c>
      <c r="BL81" t="str">
        <f ca="1">IFERROR(IF(0=LEN(ReferenceData!$BL$81),"",ReferenceData!$BL$81),"")</f>
        <v/>
      </c>
      <c r="BM81" t="str">
        <f ca="1">IFERROR(IF(0=LEN(ReferenceData!$BM$81),"",ReferenceData!$BM$81),"")</f>
        <v/>
      </c>
    </row>
    <row r="82" spans="1:65" x14ac:dyDescent="0.25">
      <c r="A82" t="str">
        <f>IFERROR(IF(0=LEN(ReferenceData!$A$82),"",ReferenceData!$A$82),"")</f>
        <v xml:space="preserve">    Banco de Sabadell SA</v>
      </c>
      <c r="B82" t="str">
        <f>IFERROR(IF(0=LEN(ReferenceData!$B$82),"",ReferenceData!$B$82),"")</f>
        <v>SAB SM Equity</v>
      </c>
      <c r="C82" t="str">
        <f>IFERROR(IF(0=LEN(ReferenceData!$C$82),"",ReferenceData!$C$82),"")</f>
        <v>BS017</v>
      </c>
      <c r="D82" t="str">
        <f>IFERROR(IF(0=LEN(ReferenceData!$D$82),"",ReferenceData!$D$82),"")</f>
        <v>BS_CONS_LOAN</v>
      </c>
      <c r="E82" t="str">
        <f>IFERROR(IF(0=LEN(ReferenceData!$E$82),"",ReferenceData!$E$82),"")</f>
        <v>Dynamic</v>
      </c>
      <c r="F82">
        <f ca="1">IFERROR(IF(0=LEN(ReferenceData!$F$82),"",ReferenceData!$F$82),"")</f>
        <v>98022.642000000007</v>
      </c>
      <c r="G82">
        <f ca="1">IFERROR(IF(0=LEN(ReferenceData!$G$82),"",ReferenceData!$G$82),"")</f>
        <v>139754</v>
      </c>
      <c r="H82">
        <f ca="1">IFERROR(IF(0=LEN(ReferenceData!$H$82),"",ReferenceData!$H$82),"")</f>
        <v>139256</v>
      </c>
      <c r="I82">
        <f ca="1">IFERROR(IF(0=LEN(ReferenceData!$I$82),"",ReferenceData!$I$82),"")</f>
        <v>136442</v>
      </c>
      <c r="J82">
        <f ca="1">IFERROR(IF(0=LEN(ReferenceData!$J$82),"",ReferenceData!$J$82),"")</f>
        <v>93995.421000000002</v>
      </c>
      <c r="K82">
        <f ca="1">IFERROR(IF(0=LEN(ReferenceData!$K$82),"",ReferenceData!$K$82),"")</f>
        <v>137058</v>
      </c>
      <c r="L82">
        <f ca="1">IFERROR(IF(0=LEN(ReferenceData!$L$82),"",ReferenceData!$L$82),"")</f>
        <v>95529.126000000004</v>
      </c>
      <c r="M82">
        <f ca="1">IFERROR(IF(0=LEN(ReferenceData!$M$82),"",ReferenceData!$M$82),"")</f>
        <v>140290</v>
      </c>
      <c r="N82">
        <f ca="1">IFERROR(IF(0=LEN(ReferenceData!$N$82),"",ReferenceData!$N$82),"")</f>
        <v>96121.271999999997</v>
      </c>
      <c r="O82">
        <f ca="1">IFERROR(IF(0=LEN(ReferenceData!$O$82),"",ReferenceData!$O$82),"")</f>
        <v>144346</v>
      </c>
      <c r="P82">
        <f ca="1">IFERROR(IF(0=LEN(ReferenceData!$P$82),"",ReferenceData!$P$82),"")</f>
        <v>97494.888999999996</v>
      </c>
      <c r="Q82">
        <f ca="1">IFERROR(IF(0=LEN(ReferenceData!$Q$82),"",ReferenceData!$Q$82),"")</f>
        <v>143299</v>
      </c>
      <c r="R82">
        <f ca="1">IFERROR(IF(0=LEN(ReferenceData!$R$82),"",ReferenceData!$R$82),"")</f>
        <v>97189.187999999995</v>
      </c>
      <c r="S82">
        <f ca="1">IFERROR(IF(0=LEN(ReferenceData!$S$82),"",ReferenceData!$S$82),"")</f>
        <v>141698</v>
      </c>
      <c r="T82">
        <f ca="1">IFERROR(IF(0=LEN(ReferenceData!$T$82),"",ReferenceData!$T$82),"")</f>
        <v>95077.388999999996</v>
      </c>
      <c r="U82">
        <f ca="1">IFERROR(IF(0=LEN(ReferenceData!$U$82),"",ReferenceData!$U$82),"")</f>
        <v>139323</v>
      </c>
      <c r="V82">
        <f ca="1">IFERROR(IF(0=LEN(ReferenceData!$V$82),"",ReferenceData!$V$82),"")</f>
        <v>92103.764999999999</v>
      </c>
      <c r="W82">
        <f ca="1">IFERROR(IF(0=LEN(ReferenceData!$W$82),"",ReferenceData!$W$82),"")</f>
        <v>135111</v>
      </c>
      <c r="X82">
        <f ca="1">IFERROR(IF(0=LEN(ReferenceData!$X$82),"",ReferenceData!$X$82),"")</f>
        <v>90232.471999999994</v>
      </c>
      <c r="Y82">
        <f ca="1">IFERROR(IF(0=LEN(ReferenceData!$Y$82),"",ReferenceData!$Y$82),"")</f>
        <v>131682</v>
      </c>
      <c r="Z82">
        <f ca="1">IFERROR(IF(0=LEN(ReferenceData!$Z$82),"",ReferenceData!$Z$82),"")</f>
        <v>94426.471000000005</v>
      </c>
      <c r="AA82">
        <f ca="1">IFERROR(IF(0=LEN(ReferenceData!$AA$82),"",ReferenceData!$AA$82),"")</f>
        <v>129809</v>
      </c>
      <c r="AB82">
        <f ca="1">IFERROR(IF(0=LEN(ReferenceData!$AB$82),"",ReferenceData!$AB$82),"")</f>
        <v>91554.52</v>
      </c>
      <c r="AC82">
        <f ca="1">IFERROR(IF(0=LEN(ReferenceData!$AC$82),"",ReferenceData!$AC$82),"")</f>
        <v>128901</v>
      </c>
      <c r="AD82">
        <f ca="1">IFERROR(IF(0=LEN(ReferenceData!$AD$82),"",ReferenceData!$AD$82),"")</f>
        <v>91446.982999999993</v>
      </c>
      <c r="AE82">
        <f ca="1">IFERROR(IF(0=LEN(ReferenceData!$AE$82),"",ReferenceData!$AE$82),"")</f>
        <v>129294</v>
      </c>
      <c r="AF82">
        <f ca="1">IFERROR(IF(0=LEN(ReferenceData!$AF$82),"",ReferenceData!$AF$82),"")</f>
        <v>93529.936000000002</v>
      </c>
      <c r="AG82">
        <f ca="1">IFERROR(IF(0=LEN(ReferenceData!$AG$82),"",ReferenceData!$AG$82),"")</f>
        <v>127003</v>
      </c>
      <c r="AH82">
        <f ca="1">IFERROR(IF(0=LEN(ReferenceData!$AH$82),"",ReferenceData!$AH$82),"")</f>
        <v>94148.426999999996</v>
      </c>
      <c r="AI82">
        <f ca="1">IFERROR(IF(0=LEN(ReferenceData!$AI$82),"",ReferenceData!$AI$82),"")</f>
        <v>127540</v>
      </c>
      <c r="AJ82">
        <f ca="1">IFERROR(IF(0=LEN(ReferenceData!$AJ$82),"",ReferenceData!$AJ$82),"")</f>
        <v>94662.476999999999</v>
      </c>
      <c r="AK82">
        <f ca="1">IFERROR(IF(0=LEN(ReferenceData!$AK$82),"",ReferenceData!$AK$82),"")</f>
        <v>127774</v>
      </c>
      <c r="AL82">
        <f ca="1">IFERROR(IF(0=LEN(ReferenceData!$AL$82),"",ReferenceData!$AL$82),"")</f>
        <v>97494.960999999996</v>
      </c>
      <c r="AM82">
        <f ca="1">IFERROR(IF(0=LEN(ReferenceData!$AM$82),"",ReferenceData!$AM$82),"")</f>
        <v>128772</v>
      </c>
      <c r="AN82">
        <f ca="1">IFERROR(IF(0=LEN(ReferenceData!$AN$82),"",ReferenceData!$AN$82),"")</f>
        <v>96682.841</v>
      </c>
      <c r="AO82">
        <f ca="1">IFERROR(IF(0=LEN(ReferenceData!$AO$82),"",ReferenceData!$AO$82),"")</f>
        <v>95216</v>
      </c>
      <c r="AP82">
        <f ca="1">IFERROR(IF(0=LEN(ReferenceData!$AP$82),"",ReferenceData!$AP$82),"")</f>
        <v>99946.888000000006</v>
      </c>
      <c r="AQ82">
        <f ca="1">IFERROR(IF(0=LEN(ReferenceData!$AQ$82),"",ReferenceData!$AQ$82),"")</f>
        <v>92789</v>
      </c>
      <c r="AR82">
        <f ca="1">IFERROR(IF(0=LEN(ReferenceData!$AR$82),"",ReferenceData!$AR$82),"")</f>
        <v>95141.017000000007</v>
      </c>
      <c r="AS82">
        <f ca="1">IFERROR(IF(0=LEN(ReferenceData!$AS$82),"",ReferenceData!$AS$82),"")</f>
        <v>64984.536999999997</v>
      </c>
      <c r="AT82">
        <f ca="1">IFERROR(IF(0=LEN(ReferenceData!$AT$82),"",ReferenceData!$AT$82),"")</f>
        <v>61998.498</v>
      </c>
      <c r="AU82">
        <f ca="1">IFERROR(IF(0=LEN(ReferenceData!$AU$82),"",ReferenceData!$AU$82),"")</f>
        <v>66126</v>
      </c>
      <c r="AV82">
        <f ca="1">IFERROR(IF(0=LEN(ReferenceData!$AV$82),"",ReferenceData!$AV$82),"")</f>
        <v>65670.894</v>
      </c>
      <c r="AW82">
        <f ca="1">IFERROR(IF(0=LEN(ReferenceData!$AW$82),"",ReferenceData!$AW$82),"")</f>
        <v>64201.472999999998</v>
      </c>
      <c r="AX82">
        <f ca="1">IFERROR(IF(0=LEN(ReferenceData!$AX$82),"",ReferenceData!$AX$82),"")</f>
        <v>65447.625999999997</v>
      </c>
      <c r="AY82">
        <f ca="1">IFERROR(IF(0=LEN(ReferenceData!$AY$82),"",ReferenceData!$AY$82),"")</f>
        <v>61035.703000000001</v>
      </c>
      <c r="AZ82">
        <f ca="1">IFERROR(IF(0=LEN(ReferenceData!$AZ$82),"",ReferenceData!$AZ$82),"")</f>
        <v>69165.997000000003</v>
      </c>
      <c r="BA82">
        <f ca="1">IFERROR(IF(0=LEN(ReferenceData!$BA$82),"",ReferenceData!$BA$82),"")</f>
        <v>58047.186000000002</v>
      </c>
      <c r="BB82">
        <f ca="1">IFERROR(IF(0=LEN(ReferenceData!$BB$82),"",ReferenceData!$BB$82),"")</f>
        <v>58800.534</v>
      </c>
      <c r="BC82">
        <f ca="1">IFERROR(IF(0=LEN(ReferenceData!$BC$82),"",ReferenceData!$BC$82),"")</f>
        <v>59886.453999999998</v>
      </c>
      <c r="BD82">
        <f ca="1">IFERROR(IF(0=LEN(ReferenceData!$BD$82),"",ReferenceData!$BD$82),"")</f>
        <v>66081.092999999993</v>
      </c>
      <c r="BE82">
        <f ca="1">IFERROR(IF(0=LEN(ReferenceData!$BE$82),"",ReferenceData!$BE$82),"")</f>
        <v>36129.216999999997</v>
      </c>
      <c r="BF82">
        <f ca="1">IFERROR(IF(0=LEN(ReferenceData!$BF$82),"",ReferenceData!$BF$82),"")</f>
        <v>36201.298000000003</v>
      </c>
      <c r="BG82">
        <f ca="1">IFERROR(IF(0=LEN(ReferenceData!$BG$82),"",ReferenceData!$BG$82),"")</f>
        <v>36618.385999999999</v>
      </c>
      <c r="BH82">
        <f ca="1">IFERROR(IF(0=LEN(ReferenceData!$BH$82),"",ReferenceData!$BH$82),"")</f>
        <v>39974.303999999996</v>
      </c>
      <c r="BI82">
        <f ca="1">IFERROR(IF(0=LEN(ReferenceData!$BI$82),"",ReferenceData!$BI$82),"")</f>
        <v>36453.779000000002</v>
      </c>
      <c r="BJ82">
        <f ca="1">IFERROR(IF(0=LEN(ReferenceData!$BJ$82),"",ReferenceData!$BJ$82),"")</f>
        <v>37024.131999999998</v>
      </c>
      <c r="BK82">
        <f ca="1">IFERROR(IF(0=LEN(ReferenceData!$BK$82),"",ReferenceData!$BK$82),"")</f>
        <v>32942.995000000003</v>
      </c>
      <c r="BL82">
        <f ca="1">IFERROR(IF(0=LEN(ReferenceData!$BL$82),"",ReferenceData!$BL$82),"")</f>
        <v>33371.315999999999</v>
      </c>
      <c r="BM82" t="str">
        <f ca="1">IFERROR(IF(0=LEN(ReferenceData!$BM$82),"",ReferenceData!$BM$82),"")</f>
        <v/>
      </c>
    </row>
    <row r="83" spans="1:65" x14ac:dyDescent="0.25">
      <c r="A83" t="str">
        <f>IFERROR(IF(0=LEN(ReferenceData!$A$83),"",ReferenceData!$A$83),"")</f>
        <v xml:space="preserve">    Banco Santander SA</v>
      </c>
      <c r="B83" t="str">
        <f>IFERROR(IF(0=LEN(ReferenceData!$B$83),"",ReferenceData!$B$83),"")</f>
        <v>SAN SM Equity</v>
      </c>
      <c r="C83" t="str">
        <f>IFERROR(IF(0=LEN(ReferenceData!$C$83),"",ReferenceData!$C$83),"")</f>
        <v>BS017</v>
      </c>
      <c r="D83" t="str">
        <f>IFERROR(IF(0=LEN(ReferenceData!$D$83),"",ReferenceData!$D$83),"")</f>
        <v>BS_CONS_LOAN</v>
      </c>
      <c r="E83" t="str">
        <f>IFERROR(IF(0=LEN(ReferenceData!$E$83),"",ReferenceData!$E$83),"")</f>
        <v>Dynamic</v>
      </c>
      <c r="F83">
        <f ca="1">IFERROR(IF(0=LEN(ReferenceData!$F$83),"",ReferenceData!$F$83),"")</f>
        <v>878730</v>
      </c>
      <c r="G83">
        <f ca="1">IFERROR(IF(0=LEN(ReferenceData!$G$83),"",ReferenceData!$G$83),"")</f>
        <v>830698</v>
      </c>
      <c r="H83">
        <f ca="1">IFERROR(IF(0=LEN(ReferenceData!$H$83),"",ReferenceData!$H$83),"")</f>
        <v>886642</v>
      </c>
      <c r="I83">
        <f ca="1">IFERROR(IF(0=LEN(ReferenceData!$I$83),"",ReferenceData!$I$83),"")</f>
        <v>883060</v>
      </c>
      <c r="J83">
        <f ca="1">IFERROR(IF(0=LEN(ReferenceData!$J$83),"",ReferenceData!$J$83),"")</f>
        <v>874231</v>
      </c>
      <c r="K83">
        <f ca="1">IFERROR(IF(0=LEN(ReferenceData!$K$83),"",ReferenceData!$K$83),"")</f>
        <v>883232</v>
      </c>
      <c r="L83">
        <f ca="1">IFERROR(IF(0=LEN(ReferenceData!$L$83),"",ReferenceData!$L$83),"")</f>
        <v>884240</v>
      </c>
      <c r="M83">
        <f ca="1">IFERROR(IF(0=LEN(ReferenceData!$M$83),"",ReferenceData!$M$83),"")</f>
        <v>879113</v>
      </c>
      <c r="N83">
        <f ca="1">IFERROR(IF(0=LEN(ReferenceData!$N$83),"",ReferenceData!$N$83),"")</f>
        <v>878344</v>
      </c>
      <c r="O83">
        <f ca="1">IFERROR(IF(0=LEN(ReferenceData!$O$83),"",ReferenceData!$O$83),"")</f>
        <v>899669</v>
      </c>
      <c r="P83">
        <f ca="1">IFERROR(IF(0=LEN(ReferenceData!$P$83),"",ReferenceData!$P$83),"")</f>
        <v>873479</v>
      </c>
      <c r="Q83">
        <f ca="1">IFERROR(IF(0=LEN(ReferenceData!$Q$83),"",ReferenceData!$Q$83),"")</f>
        <v>864126</v>
      </c>
      <c r="R83">
        <f ca="1">IFERROR(IF(0=LEN(ReferenceData!$R$83),"",ReferenceData!$R$83),"")</f>
        <v>832327</v>
      </c>
      <c r="S83">
        <f ca="1">IFERROR(IF(0=LEN(ReferenceData!$S$83),"",ReferenceData!$S$83),"")</f>
        <v>820162</v>
      </c>
      <c r="T83">
        <f ca="1">IFERROR(IF(0=LEN(ReferenceData!$T$83),"",ReferenceData!$T$83),"")</f>
        <v>816845</v>
      </c>
      <c r="U83">
        <f ca="1">IFERROR(IF(0=LEN(ReferenceData!$U$83),"",ReferenceData!$U$83),"")</f>
        <v>809318</v>
      </c>
      <c r="V83">
        <f ca="1">IFERROR(IF(0=LEN(ReferenceData!$V$83),"",ReferenceData!$V$83),"")</f>
        <v>791664</v>
      </c>
      <c r="W83">
        <f ca="1">IFERROR(IF(0=LEN(ReferenceData!$W$83),"",ReferenceData!$W$83),"")</f>
        <v>727122</v>
      </c>
      <c r="X83">
        <f ca="1">IFERROR(IF(0=LEN(ReferenceData!$X$83),"",ReferenceData!$X$83),"")</f>
        <v>757683</v>
      </c>
      <c r="Y83">
        <f ca="1">IFERROR(IF(0=LEN(ReferenceData!$Y$83),"",ReferenceData!$Y$83),"")</f>
        <v>798014</v>
      </c>
      <c r="Z83">
        <f ca="1">IFERROR(IF(0=LEN(ReferenceData!$Z$83),"",ReferenceData!$Z$83),"")</f>
        <v>804959</v>
      </c>
      <c r="AA83">
        <f ca="1">IFERROR(IF(0=LEN(ReferenceData!$AA$83),"",ReferenceData!$AA$83),"")</f>
        <v>791141</v>
      </c>
      <c r="AB83">
        <f ca="1">IFERROR(IF(0=LEN(ReferenceData!$AB$83),"",ReferenceData!$AB$83),"")</f>
        <v>788366</v>
      </c>
      <c r="AC83">
        <f ca="1">IFERROR(IF(0=LEN(ReferenceData!$AC$83),"",ReferenceData!$AC$83),"")</f>
        <v>787600</v>
      </c>
      <c r="AD83">
        <f ca="1">IFERROR(IF(0=LEN(ReferenceData!$AD$83),"",ReferenceData!$AD$83),"")</f>
        <v>766847</v>
      </c>
      <c r="AE83">
        <f ca="1">IFERROR(IF(0=LEN(ReferenceData!$AE$83),"",ReferenceData!$AE$83),"")</f>
        <v>758584</v>
      </c>
      <c r="AF83">
        <f ca="1">IFERROR(IF(0=LEN(ReferenceData!$AF$83),"",ReferenceData!$AF$83),"")</f>
        <v>757694</v>
      </c>
      <c r="AG83">
        <f ca="1">IFERROR(IF(0=LEN(ReferenceData!$AG$83),"",ReferenceData!$AG$83),"")</f>
        <v>755092</v>
      </c>
      <c r="AH83">
        <f ca="1">IFERROR(IF(0=LEN(ReferenceData!$AH$83),"",ReferenceData!$AH$83),"")</f>
        <v>753186</v>
      </c>
      <c r="AI83">
        <f ca="1">IFERROR(IF(0=LEN(ReferenceData!$AI$83),"",ReferenceData!$AI$83),"")</f>
        <v>693316</v>
      </c>
      <c r="AJ83">
        <f ca="1">IFERROR(IF(0=LEN(ReferenceData!$AJ$83),"",ReferenceData!$AJ$83),"")</f>
        <v>692749</v>
      </c>
      <c r="AK83">
        <f ca="1">IFERROR(IF(0=LEN(ReferenceData!$AK$83),"",ReferenceData!$AK$83),"")</f>
        <v>712411</v>
      </c>
      <c r="AL83">
        <f ca="1">IFERROR(IF(0=LEN(ReferenceData!$AL$83),"",ReferenceData!$AL$83),"")</f>
        <v>705749</v>
      </c>
      <c r="AM83">
        <f ca="1">IFERROR(IF(0=LEN(ReferenceData!$AM$83),"",ReferenceData!$AM$83),"")</f>
        <v>471267</v>
      </c>
      <c r="AN83">
        <f ca="1">IFERROR(IF(0=LEN(ReferenceData!$AN$83),"",ReferenceData!$AN$83),"")</f>
        <v>469072</v>
      </c>
      <c r="AO83">
        <f ca="1">IFERROR(IF(0=LEN(ReferenceData!$AO$83),"",ReferenceData!$AO$83),"")</f>
        <v>482308</v>
      </c>
      <c r="AP83">
        <f ca="1">IFERROR(IF(0=LEN(ReferenceData!$AP$83),"",ReferenceData!$AP$83),"")</f>
        <v>478925</v>
      </c>
      <c r="AQ83" t="str">
        <f ca="1">IFERROR(IF(0=LEN(ReferenceData!$AQ$83),"",ReferenceData!$AQ$83),"")</f>
        <v/>
      </c>
      <c r="AR83" t="str">
        <f ca="1">IFERROR(IF(0=LEN(ReferenceData!$AR$83),"",ReferenceData!$AR$83),"")</f>
        <v/>
      </c>
      <c r="AS83" t="str">
        <f ca="1">IFERROR(IF(0=LEN(ReferenceData!$AS$83),"",ReferenceData!$AS$83),"")</f>
        <v/>
      </c>
      <c r="AT83">
        <f ca="1">IFERROR(IF(0=LEN(ReferenceData!$AT$83),"",ReferenceData!$AT$83),"")</f>
        <v>368463</v>
      </c>
      <c r="AU83" t="str">
        <f ca="1">IFERROR(IF(0=LEN(ReferenceData!$AU$83),"",ReferenceData!$AU$83),"")</f>
        <v/>
      </c>
      <c r="AV83" t="str">
        <f ca="1">IFERROR(IF(0=LEN(ReferenceData!$AV$83),"",ReferenceData!$AV$83),"")</f>
        <v/>
      </c>
      <c r="AW83" t="str">
        <f ca="1">IFERROR(IF(0=LEN(ReferenceData!$AW$83),"",ReferenceData!$AW$83),"")</f>
        <v/>
      </c>
      <c r="AX83">
        <f ca="1">IFERROR(IF(0=LEN(ReferenceData!$AX$83),"",ReferenceData!$AX$83),"")</f>
        <v>346587</v>
      </c>
      <c r="AY83" t="str">
        <f ca="1">IFERROR(IF(0=LEN(ReferenceData!$AY$83),"",ReferenceData!$AY$83),"")</f>
        <v/>
      </c>
      <c r="AZ83" t="str">
        <f ca="1">IFERROR(IF(0=LEN(ReferenceData!$AZ$83),"",ReferenceData!$AZ$83),"")</f>
        <v/>
      </c>
      <c r="BA83" t="str">
        <f ca="1">IFERROR(IF(0=LEN(ReferenceData!$BA$83),"",ReferenceData!$BA$83),"")</f>
        <v/>
      </c>
      <c r="BB83">
        <f ca="1">IFERROR(IF(0=LEN(ReferenceData!$BB$83),"",ReferenceData!$BB$83),"")</f>
        <v>367486</v>
      </c>
      <c r="BC83" t="str">
        <f ca="1">IFERROR(IF(0=LEN(ReferenceData!$BC$83),"",ReferenceData!$BC$83),"")</f>
        <v/>
      </c>
      <c r="BD83" t="str">
        <f ca="1">IFERROR(IF(0=LEN(ReferenceData!$BD$83),"",ReferenceData!$BD$83),"")</f>
        <v/>
      </c>
      <c r="BE83" t="str">
        <f ca="1">IFERROR(IF(0=LEN(ReferenceData!$BE$83),"",ReferenceData!$BE$83),"")</f>
        <v/>
      </c>
      <c r="BF83">
        <f ca="1">IFERROR(IF(0=LEN(ReferenceData!$BF$83),"",ReferenceData!$BF$83),"")</f>
        <v>378591</v>
      </c>
      <c r="BG83" t="str">
        <f ca="1">IFERROR(IF(0=LEN(ReferenceData!$BG$83),"",ReferenceData!$BG$83),"")</f>
        <v/>
      </c>
      <c r="BH83" t="str">
        <f ca="1">IFERROR(IF(0=LEN(ReferenceData!$BH$83),"",ReferenceData!$BH$83),"")</f>
        <v/>
      </c>
      <c r="BI83" t="str">
        <f ca="1">IFERROR(IF(0=LEN(ReferenceData!$BI$83),"",ReferenceData!$BI$83),"")</f>
        <v/>
      </c>
      <c r="BJ83">
        <f ca="1">IFERROR(IF(0=LEN(ReferenceData!$BJ$83),"",ReferenceData!$BJ$83),"")</f>
        <v>360340.03600000002</v>
      </c>
      <c r="BK83" t="str">
        <f ca="1">IFERROR(IF(0=LEN(ReferenceData!$BK$83),"",ReferenceData!$BK$83),"")</f>
        <v/>
      </c>
      <c r="BL83" t="str">
        <f ca="1">IFERROR(IF(0=LEN(ReferenceData!$BL$83),"",ReferenceData!$BL$83),"")</f>
        <v/>
      </c>
      <c r="BM83" t="str">
        <f ca="1">IFERROR(IF(0=LEN(ReferenceData!$BM$83),"",ReferenceData!$BM$83),"")</f>
        <v/>
      </c>
    </row>
    <row r="84" spans="1:65" x14ac:dyDescent="0.25">
      <c r="A84" t="str">
        <f>IFERROR(IF(0=LEN(ReferenceData!$A$84),"",ReferenceData!$A$84),"")</f>
        <v xml:space="preserve">    Barclays PLC</v>
      </c>
      <c r="B84" t="str">
        <f>IFERROR(IF(0=LEN(ReferenceData!$B$84),"",ReferenceData!$B$84),"")</f>
        <v>BARC LN Equity</v>
      </c>
      <c r="C84" t="str">
        <f>IFERROR(IF(0=LEN(ReferenceData!$C$84),"",ReferenceData!$C$84),"")</f>
        <v>BS017</v>
      </c>
      <c r="D84" t="str">
        <f>IFERROR(IF(0=LEN(ReferenceData!$D$84),"",ReferenceData!$D$84),"")</f>
        <v>BS_CONS_LOAN</v>
      </c>
      <c r="E84" t="str">
        <f>IFERROR(IF(0=LEN(ReferenceData!$E$84),"",ReferenceData!$E$84),"")</f>
        <v>Dynamic</v>
      </c>
      <c r="F84">
        <f ca="1">IFERROR(IF(0=LEN(ReferenceData!$F$84),"",ReferenceData!$F$84),"")</f>
        <v>319216.9596</v>
      </c>
      <c r="G84">
        <f ca="1">IFERROR(IF(0=LEN(ReferenceData!$G$84),"",ReferenceData!$G$84),"")</f>
        <v>257562.9252</v>
      </c>
      <c r="H84">
        <f ca="1">IFERROR(IF(0=LEN(ReferenceData!$H$84),"",ReferenceData!$H$84),"")</f>
        <v>241213.74859999999</v>
      </c>
      <c r="I84">
        <f ca="1">IFERROR(IF(0=LEN(ReferenceData!$I$84),"",ReferenceData!$I$84),"")</f>
        <v>255085.6539</v>
      </c>
      <c r="J84">
        <f ca="1">IFERROR(IF(0=LEN(ReferenceData!$J$84),"",ReferenceData!$J$84),"")</f>
        <v>295766.14439999999</v>
      </c>
      <c r="K84">
        <f ca="1">IFERROR(IF(0=LEN(ReferenceData!$K$84),"",ReferenceData!$K$84),"")</f>
        <v>246539.73740000001</v>
      </c>
      <c r="L84">
        <f ca="1">IFERROR(IF(0=LEN(ReferenceData!$L$84),"",ReferenceData!$L$84),"")</f>
        <v>247536.891</v>
      </c>
      <c r="M84">
        <f ca="1">IFERROR(IF(0=LEN(ReferenceData!$M$84),"",ReferenceData!$M$84),"")</f>
        <v>262123.19399999999</v>
      </c>
      <c r="N84">
        <f ca="1">IFERROR(IF(0=LEN(ReferenceData!$N$84),"",ReferenceData!$N$84),"")</f>
        <v>253828.71290000001</v>
      </c>
      <c r="O84">
        <f ca="1">IFERROR(IF(0=LEN(ReferenceData!$O$84),"",ReferenceData!$O$84),"")</f>
        <v>255559.12460000001</v>
      </c>
      <c r="P84">
        <f ca="1">IFERROR(IF(0=LEN(ReferenceData!$P$84),"",ReferenceData!$P$84),"")</f>
        <v>255595.0325</v>
      </c>
      <c r="Q84" t="str">
        <f ca="1">IFERROR(IF(0=LEN(ReferenceData!$Q$84),"",ReferenceData!$Q$84),"")</f>
        <v/>
      </c>
      <c r="R84">
        <f ca="1">IFERROR(IF(0=LEN(ReferenceData!$R$84),"",ReferenceData!$R$84),"")</f>
        <v>251303.32029999999</v>
      </c>
      <c r="S84">
        <f ca="1">IFERROR(IF(0=LEN(ReferenceData!$S$84),"",ReferenceData!$S$84),"")</f>
        <v>242968.08350000001</v>
      </c>
      <c r="T84">
        <f ca="1">IFERROR(IF(0=LEN(ReferenceData!$T$84),"",ReferenceData!$T$84),"")</f>
        <v>239165.4486</v>
      </c>
      <c r="U84" t="str">
        <f ca="1">IFERROR(IF(0=LEN(ReferenceData!$U$84),"",ReferenceData!$U$84),"")</f>
        <v/>
      </c>
      <c r="V84">
        <f ca="1">IFERROR(IF(0=LEN(ReferenceData!$V$84),"",ReferenceData!$V$84),"")</f>
        <v>224400.10709999999</v>
      </c>
      <c r="W84">
        <f ca="1">IFERROR(IF(0=LEN(ReferenceData!$W$84),"",ReferenceData!$W$84),"")</f>
        <v>221113.8168</v>
      </c>
      <c r="X84">
        <f ca="1">IFERROR(IF(0=LEN(ReferenceData!$X$84),"",ReferenceData!$X$84),"")</f>
        <v>222877.052</v>
      </c>
      <c r="Y84" t="str">
        <f ca="1">IFERROR(IF(0=LEN(ReferenceData!$Y$84),"",ReferenceData!$Y$84),"")</f>
        <v/>
      </c>
      <c r="Z84">
        <f ca="1">IFERROR(IF(0=LEN(ReferenceData!$Z$84),"",ReferenceData!$Z$84),"")</f>
        <v>247697.65719999999</v>
      </c>
      <c r="AA84">
        <f ca="1">IFERROR(IF(0=LEN(ReferenceData!$AA$84),"",ReferenceData!$AA$84),"")</f>
        <v>244299.67989999999</v>
      </c>
      <c r="AB84">
        <f ca="1">IFERROR(IF(0=LEN(ReferenceData!$AB$84),"",ReferenceData!$AB$84),"")</f>
        <v>240711.01370000001</v>
      </c>
      <c r="AC84" t="str">
        <f ca="1">IFERROR(IF(0=LEN(ReferenceData!$AC$84),"",ReferenceData!$AC$84),"")</f>
        <v/>
      </c>
      <c r="AD84">
        <f ca="1">IFERROR(IF(0=LEN(ReferenceData!$AD$84),"",ReferenceData!$AD$84),"")</f>
        <v>228811.40169999999</v>
      </c>
      <c r="AE84">
        <f ca="1">IFERROR(IF(0=LEN(ReferenceData!$AE$84),"",ReferenceData!$AE$84),"")</f>
        <v>236110.2838</v>
      </c>
      <c r="AF84">
        <f ca="1">IFERROR(IF(0=LEN(ReferenceData!$AF$84),"",ReferenceData!$AF$84),"")</f>
        <v>234977.9425</v>
      </c>
      <c r="AG84" t="str">
        <f ca="1">IFERROR(IF(0=LEN(ReferenceData!$AG$84),"",ReferenceData!$AG$84),"")</f>
        <v/>
      </c>
      <c r="AH84">
        <f ca="1">IFERROR(IF(0=LEN(ReferenceData!$AH$84),"",ReferenceData!$AH$84),"")</f>
        <v>226345.32260000001</v>
      </c>
      <c r="AI84" t="str">
        <f ca="1">IFERROR(IF(0=LEN(ReferenceData!$AI$84),"",ReferenceData!$AI$84),"")</f>
        <v/>
      </c>
      <c r="AJ84">
        <f ca="1">IFERROR(IF(0=LEN(ReferenceData!$AJ$84),"",ReferenceData!$AJ$84),"")</f>
        <v>226875.79569999999</v>
      </c>
      <c r="AK84" t="str">
        <f ca="1">IFERROR(IF(0=LEN(ReferenceData!$AK$84),"",ReferenceData!$AK$84),"")</f>
        <v/>
      </c>
      <c r="AL84">
        <f ca="1">IFERROR(IF(0=LEN(ReferenceData!$AL$84),"",ReferenceData!$AL$84),"")</f>
        <v>235844.86350000001</v>
      </c>
      <c r="AM84" t="str">
        <f ca="1">IFERROR(IF(0=LEN(ReferenceData!$AM$84),"",ReferenceData!$AM$84),"")</f>
        <v/>
      </c>
      <c r="AN84">
        <f ca="1">IFERROR(IF(0=LEN(ReferenceData!$AN$84),"",ReferenceData!$AN$84),"")</f>
        <v>237871.40719999999</v>
      </c>
      <c r="AO84" t="str">
        <f ca="1">IFERROR(IF(0=LEN(ReferenceData!$AO$84),"",ReferenceData!$AO$84),"")</f>
        <v/>
      </c>
      <c r="AP84">
        <f ca="1">IFERROR(IF(0=LEN(ReferenceData!$AP$84),"",ReferenceData!$AP$84),"")</f>
        <v>292924.01530000003</v>
      </c>
      <c r="AQ84" t="str">
        <f ca="1">IFERROR(IF(0=LEN(ReferenceData!$AQ$84),"",ReferenceData!$AQ$84),"")</f>
        <v/>
      </c>
      <c r="AR84">
        <f ca="1">IFERROR(IF(0=LEN(ReferenceData!$AR$84),"",ReferenceData!$AR$84),"")</f>
        <v>313706.20689999999</v>
      </c>
      <c r="AS84" t="str">
        <f ca="1">IFERROR(IF(0=LEN(ReferenceData!$AS$84),"",ReferenceData!$AS$84),"")</f>
        <v/>
      </c>
      <c r="AT84">
        <f ca="1">IFERROR(IF(0=LEN(ReferenceData!$AT$84),"",ReferenceData!$AT$84),"")</f>
        <v>290872.804</v>
      </c>
      <c r="AU84" t="str">
        <f ca="1">IFERROR(IF(0=LEN(ReferenceData!$AU$84),"",ReferenceData!$AU$84),"")</f>
        <v/>
      </c>
      <c r="AV84">
        <f ca="1">IFERROR(IF(0=LEN(ReferenceData!$AV$84),"",ReferenceData!$AV$84),"")</f>
        <v>292168.11949999997</v>
      </c>
      <c r="AW84" t="str">
        <f ca="1">IFERROR(IF(0=LEN(ReferenceData!$AW$84),"",ReferenceData!$AW$84),"")</f>
        <v/>
      </c>
      <c r="AX84">
        <f ca="1">IFERROR(IF(0=LEN(ReferenceData!$AX$84),"",ReferenceData!$AX$84),"")</f>
        <v>279013.77710000001</v>
      </c>
      <c r="AY84" t="str">
        <f ca="1">IFERROR(IF(0=LEN(ReferenceData!$AY$84),"",ReferenceData!$AY$84),"")</f>
        <v/>
      </c>
      <c r="AZ84">
        <f ca="1">IFERROR(IF(0=LEN(ReferenceData!$AZ$84),"",ReferenceData!$AZ$84),"")</f>
        <v>276519.95919999998</v>
      </c>
      <c r="BA84" t="str">
        <f ca="1">IFERROR(IF(0=LEN(ReferenceData!$BA$84),"",ReferenceData!$BA$84),"")</f>
        <v/>
      </c>
      <c r="BB84">
        <f ca="1">IFERROR(IF(0=LEN(ReferenceData!$BB$84),"",ReferenceData!$BB$84),"")</f>
        <v>280161.88500000001</v>
      </c>
      <c r="BC84" t="str">
        <f ca="1">IFERROR(IF(0=LEN(ReferenceData!$BC$84),"",ReferenceData!$BC$84),"")</f>
        <v/>
      </c>
      <c r="BD84">
        <f ca="1">IFERROR(IF(0=LEN(ReferenceData!$BD$84),"",ReferenceData!$BD$84),"")</f>
        <v>282175.59350000002</v>
      </c>
      <c r="BE84" t="str">
        <f ca="1">IFERROR(IF(0=LEN(ReferenceData!$BE$84),"",ReferenceData!$BE$84),"")</f>
        <v/>
      </c>
      <c r="BF84">
        <f ca="1">IFERROR(IF(0=LEN(ReferenceData!$BF$84),"",ReferenceData!$BF$84),"")</f>
        <v>264866.43560000003</v>
      </c>
      <c r="BG84" t="str">
        <f ca="1">IFERROR(IF(0=LEN(ReferenceData!$BG$84),"",ReferenceData!$BG$84),"")</f>
        <v/>
      </c>
      <c r="BH84">
        <f ca="1">IFERROR(IF(0=LEN(ReferenceData!$BH$84),"",ReferenceData!$BH$84),"")</f>
        <v>245302.45189999999</v>
      </c>
      <c r="BI84" t="str">
        <f ca="1">IFERROR(IF(0=LEN(ReferenceData!$BI$84),"",ReferenceData!$BI$84),"")</f>
        <v/>
      </c>
      <c r="BJ84">
        <f ca="1">IFERROR(IF(0=LEN(ReferenceData!$BJ$84),"",ReferenceData!$BJ$84),"")</f>
        <v>224555.42559999999</v>
      </c>
      <c r="BK84" t="str">
        <f ca="1">IFERROR(IF(0=LEN(ReferenceData!$BK$84),"",ReferenceData!$BK$84),"")</f>
        <v/>
      </c>
      <c r="BL84">
        <f ca="1">IFERROR(IF(0=LEN(ReferenceData!$BL$84),"",ReferenceData!$BL$84),"")</f>
        <v>265096.70110000001</v>
      </c>
      <c r="BM84" t="str">
        <f ca="1">IFERROR(IF(0=LEN(ReferenceData!$BM$84),"",ReferenceData!$BM$84),"")</f>
        <v/>
      </c>
    </row>
    <row r="85" spans="1:65" x14ac:dyDescent="0.25">
      <c r="A85" t="str">
        <f>IFERROR(IF(0=LEN(ReferenceData!$A$85),"",ReferenceData!$A$85),"")</f>
        <v xml:space="preserve">    BAWAG Group AG</v>
      </c>
      <c r="B85" t="str">
        <f>IFERROR(IF(0=LEN(ReferenceData!$B$85),"",ReferenceData!$B$85),"")</f>
        <v>BG AV Equity</v>
      </c>
      <c r="C85" t="str">
        <f>IFERROR(IF(0=LEN(ReferenceData!$C$85),"",ReferenceData!$C$85),"")</f>
        <v>BS017</v>
      </c>
      <c r="D85" t="str">
        <f>IFERROR(IF(0=LEN(ReferenceData!$D$85),"",ReferenceData!$D$85),"")</f>
        <v>BS_CONS_LOAN</v>
      </c>
      <c r="E85" t="str">
        <f>IFERROR(IF(0=LEN(ReferenceData!$E$85),"",ReferenceData!$E$85),"")</f>
        <v>Dynamic</v>
      </c>
      <c r="F85">
        <f ca="1">IFERROR(IF(0=LEN(ReferenceData!$F$85),"",ReferenceData!$F$85),"")</f>
        <v>43489</v>
      </c>
      <c r="G85" t="str">
        <f ca="1">IFERROR(IF(0=LEN(ReferenceData!$G$85),"",ReferenceData!$G$85),"")</f>
        <v/>
      </c>
      <c r="H85">
        <f ca="1">IFERROR(IF(0=LEN(ReferenceData!$H$85),"",ReferenceData!$H$85),"")</f>
        <v>31007</v>
      </c>
      <c r="I85" t="str">
        <f ca="1">IFERROR(IF(0=LEN(ReferenceData!$I$85),"",ReferenceData!$I$85),"")</f>
        <v/>
      </c>
      <c r="J85">
        <f ca="1">IFERROR(IF(0=LEN(ReferenceData!$J$85),"",ReferenceData!$J$85),"")</f>
        <v>32071</v>
      </c>
      <c r="K85" t="str">
        <f ca="1">IFERROR(IF(0=LEN(ReferenceData!$K$85),"",ReferenceData!$K$85),"")</f>
        <v/>
      </c>
      <c r="L85">
        <f ca="1">IFERROR(IF(0=LEN(ReferenceData!$L$85),"",ReferenceData!$L$85),"")</f>
        <v>33037</v>
      </c>
      <c r="M85" t="str">
        <f ca="1">IFERROR(IF(0=LEN(ReferenceData!$M$85),"",ReferenceData!$M$85),"")</f>
        <v/>
      </c>
      <c r="N85">
        <f ca="1">IFERROR(IF(0=LEN(ReferenceData!$N$85),"",ReferenceData!$N$85),"")</f>
        <v>34449</v>
      </c>
      <c r="O85" t="str">
        <f ca="1">IFERROR(IF(0=LEN(ReferenceData!$O$85),"",ReferenceData!$O$85),"")</f>
        <v/>
      </c>
      <c r="P85">
        <f ca="1">IFERROR(IF(0=LEN(ReferenceData!$P$85),"",ReferenceData!$P$85),"")</f>
        <v>35874</v>
      </c>
      <c r="Q85" t="str">
        <f ca="1">IFERROR(IF(0=LEN(ReferenceData!$Q$85),"",ReferenceData!$Q$85),"")</f>
        <v/>
      </c>
      <c r="R85">
        <f ca="1">IFERROR(IF(0=LEN(ReferenceData!$R$85),"",ReferenceData!$R$85),"")</f>
        <v>33596</v>
      </c>
      <c r="S85" t="str">
        <f ca="1">IFERROR(IF(0=LEN(ReferenceData!$S$85),"",ReferenceData!$S$85),"")</f>
        <v/>
      </c>
      <c r="T85" t="str">
        <f ca="1">IFERROR(IF(0=LEN(ReferenceData!$T$85),"",ReferenceData!$T$85),"")</f>
        <v/>
      </c>
      <c r="U85" t="str">
        <f ca="1">IFERROR(IF(0=LEN(ReferenceData!$U$85),"",ReferenceData!$U$85),"")</f>
        <v/>
      </c>
      <c r="V85">
        <f ca="1">IFERROR(IF(0=LEN(ReferenceData!$V$85),"",ReferenceData!$V$85),"")</f>
        <v>30654</v>
      </c>
      <c r="W85" t="str">
        <f ca="1">IFERROR(IF(0=LEN(ReferenceData!$W$85),"",ReferenceData!$W$85),"")</f>
        <v/>
      </c>
      <c r="X85" t="str">
        <f ca="1">IFERROR(IF(0=LEN(ReferenceData!$X$85),"",ReferenceData!$X$85),"")</f>
        <v/>
      </c>
      <c r="Y85" t="str">
        <f ca="1">IFERROR(IF(0=LEN(ReferenceData!$Y$85),"",ReferenceData!$Y$85),"")</f>
        <v/>
      </c>
      <c r="Z85" t="str">
        <f ca="1">IFERROR(IF(0=LEN(ReferenceData!$Z$85),"",ReferenceData!$Z$85),"")</f>
        <v/>
      </c>
      <c r="AA85" t="str">
        <f ca="1">IFERROR(IF(0=LEN(ReferenceData!$AA$85),"",ReferenceData!$AA$85),"")</f>
        <v/>
      </c>
      <c r="AB85" t="str">
        <f ca="1">IFERROR(IF(0=LEN(ReferenceData!$AB$85),"",ReferenceData!$AB$85),"")</f>
        <v/>
      </c>
      <c r="AC85" t="str">
        <f ca="1">IFERROR(IF(0=LEN(ReferenceData!$AC$85),"",ReferenceData!$AC$85),"")</f>
        <v/>
      </c>
      <c r="AD85" t="str">
        <f ca="1">IFERROR(IF(0=LEN(ReferenceData!$AD$85),"",ReferenceData!$AD$85),"")</f>
        <v/>
      </c>
      <c r="AE85" t="str">
        <f ca="1">IFERROR(IF(0=LEN(ReferenceData!$AE$85),"",ReferenceData!$AE$85),"")</f>
        <v/>
      </c>
      <c r="AF85" t="str">
        <f ca="1">IFERROR(IF(0=LEN(ReferenceData!$AF$85),"",ReferenceData!$AF$85),"")</f>
        <v/>
      </c>
      <c r="AG85" t="str">
        <f ca="1">IFERROR(IF(0=LEN(ReferenceData!$AG$85),"",ReferenceData!$AG$85),"")</f>
        <v/>
      </c>
      <c r="AH85" t="str">
        <f ca="1">IFERROR(IF(0=LEN(ReferenceData!$AH$85),"",ReferenceData!$AH$85),"")</f>
        <v/>
      </c>
      <c r="AI85" t="str">
        <f ca="1">IFERROR(IF(0=LEN(ReferenceData!$AI$85),"",ReferenceData!$AI$85),"")</f>
        <v/>
      </c>
      <c r="AJ85" t="str">
        <f ca="1">IFERROR(IF(0=LEN(ReferenceData!$AJ$85),"",ReferenceData!$AJ$85),"")</f>
        <v/>
      </c>
      <c r="AK85" t="str">
        <f ca="1">IFERROR(IF(0=LEN(ReferenceData!$AK$85),"",ReferenceData!$AK$85),"")</f>
        <v/>
      </c>
      <c r="AL85" t="str">
        <f ca="1">IFERROR(IF(0=LEN(ReferenceData!$AL$85),"",ReferenceData!$AL$85),"")</f>
        <v/>
      </c>
      <c r="AM85" t="str">
        <f ca="1">IFERROR(IF(0=LEN(ReferenceData!$AM$85),"",ReferenceData!$AM$85),"")</f>
        <v/>
      </c>
      <c r="AN85">
        <f ca="1">IFERROR(IF(0=LEN(ReferenceData!$AN$85),"",ReferenceData!$AN$85),"")</f>
        <v>1193</v>
      </c>
      <c r="AO85">
        <f ca="1">IFERROR(IF(0=LEN(ReferenceData!$AO$85),"",ReferenceData!$AO$85),"")</f>
        <v>1149</v>
      </c>
      <c r="AP85" t="str">
        <f ca="1">IFERROR(IF(0=LEN(ReferenceData!$AP$85),"",ReferenceData!$AP$85),"")</f>
        <v/>
      </c>
      <c r="AQ85" t="str">
        <f ca="1">IFERROR(IF(0=LEN(ReferenceData!$AQ$85),"",ReferenceData!$AQ$85),"")</f>
        <v/>
      </c>
      <c r="AR85" t="str">
        <f ca="1">IFERROR(IF(0=LEN(ReferenceData!$AR$85),"",ReferenceData!$AR$85),"")</f>
        <v/>
      </c>
      <c r="AS85" t="str">
        <f ca="1">IFERROR(IF(0=LEN(ReferenceData!$AS$85),"",ReferenceData!$AS$85),"")</f>
        <v/>
      </c>
      <c r="AT85" t="str">
        <f ca="1">IFERROR(IF(0=LEN(ReferenceData!$AT$85),"",ReferenceData!$AT$85),"")</f>
        <v/>
      </c>
      <c r="AU85" t="str">
        <f ca="1">IFERROR(IF(0=LEN(ReferenceData!$AU$85),"",ReferenceData!$AU$85),"")</f>
        <v/>
      </c>
      <c r="AV85" t="str">
        <f ca="1">IFERROR(IF(0=LEN(ReferenceData!$AV$85),"",ReferenceData!$AV$85),"")</f>
        <v/>
      </c>
      <c r="AW85" t="str">
        <f ca="1">IFERROR(IF(0=LEN(ReferenceData!$AW$85),"",ReferenceData!$AW$85),"")</f>
        <v/>
      </c>
      <c r="AX85" t="str">
        <f ca="1">IFERROR(IF(0=LEN(ReferenceData!$AX$85),"",ReferenceData!$AX$85),"")</f>
        <v/>
      </c>
      <c r="AY85" t="str">
        <f ca="1">IFERROR(IF(0=LEN(ReferenceData!$AY$85),"",ReferenceData!$AY$85),"")</f>
        <v/>
      </c>
      <c r="AZ85" t="str">
        <f ca="1">IFERROR(IF(0=LEN(ReferenceData!$AZ$85),"",ReferenceData!$AZ$85),"")</f>
        <v/>
      </c>
      <c r="BA85" t="str">
        <f ca="1">IFERROR(IF(0=LEN(ReferenceData!$BA$85),"",ReferenceData!$BA$85),"")</f>
        <v/>
      </c>
      <c r="BB85" t="str">
        <f ca="1">IFERROR(IF(0=LEN(ReferenceData!$BB$85),"",ReferenceData!$BB$85),"")</f>
        <v/>
      </c>
      <c r="BC85" t="str">
        <f ca="1">IFERROR(IF(0=LEN(ReferenceData!$BC$85),"",ReferenceData!$BC$85),"")</f>
        <v/>
      </c>
      <c r="BD85" t="str">
        <f ca="1">IFERROR(IF(0=LEN(ReferenceData!$BD$85),"",ReferenceData!$BD$85),"")</f>
        <v/>
      </c>
      <c r="BE85" t="str">
        <f ca="1">IFERROR(IF(0=LEN(ReferenceData!$BE$85),"",ReferenceData!$BE$85),"")</f>
        <v/>
      </c>
      <c r="BF85" t="str">
        <f ca="1">IFERROR(IF(0=LEN(ReferenceData!$BF$85),"",ReferenceData!$BF$85),"")</f>
        <v/>
      </c>
      <c r="BG85" t="str">
        <f ca="1">IFERROR(IF(0=LEN(ReferenceData!$BG$85),"",ReferenceData!$BG$85),"")</f>
        <v/>
      </c>
      <c r="BH85" t="str">
        <f ca="1">IFERROR(IF(0=LEN(ReferenceData!$BH$85),"",ReferenceData!$BH$85),"")</f>
        <v/>
      </c>
      <c r="BI85" t="str">
        <f ca="1">IFERROR(IF(0=LEN(ReferenceData!$BI$85),"",ReferenceData!$BI$85),"")</f>
        <v/>
      </c>
      <c r="BJ85" t="str">
        <f ca="1">IFERROR(IF(0=LEN(ReferenceData!$BJ$85),"",ReferenceData!$BJ$85),"")</f>
        <v/>
      </c>
      <c r="BK85" t="str">
        <f ca="1">IFERROR(IF(0=LEN(ReferenceData!$BK$85),"",ReferenceData!$BK$85),"")</f>
        <v/>
      </c>
      <c r="BL85" t="str">
        <f ca="1">IFERROR(IF(0=LEN(ReferenceData!$BL$85),"",ReferenceData!$BL$85),"")</f>
        <v/>
      </c>
      <c r="BM85" t="str">
        <f ca="1">IFERROR(IF(0=LEN(ReferenceData!$BM$85),"",ReferenceData!$BM$85),"")</f>
        <v/>
      </c>
    </row>
    <row r="86" spans="1:65" x14ac:dyDescent="0.25">
      <c r="A86" t="str">
        <f>IFERROR(IF(0=LEN(ReferenceData!$A$86),"",ReferenceData!$A$86),"")</f>
        <v xml:space="preserve">    BNP Paribas SA</v>
      </c>
      <c r="B86" t="str">
        <f>IFERROR(IF(0=LEN(ReferenceData!$B$86),"",ReferenceData!$B$86),"")</f>
        <v>BNP FP Equity</v>
      </c>
      <c r="C86" t="str">
        <f>IFERROR(IF(0=LEN(ReferenceData!$C$86),"",ReferenceData!$C$86),"")</f>
        <v>BS017</v>
      </c>
      <c r="D86" t="str">
        <f>IFERROR(IF(0=LEN(ReferenceData!$D$86),"",ReferenceData!$D$86),"")</f>
        <v>BS_CONS_LOAN</v>
      </c>
      <c r="E86" t="str">
        <f>IFERROR(IF(0=LEN(ReferenceData!$E$86),"",ReferenceData!$E$86),"")</f>
        <v>Dynamic</v>
      </c>
      <c r="F86">
        <f ca="1">IFERROR(IF(0=LEN(ReferenceData!$F$86),"",ReferenceData!$F$86),"")</f>
        <v>916560</v>
      </c>
      <c r="G86" t="str">
        <f ca="1">IFERROR(IF(0=LEN(ReferenceData!$G$86),"",ReferenceData!$G$86),"")</f>
        <v/>
      </c>
      <c r="H86">
        <f ca="1">IFERROR(IF(0=LEN(ReferenceData!$H$86),"",ReferenceData!$H$86),"")</f>
        <v>888804</v>
      </c>
      <c r="I86" t="str">
        <f ca="1">IFERROR(IF(0=LEN(ReferenceData!$I$86),"",ReferenceData!$I$86),"")</f>
        <v/>
      </c>
      <c r="J86">
        <f ca="1">IFERROR(IF(0=LEN(ReferenceData!$J$86),"",ReferenceData!$J$86),"")</f>
        <v>876213</v>
      </c>
      <c r="K86" t="str">
        <f ca="1">IFERROR(IF(0=LEN(ReferenceData!$K$86),"",ReferenceData!$K$86),"")</f>
        <v/>
      </c>
      <c r="L86">
        <f ca="1">IFERROR(IF(0=LEN(ReferenceData!$L$86),"",ReferenceData!$L$86),"")</f>
        <v>869971</v>
      </c>
      <c r="M86" t="str">
        <f ca="1">IFERROR(IF(0=LEN(ReferenceData!$M$86),"",ReferenceData!$M$86),"")</f>
        <v/>
      </c>
      <c r="N86">
        <f ca="1">IFERROR(IF(0=LEN(ReferenceData!$N$86),"",ReferenceData!$N$86),"")</f>
        <v>874508</v>
      </c>
      <c r="O86" t="str">
        <f ca="1">IFERROR(IF(0=LEN(ReferenceData!$O$86),"",ReferenceData!$O$86),"")</f>
        <v/>
      </c>
      <c r="P86">
        <f ca="1">IFERROR(IF(0=LEN(ReferenceData!$P$86),"",ReferenceData!$P$86),"")</f>
        <v>874320</v>
      </c>
      <c r="Q86" t="str">
        <f ca="1">IFERROR(IF(0=LEN(ReferenceData!$Q$86),"",ReferenceData!$Q$86),"")</f>
        <v/>
      </c>
      <c r="R86">
        <f ca="1">IFERROR(IF(0=LEN(ReferenceData!$R$86),"",ReferenceData!$R$86),"")</f>
        <v>833594</v>
      </c>
      <c r="S86" t="str">
        <f ca="1">IFERROR(IF(0=LEN(ReferenceData!$S$86),"",ReferenceData!$S$86),"")</f>
        <v/>
      </c>
      <c r="T86">
        <f ca="1">IFERROR(IF(0=LEN(ReferenceData!$T$86),"",ReferenceData!$T$86),"")</f>
        <v>846594</v>
      </c>
      <c r="U86" t="str">
        <f ca="1">IFERROR(IF(0=LEN(ReferenceData!$U$86),"",ReferenceData!$U$86),"")</f>
        <v/>
      </c>
      <c r="V86">
        <f ca="1">IFERROR(IF(0=LEN(ReferenceData!$V$86),"",ReferenceData!$V$86),"")</f>
        <v>829656</v>
      </c>
      <c r="W86" t="str">
        <f ca="1">IFERROR(IF(0=LEN(ReferenceData!$W$86),"",ReferenceData!$W$86),"")</f>
        <v/>
      </c>
      <c r="X86">
        <f ca="1">IFERROR(IF(0=LEN(ReferenceData!$X$86),"",ReferenceData!$X$86),"")</f>
        <v>849521</v>
      </c>
      <c r="Y86" t="str">
        <f ca="1">IFERROR(IF(0=LEN(ReferenceData!$Y$86),"",ReferenceData!$Y$86),"")</f>
        <v/>
      </c>
      <c r="Z86">
        <f ca="1">IFERROR(IF(0=LEN(ReferenceData!$Z$86),"",ReferenceData!$Z$86),"")</f>
        <v>825740</v>
      </c>
      <c r="AA86" t="str">
        <f ca="1">IFERROR(IF(0=LEN(ReferenceData!$AA$86),"",ReferenceData!$AA$86),"")</f>
        <v/>
      </c>
      <c r="AB86">
        <f ca="1">IFERROR(IF(0=LEN(ReferenceData!$AB$86),"",ReferenceData!$AB$86),"")</f>
        <v>813292</v>
      </c>
      <c r="AC86" t="str">
        <f ca="1">IFERROR(IF(0=LEN(ReferenceData!$AC$86),"",ReferenceData!$AC$86),"")</f>
        <v/>
      </c>
      <c r="AD86">
        <f ca="1">IFERROR(IF(0=LEN(ReferenceData!$AD$86),"",ReferenceData!$AD$86),"")</f>
        <v>789016</v>
      </c>
      <c r="AE86" t="str">
        <f ca="1">IFERROR(IF(0=LEN(ReferenceData!$AE$86),"",ReferenceData!$AE$86),"")</f>
        <v/>
      </c>
      <c r="AF86">
        <f ca="1">IFERROR(IF(0=LEN(ReferenceData!$AF$86),"",ReferenceData!$AF$86),"")</f>
        <v>773679</v>
      </c>
      <c r="AG86" t="str">
        <f ca="1">IFERROR(IF(0=LEN(ReferenceData!$AG$86),"",ReferenceData!$AG$86),"")</f>
        <v/>
      </c>
      <c r="AH86">
        <f ca="1">IFERROR(IF(0=LEN(ReferenceData!$AH$86),"",ReferenceData!$AH$86),"")</f>
        <v>757917</v>
      </c>
      <c r="AI86" t="str">
        <f ca="1">IFERROR(IF(0=LEN(ReferenceData!$AI$86),"",ReferenceData!$AI$86),"")</f>
        <v/>
      </c>
      <c r="AJ86">
        <f ca="1">IFERROR(IF(0=LEN(ReferenceData!$AJ$86),"",ReferenceData!$AJ$86),"")</f>
        <v>739148</v>
      </c>
      <c r="AK86" t="str">
        <f ca="1">IFERROR(IF(0=LEN(ReferenceData!$AK$86),"",ReferenceData!$AK$86),"")</f>
        <v/>
      </c>
      <c r="AL86" t="str">
        <f ca="1">IFERROR(IF(0=LEN(ReferenceData!$AL$86),"",ReferenceData!$AL$86),"")</f>
        <v/>
      </c>
      <c r="AM86" t="str">
        <f ca="1">IFERROR(IF(0=LEN(ReferenceData!$AM$86),"",ReferenceData!$AM$86),"")</f>
        <v/>
      </c>
      <c r="AN86">
        <f ca="1">IFERROR(IF(0=LEN(ReferenceData!$AN$86),"",ReferenceData!$AN$86),"")</f>
        <v>717488</v>
      </c>
      <c r="AO86" t="str">
        <f ca="1">IFERROR(IF(0=LEN(ReferenceData!$AO$86),"",ReferenceData!$AO$86),"")</f>
        <v/>
      </c>
      <c r="AP86">
        <f ca="1">IFERROR(IF(0=LEN(ReferenceData!$AP$86),"",ReferenceData!$AP$86),"")</f>
        <v>703243</v>
      </c>
      <c r="AQ86" t="str">
        <f ca="1">IFERROR(IF(0=LEN(ReferenceData!$AQ$86),"",ReferenceData!$AQ$86),"")</f>
        <v/>
      </c>
      <c r="AR86" t="str">
        <f ca="1">IFERROR(IF(0=LEN(ReferenceData!$AR$86),"",ReferenceData!$AR$86),"")</f>
        <v/>
      </c>
      <c r="AS86" t="str">
        <f ca="1">IFERROR(IF(0=LEN(ReferenceData!$AS$86),"",ReferenceData!$AS$86),"")</f>
        <v/>
      </c>
      <c r="AT86">
        <f ca="1">IFERROR(IF(0=LEN(ReferenceData!$AT$86),"",ReferenceData!$AT$86),"")</f>
        <v>681989</v>
      </c>
      <c r="AU86" t="str">
        <f ca="1">IFERROR(IF(0=LEN(ReferenceData!$AU$86),"",ReferenceData!$AU$86),"")</f>
        <v/>
      </c>
      <c r="AV86">
        <f ca="1">IFERROR(IF(0=LEN(ReferenceData!$AV$86),"",ReferenceData!$AV$86),"")</f>
        <v>643197</v>
      </c>
      <c r="AW86" t="str">
        <f ca="1">IFERROR(IF(0=LEN(ReferenceData!$AW$86),"",ReferenceData!$AW$86),"")</f>
        <v/>
      </c>
      <c r="AX86" t="str">
        <f ca="1">IFERROR(IF(0=LEN(ReferenceData!$AX$86),"",ReferenceData!$AX$86),"")</f>
        <v/>
      </c>
      <c r="AY86" t="str">
        <f ca="1">IFERROR(IF(0=LEN(ReferenceData!$AY$86),"",ReferenceData!$AY$86),"")</f>
        <v/>
      </c>
      <c r="AZ86" t="str">
        <f ca="1">IFERROR(IF(0=LEN(ReferenceData!$AZ$86),"",ReferenceData!$AZ$86),"")</f>
        <v/>
      </c>
      <c r="BA86" t="str">
        <f ca="1">IFERROR(IF(0=LEN(ReferenceData!$BA$86),"",ReferenceData!$BA$86),"")</f>
        <v/>
      </c>
      <c r="BB86" t="str">
        <f ca="1">IFERROR(IF(0=LEN(ReferenceData!$BB$86),"",ReferenceData!$BB$86),"")</f>
        <v/>
      </c>
      <c r="BC86" t="str">
        <f ca="1">IFERROR(IF(0=LEN(ReferenceData!$BC$86),"",ReferenceData!$BC$86),"")</f>
        <v/>
      </c>
      <c r="BD86" t="str">
        <f ca="1">IFERROR(IF(0=LEN(ReferenceData!$BD$86),"",ReferenceData!$BD$86),"")</f>
        <v/>
      </c>
      <c r="BE86" t="str">
        <f ca="1">IFERROR(IF(0=LEN(ReferenceData!$BE$86),"",ReferenceData!$BE$86),"")</f>
        <v/>
      </c>
      <c r="BF86" t="str">
        <f ca="1">IFERROR(IF(0=LEN(ReferenceData!$BF$86),"",ReferenceData!$BF$86),"")</f>
        <v/>
      </c>
      <c r="BG86" t="str">
        <f ca="1">IFERROR(IF(0=LEN(ReferenceData!$BG$86),"",ReferenceData!$BG$86),"")</f>
        <v/>
      </c>
      <c r="BH86" t="str">
        <f ca="1">IFERROR(IF(0=LEN(ReferenceData!$BH$86),"",ReferenceData!$BH$86),"")</f>
        <v/>
      </c>
      <c r="BI86" t="str">
        <f ca="1">IFERROR(IF(0=LEN(ReferenceData!$BI$86),"",ReferenceData!$BI$86),"")</f>
        <v/>
      </c>
      <c r="BJ86" t="str">
        <f ca="1">IFERROR(IF(0=LEN(ReferenceData!$BJ$86),"",ReferenceData!$BJ$86),"")</f>
        <v/>
      </c>
      <c r="BK86" t="str">
        <f ca="1">IFERROR(IF(0=LEN(ReferenceData!$BK$86),"",ReferenceData!$BK$86),"")</f>
        <v/>
      </c>
      <c r="BL86" t="str">
        <f ca="1">IFERROR(IF(0=LEN(ReferenceData!$BL$86),"",ReferenceData!$BL$86),"")</f>
        <v/>
      </c>
      <c r="BM86" t="str">
        <f ca="1">IFERROR(IF(0=LEN(ReferenceData!$BM$86),"",ReferenceData!$BM$86),"")</f>
        <v/>
      </c>
    </row>
    <row r="87" spans="1:65" x14ac:dyDescent="0.25">
      <c r="A87" t="str">
        <f>IFERROR(IF(0=LEN(ReferenceData!$A$87),"",ReferenceData!$A$87),"")</f>
        <v xml:space="preserve">    Banco BPM SpA</v>
      </c>
      <c r="B87" t="str">
        <f>IFERROR(IF(0=LEN(ReferenceData!$B$87),"",ReferenceData!$B$87),"")</f>
        <v>BAMI IM Equity</v>
      </c>
      <c r="C87" t="str">
        <f>IFERROR(IF(0=LEN(ReferenceData!$C$87),"",ReferenceData!$C$87),"")</f>
        <v>BS017</v>
      </c>
      <c r="D87" t="str">
        <f>IFERROR(IF(0=LEN(ReferenceData!$D$87),"",ReferenceData!$D$87),"")</f>
        <v>BS_CONS_LOAN</v>
      </c>
      <c r="E87" t="str">
        <f>IFERROR(IF(0=LEN(ReferenceData!$E$87),"",ReferenceData!$E$87),"")</f>
        <v>Dynamic</v>
      </c>
      <c r="F87" t="str">
        <f ca="1">IFERROR(IF(0=LEN(ReferenceData!$F$87),"",ReferenceData!$F$87),"")</f>
        <v/>
      </c>
      <c r="G87" t="str">
        <f ca="1">IFERROR(IF(0=LEN(ReferenceData!$G$87),"",ReferenceData!$G$87),"")</f>
        <v/>
      </c>
      <c r="H87">
        <f ca="1">IFERROR(IF(0=LEN(ReferenceData!$H$87),"",ReferenceData!$H$87),"")</f>
        <v>84949.145000000004</v>
      </c>
      <c r="I87" t="str">
        <f ca="1">IFERROR(IF(0=LEN(ReferenceData!$I$87),"",ReferenceData!$I$87),"")</f>
        <v/>
      </c>
      <c r="J87">
        <f ca="1">IFERROR(IF(0=LEN(ReferenceData!$J$87),"",ReferenceData!$J$87),"")</f>
        <v>86610</v>
      </c>
      <c r="K87" t="str">
        <f ca="1">IFERROR(IF(0=LEN(ReferenceData!$K$87),"",ReferenceData!$K$87),"")</f>
        <v/>
      </c>
      <c r="L87">
        <f ca="1">IFERROR(IF(0=LEN(ReferenceData!$L$87),"",ReferenceData!$L$87),"")</f>
        <v>90270.850999999995</v>
      </c>
      <c r="M87" t="str">
        <f ca="1">IFERROR(IF(0=LEN(ReferenceData!$M$87),"",ReferenceData!$M$87),"")</f>
        <v/>
      </c>
      <c r="N87">
        <f ca="1">IFERROR(IF(0=LEN(ReferenceData!$N$87),"",ReferenceData!$N$87),"")</f>
        <v>91559.573999999993</v>
      </c>
      <c r="O87" t="str">
        <f ca="1">IFERROR(IF(0=LEN(ReferenceData!$O$87),"",ReferenceData!$O$87),"")</f>
        <v/>
      </c>
      <c r="P87">
        <f ca="1">IFERROR(IF(0=LEN(ReferenceData!$P$87),"",ReferenceData!$P$87),"")</f>
        <v>92207.303</v>
      </c>
      <c r="Q87" t="str">
        <f ca="1">IFERROR(IF(0=LEN(ReferenceData!$Q$87),"",ReferenceData!$Q$87),"")</f>
        <v/>
      </c>
      <c r="R87">
        <f ca="1">IFERROR(IF(0=LEN(ReferenceData!$R$87),"",ReferenceData!$R$87),"")</f>
        <v>89179.028000000006</v>
      </c>
      <c r="S87" t="str">
        <f ca="1">IFERROR(IF(0=LEN(ReferenceData!$S$87),"",ReferenceData!$S$87),"")</f>
        <v/>
      </c>
      <c r="T87">
        <f ca="1">IFERROR(IF(0=LEN(ReferenceData!$T$87),"",ReferenceData!$T$87),"")</f>
        <v>88940.827000000005</v>
      </c>
      <c r="U87" t="str">
        <f ca="1">IFERROR(IF(0=LEN(ReferenceData!$U$87),"",ReferenceData!$U$87),"")</f>
        <v/>
      </c>
      <c r="V87">
        <f ca="1">IFERROR(IF(0=LEN(ReferenceData!$V$87),"",ReferenceData!$V$87),"")</f>
        <v>86822.320999999996</v>
      </c>
      <c r="W87" t="str">
        <f ca="1">IFERROR(IF(0=LEN(ReferenceData!$W$87),"",ReferenceData!$W$87),"")</f>
        <v/>
      </c>
      <c r="X87">
        <f ca="1">IFERROR(IF(0=LEN(ReferenceData!$X$87),"",ReferenceData!$X$87),"")</f>
        <v>82066.695999999996</v>
      </c>
      <c r="Y87" t="str">
        <f ca="1">IFERROR(IF(0=LEN(ReferenceData!$Y$87),"",ReferenceData!$Y$87),"")</f>
        <v/>
      </c>
      <c r="Z87">
        <f ca="1">IFERROR(IF(0=LEN(ReferenceData!$Z$87),"",ReferenceData!$Z$87),"")</f>
        <v>78707.923999999999</v>
      </c>
      <c r="AA87" t="str">
        <f ca="1">IFERROR(IF(0=LEN(ReferenceData!$AA$87),"",ReferenceData!$AA$87),"")</f>
        <v/>
      </c>
      <c r="AB87">
        <f ca="1">IFERROR(IF(0=LEN(ReferenceData!$AB$87),"",ReferenceData!$AB$87),"")</f>
        <v>76506.846000000005</v>
      </c>
      <c r="AC87" t="str">
        <f ca="1">IFERROR(IF(0=LEN(ReferenceData!$AC$87),"",ReferenceData!$AC$87),"")</f>
        <v/>
      </c>
      <c r="AD87">
        <f ca="1">IFERROR(IF(0=LEN(ReferenceData!$AD$87),"",ReferenceData!$AD$87),"")</f>
        <v>75819.822</v>
      </c>
      <c r="AE87" t="str">
        <f ca="1">IFERROR(IF(0=LEN(ReferenceData!$AE$87),"",ReferenceData!$AE$87),"")</f>
        <v/>
      </c>
      <c r="AF87">
        <f ca="1">IFERROR(IF(0=LEN(ReferenceData!$AF$87),"",ReferenceData!$AF$87),"")</f>
        <v>75106.342000000004</v>
      </c>
      <c r="AG87" t="str">
        <f ca="1">IFERROR(IF(0=LEN(ReferenceData!$AG$87),"",ReferenceData!$AG$87),"")</f>
        <v/>
      </c>
      <c r="AH87">
        <f ca="1">IFERROR(IF(0=LEN(ReferenceData!$AH$87),"",ReferenceData!$AH$87),"")</f>
        <v>78094.652000000002</v>
      </c>
      <c r="AI87" t="str">
        <f ca="1">IFERROR(IF(0=LEN(ReferenceData!$AI$87),"",ReferenceData!$AI$87),"")</f>
        <v/>
      </c>
      <c r="AJ87">
        <f ca="1">IFERROR(IF(0=LEN(ReferenceData!$AJ$87),"",ReferenceData!$AJ$87),"")</f>
        <v>73713.349000000002</v>
      </c>
      <c r="AK87" t="str">
        <f ca="1">IFERROR(IF(0=LEN(ReferenceData!$AK$87),"",ReferenceData!$AK$87),"")</f>
        <v/>
      </c>
      <c r="AL87" t="str">
        <f ca="1">IFERROR(IF(0=LEN(ReferenceData!$AL$87),"",ReferenceData!$AL$87),"")</f>
        <v/>
      </c>
      <c r="AM87" t="str">
        <f ca="1">IFERROR(IF(0=LEN(ReferenceData!$AM$87),"",ReferenceData!$AM$87),"")</f>
        <v/>
      </c>
      <c r="AN87">
        <f ca="1">IFERROR(IF(0=LEN(ReferenceData!$AN$87),"",ReferenceData!$AN$87),"")</f>
        <v>49482.906000000003</v>
      </c>
      <c r="AO87" t="str">
        <f ca="1">IFERROR(IF(0=LEN(ReferenceData!$AO$87),"",ReferenceData!$AO$87),"")</f>
        <v/>
      </c>
      <c r="AP87">
        <f ca="1">IFERROR(IF(0=LEN(ReferenceData!$AP$87),"",ReferenceData!$AP$87),"")</f>
        <v>49974.133999999998</v>
      </c>
      <c r="AQ87">
        <f ca="1">IFERROR(IF(0=LEN(ReferenceData!$AQ$87),"",ReferenceData!$AQ$87),"")</f>
        <v>50719.671999999999</v>
      </c>
      <c r="AR87">
        <f ca="1">IFERROR(IF(0=LEN(ReferenceData!$AR$87),"",ReferenceData!$AR$87),"")</f>
        <v>51440.141000000003</v>
      </c>
      <c r="AS87">
        <f ca="1">IFERROR(IF(0=LEN(ReferenceData!$AS$87),"",ReferenceData!$AS$87),"")</f>
        <v>51038.976000000002</v>
      </c>
      <c r="AT87">
        <f ca="1">IFERROR(IF(0=LEN(ReferenceData!$AT$87),"",ReferenceData!$AT$87),"")</f>
        <v>50205.669000000002</v>
      </c>
      <c r="AU87">
        <f ca="1">IFERROR(IF(0=LEN(ReferenceData!$AU$87),"",ReferenceData!$AU$87),"")</f>
        <v>52322.938000000002</v>
      </c>
      <c r="AV87">
        <f ca="1">IFERROR(IF(0=LEN(ReferenceData!$AV$87),"",ReferenceData!$AV$87),"")</f>
        <v>53614.652999999998</v>
      </c>
      <c r="AW87">
        <f ca="1">IFERROR(IF(0=LEN(ReferenceData!$AW$87),"",ReferenceData!$AW$87),"")</f>
        <v>54478.824999999997</v>
      </c>
      <c r="AX87">
        <f ca="1">IFERROR(IF(0=LEN(ReferenceData!$AX$87),"",ReferenceData!$AX$87),"")</f>
        <v>54559.659</v>
      </c>
      <c r="AY87">
        <f ca="1">IFERROR(IF(0=LEN(ReferenceData!$AY$87),"",ReferenceData!$AY$87),"")</f>
        <v>56020.805999999997</v>
      </c>
      <c r="AZ87">
        <f ca="1">IFERROR(IF(0=LEN(ReferenceData!$AZ$87),"",ReferenceData!$AZ$87),"")</f>
        <v>56771.413999999997</v>
      </c>
      <c r="BA87">
        <f ca="1">IFERROR(IF(0=LEN(ReferenceData!$BA$87),"",ReferenceData!$BA$87),"")</f>
        <v>57324.925000000003</v>
      </c>
      <c r="BB87">
        <f ca="1">IFERROR(IF(0=LEN(ReferenceData!$BB$87),"",ReferenceData!$BB$87),"")</f>
        <v>58253.516000000003</v>
      </c>
      <c r="BC87">
        <f ca="1">IFERROR(IF(0=LEN(ReferenceData!$BC$87),"",ReferenceData!$BC$87),"")</f>
        <v>58683.571000000004</v>
      </c>
      <c r="BD87">
        <f ca="1">IFERROR(IF(0=LEN(ReferenceData!$BD$87),"",ReferenceData!$BD$87),"")</f>
        <v>59829.540999999997</v>
      </c>
      <c r="BE87">
        <f ca="1">IFERROR(IF(0=LEN(ReferenceData!$BE$87),"",ReferenceData!$BE$87),"")</f>
        <v>60816.735999999997</v>
      </c>
      <c r="BF87">
        <f ca="1">IFERROR(IF(0=LEN(ReferenceData!$BF$87),"",ReferenceData!$BF$87),"")</f>
        <v>61901.678999999996</v>
      </c>
      <c r="BG87">
        <f ca="1">IFERROR(IF(0=LEN(ReferenceData!$BG$87),"",ReferenceData!$BG$87),"")</f>
        <v>63028.372000000003</v>
      </c>
      <c r="BH87">
        <f ca="1">IFERROR(IF(0=LEN(ReferenceData!$BH$87),"",ReferenceData!$BH$87),"")</f>
        <v>63959.446000000004</v>
      </c>
      <c r="BI87">
        <f ca="1">IFERROR(IF(0=LEN(ReferenceData!$BI$87),"",ReferenceData!$BI$87),"")</f>
        <v>63989.58</v>
      </c>
      <c r="BJ87">
        <f ca="1">IFERROR(IF(0=LEN(ReferenceData!$BJ$87),"",ReferenceData!$BJ$87),"")</f>
        <v>62395.552000000003</v>
      </c>
      <c r="BK87">
        <f ca="1">IFERROR(IF(0=LEN(ReferenceData!$BK$87),"",ReferenceData!$BK$87),"")</f>
        <v>62137.050999999999</v>
      </c>
      <c r="BL87">
        <f ca="1">IFERROR(IF(0=LEN(ReferenceData!$BL$87),"",ReferenceData!$BL$87),"")</f>
        <v>62373.406000000003</v>
      </c>
      <c r="BM87">
        <f ca="1">IFERROR(IF(0=LEN(ReferenceData!$BM$87),"",ReferenceData!$BM$87),"")</f>
        <v>60677.786</v>
      </c>
    </row>
    <row r="88" spans="1:65" x14ac:dyDescent="0.25">
      <c r="A88" t="str">
        <f>IFERROR(IF(0=LEN(ReferenceData!$A$88),"",ReferenceData!$A$88),"")</f>
        <v xml:space="preserve">    Banco Bilbao Vizcaya Argentaria SA</v>
      </c>
      <c r="B88" t="str">
        <f>IFERROR(IF(0=LEN(ReferenceData!$B$88),"",ReferenceData!$B$88),"")</f>
        <v>BBVA SM Equity</v>
      </c>
      <c r="C88" t="str">
        <f>IFERROR(IF(0=LEN(ReferenceData!$C$88),"",ReferenceData!$C$88),"")</f>
        <v>BS017</v>
      </c>
      <c r="D88" t="str">
        <f>IFERROR(IF(0=LEN(ReferenceData!$D$88),"",ReferenceData!$D$88),"")</f>
        <v>BS_CONS_LOAN</v>
      </c>
      <c r="E88" t="str">
        <f>IFERROR(IF(0=LEN(ReferenceData!$E$88),"",ReferenceData!$E$88),"")</f>
        <v>Dynamic</v>
      </c>
      <c r="F88">
        <f ca="1">IFERROR(IF(0=LEN(ReferenceData!$F$88),"",ReferenceData!$F$88),"")</f>
        <v>384431</v>
      </c>
      <c r="G88">
        <f ca="1">IFERROR(IF(0=LEN(ReferenceData!$G$88),"",ReferenceData!$G$88),"")</f>
        <v>158697</v>
      </c>
      <c r="H88">
        <f ca="1">IFERROR(IF(0=LEN(ReferenceData!$H$88),"",ReferenceData!$H$88),"")</f>
        <v>161807</v>
      </c>
      <c r="I88">
        <f ca="1">IFERROR(IF(0=LEN(ReferenceData!$I$88),"",ReferenceData!$I$88),"")</f>
        <v>161878</v>
      </c>
      <c r="J88">
        <f ca="1">IFERROR(IF(0=LEN(ReferenceData!$J$88),"",ReferenceData!$J$88),"")</f>
        <v>205562</v>
      </c>
      <c r="K88">
        <f ca="1">IFERROR(IF(0=LEN(ReferenceData!$K$88),"",ReferenceData!$K$88),"")</f>
        <v>153328</v>
      </c>
      <c r="L88">
        <f ca="1">IFERROR(IF(0=LEN(ReferenceData!$L$88),"",ReferenceData!$L$88),"")</f>
        <v>151247</v>
      </c>
      <c r="M88">
        <f ca="1">IFERROR(IF(0=LEN(ReferenceData!$M$88),"",ReferenceData!$M$88),"")</f>
        <v>148659</v>
      </c>
      <c r="N88">
        <f ca="1">IFERROR(IF(0=LEN(ReferenceData!$N$88),"",ReferenceData!$N$88),"")</f>
        <v>190528</v>
      </c>
      <c r="O88">
        <f ca="1">IFERROR(IF(0=LEN(ReferenceData!$O$88),"",ReferenceData!$O$88),"")</f>
        <v>146024</v>
      </c>
      <c r="P88">
        <f ca="1">IFERROR(IF(0=LEN(ReferenceData!$P$88),"",ReferenceData!$P$88),"")</f>
        <v>143125</v>
      </c>
      <c r="Q88">
        <f ca="1">IFERROR(IF(0=LEN(ReferenceData!$Q$88),"",ReferenceData!$Q$88),"")</f>
        <v>138769</v>
      </c>
      <c r="R88">
        <f ca="1">IFERROR(IF(0=LEN(ReferenceData!$R$88),"",ReferenceData!$R$88),"")</f>
        <v>175680</v>
      </c>
      <c r="S88">
        <f ca="1">IFERROR(IF(0=LEN(ReferenceData!$S$88),"",ReferenceData!$S$88),"")</f>
        <v>136628</v>
      </c>
      <c r="T88">
        <f ca="1">IFERROR(IF(0=LEN(ReferenceData!$T$88),"",ReferenceData!$T$88),"")</f>
        <v>134669</v>
      </c>
      <c r="U88">
        <f ca="1">IFERROR(IF(0=LEN(ReferenceData!$U$88),"",ReferenceData!$U$88),"")</f>
        <v>133241</v>
      </c>
      <c r="V88">
        <f ca="1">IFERROR(IF(0=LEN(ReferenceData!$V$88),"",ReferenceData!$V$88),"")</f>
        <v>175024</v>
      </c>
      <c r="W88">
        <f ca="1">IFERROR(IF(0=LEN(ReferenceData!$W$88),"",ReferenceData!$W$88),"")</f>
        <v>149749</v>
      </c>
      <c r="X88">
        <f ca="1">IFERROR(IF(0=LEN(ReferenceData!$X$88),"",ReferenceData!$X$88),"")</f>
        <v>153077</v>
      </c>
      <c r="Y88">
        <f ca="1">IFERROR(IF(0=LEN(ReferenceData!$Y$88),"",ReferenceData!$Y$88),"")</f>
        <v>134336</v>
      </c>
      <c r="Z88">
        <f ca="1">IFERROR(IF(0=LEN(ReferenceData!$Z$88),"",ReferenceData!$Z$88),"")</f>
        <v>212629</v>
      </c>
      <c r="AA88">
        <f ca="1">IFERROR(IF(0=LEN(ReferenceData!$AA$88),"",ReferenceData!$AA$88),"")</f>
        <v>160571</v>
      </c>
      <c r="AB88">
        <f ca="1">IFERROR(IF(0=LEN(ReferenceData!$AB$88),"",ReferenceData!$AB$88),"")</f>
        <v>161249</v>
      </c>
      <c r="AC88">
        <f ca="1">IFERROR(IF(0=LEN(ReferenceData!$AC$88),"",ReferenceData!$AC$88),"")</f>
        <v>161575</v>
      </c>
      <c r="AD88">
        <f ca="1">IFERROR(IF(0=LEN(ReferenceData!$AD$88),"",ReferenceData!$AD$88),"")</f>
        <v>159974</v>
      </c>
      <c r="AE88">
        <f ca="1">IFERROR(IF(0=LEN(ReferenceData!$AE$88),"",ReferenceData!$AE$88),"")</f>
        <v>169594</v>
      </c>
      <c r="AF88">
        <f ca="1">IFERROR(IF(0=LEN(ReferenceData!$AF$88),"",ReferenceData!$AF$88),"")</f>
        <v>153100</v>
      </c>
      <c r="AG88">
        <f ca="1">IFERROR(IF(0=LEN(ReferenceData!$AG$88),"",ReferenceData!$AG$88),"")</f>
        <v>137382</v>
      </c>
      <c r="AH88">
        <f ca="1">IFERROR(IF(0=LEN(ReferenceData!$AH$88),"",ReferenceData!$AH$88),"")</f>
        <v>159780</v>
      </c>
      <c r="AI88">
        <f ca="1">IFERROR(IF(0=LEN(ReferenceData!$AI$88),"",ReferenceData!$AI$88),"")</f>
        <v>169245</v>
      </c>
      <c r="AJ88">
        <f ca="1">IFERROR(IF(0=LEN(ReferenceData!$AJ$88),"",ReferenceData!$AJ$88),"")</f>
        <v>169948</v>
      </c>
      <c r="AK88">
        <f ca="1">IFERROR(IF(0=LEN(ReferenceData!$AK$88),"",ReferenceData!$AK$88),"")</f>
        <v>173167</v>
      </c>
      <c r="AL88">
        <f ca="1">IFERROR(IF(0=LEN(ReferenceData!$AL$88),"",ReferenceData!$AL$88),"")</f>
        <v>226549</v>
      </c>
      <c r="AM88">
        <f ca="1">IFERROR(IF(0=LEN(ReferenceData!$AM$88),"",ReferenceData!$AM$88),"")</f>
        <v>171775</v>
      </c>
      <c r="AN88">
        <f ca="1">IFERROR(IF(0=LEN(ReferenceData!$AN$88),"",ReferenceData!$AN$88),"")</f>
        <v>177350</v>
      </c>
      <c r="AO88">
        <f ca="1">IFERROR(IF(0=LEN(ReferenceData!$AO$88),"",ReferenceData!$AO$88),"")</f>
        <v>175462</v>
      </c>
      <c r="AP88">
        <f ca="1">IFERROR(IF(0=LEN(ReferenceData!$AP$88),"",ReferenceData!$AP$88),"")</f>
        <v>225636</v>
      </c>
      <c r="AQ88">
        <f ca="1">IFERROR(IF(0=LEN(ReferenceData!$AQ$88),"",ReferenceData!$AQ$88),"")</f>
        <v>177935</v>
      </c>
      <c r="AR88">
        <f ca="1">IFERROR(IF(0=LEN(ReferenceData!$AR$88),"",ReferenceData!$AR$88),"")</f>
        <v>181356</v>
      </c>
      <c r="AS88">
        <f ca="1">IFERROR(IF(0=LEN(ReferenceData!$AS$88),"",ReferenceData!$AS$88),"")</f>
        <v>160938</v>
      </c>
      <c r="AT88">
        <f ca="1">IFERROR(IF(0=LEN(ReferenceData!$AT$88),"",ReferenceData!$AT$88),"")</f>
        <v>157477</v>
      </c>
      <c r="AU88">
        <f ca="1">IFERROR(IF(0=LEN(ReferenceData!$AU$88),"",ReferenceData!$AU$88),"")</f>
        <v>162301</v>
      </c>
      <c r="AV88">
        <f ca="1">IFERROR(IF(0=LEN(ReferenceData!$AV$88),"",ReferenceData!$AV$88),"")</f>
        <v>167789</v>
      </c>
      <c r="AW88">
        <f ca="1">IFERROR(IF(0=LEN(ReferenceData!$AW$88),"",ReferenceData!$AW$88),"")</f>
        <v>168460</v>
      </c>
      <c r="AX88">
        <f ca="1">IFERROR(IF(0=LEN(ReferenceData!$AX$88),"",ReferenceData!$AX$88),"")</f>
        <v>149891</v>
      </c>
      <c r="AY88" t="str">
        <f ca="1">IFERROR(IF(0=LEN(ReferenceData!$AY$88),"",ReferenceData!$AY$88),"")</f>
        <v/>
      </c>
      <c r="AZ88">
        <f ca="1">IFERROR(IF(0=LEN(ReferenceData!$AZ$88),"",ReferenceData!$AZ$88),"")</f>
        <v>186513</v>
      </c>
      <c r="BA88">
        <f ca="1">IFERROR(IF(0=LEN(ReferenceData!$BA$88),"",ReferenceData!$BA$88),"")</f>
        <v>192543</v>
      </c>
      <c r="BB88">
        <f ca="1">IFERROR(IF(0=LEN(ReferenceData!$BB$88),"",ReferenceData!$BB$88),"")</f>
        <v>151243</v>
      </c>
      <c r="BC88" t="str">
        <f ca="1">IFERROR(IF(0=LEN(ReferenceData!$BC$88),"",ReferenceData!$BC$88),"")</f>
        <v/>
      </c>
      <c r="BD88" t="str">
        <f ca="1">IFERROR(IF(0=LEN(ReferenceData!$BD$88),"",ReferenceData!$BD$88),"")</f>
        <v/>
      </c>
      <c r="BE88" t="str">
        <f ca="1">IFERROR(IF(0=LEN(ReferenceData!$BE$88),"",ReferenceData!$BE$88),"")</f>
        <v/>
      </c>
      <c r="BF88">
        <f ca="1">IFERROR(IF(0=LEN(ReferenceData!$BF$88),"",ReferenceData!$BF$88),"")</f>
        <v>139063</v>
      </c>
      <c r="BG88" t="str">
        <f ca="1">IFERROR(IF(0=LEN(ReferenceData!$BG$88),"",ReferenceData!$BG$88),"")</f>
        <v/>
      </c>
      <c r="BH88" t="str">
        <f ca="1">IFERROR(IF(0=LEN(ReferenceData!$BH$88),"",ReferenceData!$BH$88),"")</f>
        <v/>
      </c>
      <c r="BI88" t="str">
        <f ca="1">IFERROR(IF(0=LEN(ReferenceData!$BI$88),"",ReferenceData!$BI$88),"")</f>
        <v/>
      </c>
      <c r="BJ88">
        <f ca="1">IFERROR(IF(0=LEN(ReferenceData!$BJ$88),"",ReferenceData!$BJ$88),"")</f>
        <v>135868</v>
      </c>
      <c r="BK88" t="str">
        <f ca="1">IFERROR(IF(0=LEN(ReferenceData!$BK$88),"",ReferenceData!$BK$88),"")</f>
        <v/>
      </c>
      <c r="BL88" t="str">
        <f ca="1">IFERROR(IF(0=LEN(ReferenceData!$BL$88),"",ReferenceData!$BL$88),"")</f>
        <v/>
      </c>
      <c r="BM88" t="str">
        <f ca="1">IFERROR(IF(0=LEN(ReferenceData!$BM$88),"",ReferenceData!$BM$88),"")</f>
        <v/>
      </c>
    </row>
    <row r="89" spans="1:65" x14ac:dyDescent="0.25">
      <c r="A89" t="str">
        <f>IFERROR(IF(0=LEN(ReferenceData!$A$89),"",ReferenceData!$A$89),"")</f>
        <v xml:space="preserve">    Bank of Ireland Group PLC</v>
      </c>
      <c r="B89" t="str">
        <f>IFERROR(IF(0=LEN(ReferenceData!$B$89),"",ReferenceData!$B$89),"")</f>
        <v>BIRG ID Equity</v>
      </c>
      <c r="C89" t="str">
        <f>IFERROR(IF(0=LEN(ReferenceData!$C$89),"",ReferenceData!$C$89),"")</f>
        <v>BS017</v>
      </c>
      <c r="D89" t="str">
        <f>IFERROR(IF(0=LEN(ReferenceData!$D$89),"",ReferenceData!$D$89),"")</f>
        <v>BS_CONS_LOAN</v>
      </c>
      <c r="E89" t="str">
        <f>IFERROR(IF(0=LEN(ReferenceData!$E$89),"",ReferenceData!$E$89),"")</f>
        <v>Dynamic</v>
      </c>
      <c r="F89" t="str">
        <f ca="1">IFERROR(IF(0=LEN(ReferenceData!$F$89),"",ReferenceData!$F$89),"")</f>
        <v/>
      </c>
      <c r="G89" t="str">
        <f ca="1">IFERROR(IF(0=LEN(ReferenceData!$G$89),"",ReferenceData!$G$89),"")</f>
        <v/>
      </c>
      <c r="H89" t="str">
        <f ca="1">IFERROR(IF(0=LEN(ReferenceData!$H$89),"",ReferenceData!$H$89),"")</f>
        <v/>
      </c>
      <c r="I89" t="str">
        <f ca="1">IFERROR(IF(0=LEN(ReferenceData!$I$89),"",ReferenceData!$I$89),"")</f>
        <v/>
      </c>
      <c r="J89" t="str">
        <f ca="1">IFERROR(IF(0=LEN(ReferenceData!$J$89),"",ReferenceData!$J$89),"")</f>
        <v/>
      </c>
      <c r="K89" t="str">
        <f ca="1">IFERROR(IF(0=LEN(ReferenceData!$K$89),"",ReferenceData!$K$89),"")</f>
        <v/>
      </c>
      <c r="L89" t="str">
        <f ca="1">IFERROR(IF(0=LEN(ReferenceData!$L$89),"",ReferenceData!$L$89),"")</f>
        <v/>
      </c>
      <c r="M89" t="str">
        <f ca="1">IFERROR(IF(0=LEN(ReferenceData!$M$89),"",ReferenceData!$M$89),"")</f>
        <v/>
      </c>
      <c r="N89" t="str">
        <f ca="1">IFERROR(IF(0=LEN(ReferenceData!$N$89),"",ReferenceData!$N$89),"")</f>
        <v/>
      </c>
      <c r="O89" t="str">
        <f ca="1">IFERROR(IF(0=LEN(ReferenceData!$O$89),"",ReferenceData!$O$89),"")</f>
        <v/>
      </c>
      <c r="P89" t="str">
        <f ca="1">IFERROR(IF(0=LEN(ReferenceData!$P$89),"",ReferenceData!$P$89),"")</f>
        <v/>
      </c>
      <c r="Q89" t="str">
        <f ca="1">IFERROR(IF(0=LEN(ReferenceData!$Q$89),"",ReferenceData!$Q$89),"")</f>
        <v/>
      </c>
      <c r="R89" t="str">
        <f ca="1">IFERROR(IF(0=LEN(ReferenceData!$R$89),"",ReferenceData!$R$89),"")</f>
        <v/>
      </c>
      <c r="S89" t="str">
        <f ca="1">IFERROR(IF(0=LEN(ReferenceData!$S$89),"",ReferenceData!$S$89),"")</f>
        <v/>
      </c>
      <c r="T89" t="str">
        <f ca="1">IFERROR(IF(0=LEN(ReferenceData!$T$89),"",ReferenceData!$T$89),"")</f>
        <v/>
      </c>
      <c r="U89" t="str">
        <f ca="1">IFERROR(IF(0=LEN(ReferenceData!$U$89),"",ReferenceData!$U$89),"")</f>
        <v/>
      </c>
      <c r="V89" t="str">
        <f ca="1">IFERROR(IF(0=LEN(ReferenceData!$V$89),"",ReferenceData!$V$89),"")</f>
        <v/>
      </c>
      <c r="W89" t="str">
        <f ca="1">IFERROR(IF(0=LEN(ReferenceData!$W$89),"",ReferenceData!$W$89),"")</f>
        <v/>
      </c>
      <c r="X89" t="str">
        <f ca="1">IFERROR(IF(0=LEN(ReferenceData!$X$89),"",ReferenceData!$X$89),"")</f>
        <v/>
      </c>
      <c r="Y89" t="str">
        <f ca="1">IFERROR(IF(0=LEN(ReferenceData!$Y$89),"",ReferenceData!$Y$89),"")</f>
        <v/>
      </c>
      <c r="Z89" t="str">
        <f ca="1">IFERROR(IF(0=LEN(ReferenceData!$Z$89),"",ReferenceData!$Z$89),"")</f>
        <v/>
      </c>
      <c r="AA89" t="str">
        <f ca="1">IFERROR(IF(0=LEN(ReferenceData!$AA$89),"",ReferenceData!$AA$89),"")</f>
        <v/>
      </c>
      <c r="AB89" t="str">
        <f ca="1">IFERROR(IF(0=LEN(ReferenceData!$AB$89),"",ReferenceData!$AB$89),"")</f>
        <v/>
      </c>
      <c r="AC89" t="str">
        <f ca="1">IFERROR(IF(0=LEN(ReferenceData!$AC$89),"",ReferenceData!$AC$89),"")</f>
        <v/>
      </c>
      <c r="AD89" t="str">
        <f ca="1">IFERROR(IF(0=LEN(ReferenceData!$AD$89),"",ReferenceData!$AD$89),"")</f>
        <v/>
      </c>
      <c r="AE89" t="str">
        <f ca="1">IFERROR(IF(0=LEN(ReferenceData!$AE$89),"",ReferenceData!$AE$89),"")</f>
        <v/>
      </c>
      <c r="AF89" t="str">
        <f ca="1">IFERROR(IF(0=LEN(ReferenceData!$AF$89),"",ReferenceData!$AF$89),"")</f>
        <v/>
      </c>
      <c r="AG89" t="str">
        <f ca="1">IFERROR(IF(0=LEN(ReferenceData!$AG$89),"",ReferenceData!$AG$89),"")</f>
        <v/>
      </c>
      <c r="AH89" t="str">
        <f ca="1">IFERROR(IF(0=LEN(ReferenceData!$AH$89),"",ReferenceData!$AH$89),"")</f>
        <v/>
      </c>
      <c r="AI89" t="str">
        <f ca="1">IFERROR(IF(0=LEN(ReferenceData!$AI$89),"",ReferenceData!$AI$89),"")</f>
        <v/>
      </c>
      <c r="AJ89" t="str">
        <f ca="1">IFERROR(IF(0=LEN(ReferenceData!$AJ$89),"",ReferenceData!$AJ$89),"")</f>
        <v/>
      </c>
      <c r="AK89" t="str">
        <f ca="1">IFERROR(IF(0=LEN(ReferenceData!$AK$89),"",ReferenceData!$AK$89),"")</f>
        <v/>
      </c>
      <c r="AL89" t="str">
        <f ca="1">IFERROR(IF(0=LEN(ReferenceData!$AL$89),"",ReferenceData!$AL$89),"")</f>
        <v/>
      </c>
      <c r="AM89" t="str">
        <f ca="1">IFERROR(IF(0=LEN(ReferenceData!$AM$89),"",ReferenceData!$AM$89),"")</f>
        <v/>
      </c>
      <c r="AN89" t="str">
        <f ca="1">IFERROR(IF(0=LEN(ReferenceData!$AN$89),"",ReferenceData!$AN$89),"")</f>
        <v/>
      </c>
      <c r="AO89" t="str">
        <f ca="1">IFERROR(IF(0=LEN(ReferenceData!$AO$89),"",ReferenceData!$AO$89),"")</f>
        <v/>
      </c>
      <c r="AP89" t="str">
        <f ca="1">IFERROR(IF(0=LEN(ReferenceData!$AP$89),"",ReferenceData!$AP$89),"")</f>
        <v/>
      </c>
      <c r="AQ89" t="str">
        <f ca="1">IFERROR(IF(0=LEN(ReferenceData!$AQ$89),"",ReferenceData!$AQ$89),"")</f>
        <v/>
      </c>
      <c r="AR89" t="str">
        <f ca="1">IFERROR(IF(0=LEN(ReferenceData!$AR$89),"",ReferenceData!$AR$89),"")</f>
        <v/>
      </c>
      <c r="AS89" t="str">
        <f ca="1">IFERROR(IF(0=LEN(ReferenceData!$AS$89),"",ReferenceData!$AS$89),"")</f>
        <v/>
      </c>
      <c r="AT89" t="str">
        <f ca="1">IFERROR(IF(0=LEN(ReferenceData!$AT$89),"",ReferenceData!$AT$89),"")</f>
        <v/>
      </c>
      <c r="AU89" t="str">
        <f ca="1">IFERROR(IF(0=LEN(ReferenceData!$AU$89),"",ReferenceData!$AU$89),"")</f>
        <v/>
      </c>
      <c r="AV89" t="str">
        <f ca="1">IFERROR(IF(0=LEN(ReferenceData!$AV$89),"",ReferenceData!$AV$89),"")</f>
        <v/>
      </c>
      <c r="AW89" t="str">
        <f ca="1">IFERROR(IF(0=LEN(ReferenceData!$AW$89),"",ReferenceData!$AW$89),"")</f>
        <v/>
      </c>
      <c r="AX89" t="str">
        <f ca="1">IFERROR(IF(0=LEN(ReferenceData!$AX$89),"",ReferenceData!$AX$89),"")</f>
        <v/>
      </c>
      <c r="AY89" t="str">
        <f ca="1">IFERROR(IF(0=LEN(ReferenceData!$AY$89),"",ReferenceData!$AY$89),"")</f>
        <v/>
      </c>
      <c r="AZ89" t="str">
        <f ca="1">IFERROR(IF(0=LEN(ReferenceData!$AZ$89),"",ReferenceData!$AZ$89),"")</f>
        <v/>
      </c>
      <c r="BA89" t="str">
        <f ca="1">IFERROR(IF(0=LEN(ReferenceData!$BA$89),"",ReferenceData!$BA$89),"")</f>
        <v/>
      </c>
      <c r="BB89" t="str">
        <f ca="1">IFERROR(IF(0=LEN(ReferenceData!$BB$89),"",ReferenceData!$BB$89),"")</f>
        <v/>
      </c>
      <c r="BC89" t="str">
        <f ca="1">IFERROR(IF(0=LEN(ReferenceData!$BC$89),"",ReferenceData!$BC$89),"")</f>
        <v/>
      </c>
      <c r="BD89" t="str">
        <f ca="1">IFERROR(IF(0=LEN(ReferenceData!$BD$89),"",ReferenceData!$BD$89),"")</f>
        <v/>
      </c>
      <c r="BE89" t="str">
        <f ca="1">IFERROR(IF(0=LEN(ReferenceData!$BE$89),"",ReferenceData!$BE$89),"")</f>
        <v/>
      </c>
      <c r="BF89" t="str">
        <f ca="1">IFERROR(IF(0=LEN(ReferenceData!$BF$89),"",ReferenceData!$BF$89),"")</f>
        <v/>
      </c>
      <c r="BG89" t="str">
        <f ca="1">IFERROR(IF(0=LEN(ReferenceData!$BG$89),"",ReferenceData!$BG$89),"")</f>
        <v/>
      </c>
      <c r="BH89" t="str">
        <f ca="1">IFERROR(IF(0=LEN(ReferenceData!$BH$89),"",ReferenceData!$BH$89),"")</f>
        <v/>
      </c>
      <c r="BI89" t="str">
        <f ca="1">IFERROR(IF(0=LEN(ReferenceData!$BI$89),"",ReferenceData!$BI$89),"")</f>
        <v/>
      </c>
      <c r="BJ89" t="str">
        <f ca="1">IFERROR(IF(0=LEN(ReferenceData!$BJ$89),"",ReferenceData!$BJ$89),"")</f>
        <v/>
      </c>
      <c r="BK89" t="str">
        <f ca="1">IFERROR(IF(0=LEN(ReferenceData!$BK$89),"",ReferenceData!$BK$89),"")</f>
        <v/>
      </c>
      <c r="BL89" t="str">
        <f ca="1">IFERROR(IF(0=LEN(ReferenceData!$BL$89),"",ReferenceData!$BL$89),"")</f>
        <v/>
      </c>
      <c r="BM89" t="str">
        <f ca="1">IFERROR(IF(0=LEN(ReferenceData!$BM$89),"",ReferenceData!$BM$89),"")</f>
        <v/>
      </c>
    </row>
    <row r="90" spans="1:65" x14ac:dyDescent="0.25">
      <c r="A90" t="str">
        <f>IFERROR(IF(0=LEN(ReferenceData!$A$90),"",ReferenceData!$A$90),"")</f>
        <v xml:space="preserve">    Bankinter SA</v>
      </c>
      <c r="B90" t="str">
        <f>IFERROR(IF(0=LEN(ReferenceData!$B$90),"",ReferenceData!$B$90),"")</f>
        <v>BKT SM Equity</v>
      </c>
      <c r="C90" t="str">
        <f>IFERROR(IF(0=LEN(ReferenceData!$C$90),"",ReferenceData!$C$90),"")</f>
        <v>BS017</v>
      </c>
      <c r="D90" t="str">
        <f>IFERROR(IF(0=LEN(ReferenceData!$D$90),"",ReferenceData!$D$90),"")</f>
        <v>BS_CONS_LOAN</v>
      </c>
      <c r="E90" t="str">
        <f>IFERROR(IF(0=LEN(ReferenceData!$E$90),"",ReferenceData!$E$90),"")</f>
        <v>Dynamic</v>
      </c>
      <c r="F90">
        <f ca="1">IFERROR(IF(0=LEN(ReferenceData!$F$90),"",ReferenceData!$F$90),"")</f>
        <v>58857.932000000001</v>
      </c>
      <c r="G90">
        <f ca="1">IFERROR(IF(0=LEN(ReferenceData!$G$90),"",ReferenceData!$G$90),"")</f>
        <v>57547.974000000002</v>
      </c>
      <c r="H90">
        <f ca="1">IFERROR(IF(0=LEN(ReferenceData!$H$90),"",ReferenceData!$H$90),"")</f>
        <v>57250.588000000003</v>
      </c>
      <c r="I90">
        <f ca="1">IFERROR(IF(0=LEN(ReferenceData!$I$90),"",ReferenceData!$I$90),"")</f>
        <v>56068.328999999998</v>
      </c>
      <c r="J90">
        <f ca="1">IFERROR(IF(0=LEN(ReferenceData!$J$90),"",ReferenceData!$J$90),"")</f>
        <v>43219.29</v>
      </c>
      <c r="K90">
        <f ca="1">IFERROR(IF(0=LEN(ReferenceData!$K$90),"",ReferenceData!$K$90),"")</f>
        <v>54771.262000000002</v>
      </c>
      <c r="L90">
        <f ca="1">IFERROR(IF(0=LEN(ReferenceData!$L$90),"",ReferenceData!$L$90),"")</f>
        <v>54846.351999999999</v>
      </c>
      <c r="M90">
        <f ca="1">IFERROR(IF(0=LEN(ReferenceData!$M$90),"",ReferenceData!$M$90),"")</f>
        <v>54247.400999999998</v>
      </c>
      <c r="N90">
        <f ca="1">IFERROR(IF(0=LEN(ReferenceData!$N$90),"",ReferenceData!$N$90),"")</f>
        <v>42224.108999999997</v>
      </c>
      <c r="O90">
        <f ca="1">IFERROR(IF(0=LEN(ReferenceData!$O$90),"",ReferenceData!$O$90),"")</f>
        <v>52797</v>
      </c>
      <c r="P90">
        <f ca="1">IFERROR(IF(0=LEN(ReferenceData!$P$90),"",ReferenceData!$P$90),"")</f>
        <v>52582.173999999999</v>
      </c>
      <c r="Q90">
        <f ca="1">IFERROR(IF(0=LEN(ReferenceData!$Q$90),"",ReferenceData!$Q$90),"")</f>
        <v>51550.817999999999</v>
      </c>
      <c r="R90">
        <f ca="1">IFERROR(IF(0=LEN(ReferenceData!$R$90),"",ReferenceData!$R$90),"")</f>
        <v>38963.892</v>
      </c>
      <c r="S90">
        <f ca="1">IFERROR(IF(0=LEN(ReferenceData!$S$90),"",ReferenceData!$S$90),"")</f>
        <v>49646.392999999996</v>
      </c>
      <c r="T90">
        <f ca="1">IFERROR(IF(0=LEN(ReferenceData!$T$90),"",ReferenceData!$T$90),"")</f>
        <v>49486.347000000002</v>
      </c>
      <c r="U90">
        <f ca="1">IFERROR(IF(0=LEN(ReferenceData!$U$90),"",ReferenceData!$U$90),"")</f>
        <v>48806.277000000002</v>
      </c>
      <c r="V90">
        <f ca="1">IFERROR(IF(0=LEN(ReferenceData!$V$90),"",ReferenceData!$V$90),"")</f>
        <v>36122.279000000002</v>
      </c>
      <c r="W90">
        <f ca="1">IFERROR(IF(0=LEN(ReferenceData!$W$90),"",ReferenceData!$W$90),"")</f>
        <v>47606.36</v>
      </c>
      <c r="X90">
        <f ca="1">IFERROR(IF(0=LEN(ReferenceData!$X$90),"",ReferenceData!$X$90),"")</f>
        <v>47523.099000000002</v>
      </c>
      <c r="Y90">
        <f ca="1">IFERROR(IF(0=LEN(ReferenceData!$Y$90),"",ReferenceData!$Y$90),"")</f>
        <v>43934.684999999998</v>
      </c>
      <c r="Z90">
        <f ca="1">IFERROR(IF(0=LEN(ReferenceData!$Z$90),"",ReferenceData!$Z$90),"")</f>
        <v>35494.807000000001</v>
      </c>
      <c r="AA90">
        <f ca="1">IFERROR(IF(0=LEN(ReferenceData!$AA$90),"",ReferenceData!$AA$90),"")</f>
        <v>42673.508000000002</v>
      </c>
      <c r="AB90">
        <f ca="1">IFERROR(IF(0=LEN(ReferenceData!$AB$90),"",ReferenceData!$AB$90),"")</f>
        <v>41872.561000000002</v>
      </c>
      <c r="AC90">
        <f ca="1">IFERROR(IF(0=LEN(ReferenceData!$AC$90),"",ReferenceData!$AC$90),"")</f>
        <v>39975.972999999998</v>
      </c>
      <c r="AD90">
        <f ca="1">IFERROR(IF(0=LEN(ReferenceData!$AD$90),"",ReferenceData!$AD$90),"")</f>
        <v>41587.021000000001</v>
      </c>
      <c r="AE90">
        <f ca="1">IFERROR(IF(0=LEN(ReferenceData!$AE$90),"",ReferenceData!$AE$90),"")</f>
        <v>39056.707000000002</v>
      </c>
      <c r="AF90">
        <f ca="1">IFERROR(IF(0=LEN(ReferenceData!$AF$90),"",ReferenceData!$AF$90),"")</f>
        <v>38928.252999999997</v>
      </c>
      <c r="AG90">
        <f ca="1">IFERROR(IF(0=LEN(ReferenceData!$AG$90),"",ReferenceData!$AG$90),"")</f>
        <v>38337.082000000002</v>
      </c>
      <c r="AH90">
        <f ca="1">IFERROR(IF(0=LEN(ReferenceData!$AH$90),"",ReferenceData!$AH$90),"")</f>
        <v>39775.760000000002</v>
      </c>
      <c r="AI90">
        <f ca="1">IFERROR(IF(0=LEN(ReferenceData!$AI$90),"",ReferenceData!$AI$90),"")</f>
        <v>37751.453000000001</v>
      </c>
      <c r="AJ90">
        <f ca="1">IFERROR(IF(0=LEN(ReferenceData!$AJ$90),"",ReferenceData!$AJ$90),"")</f>
        <v>37672.718999999997</v>
      </c>
      <c r="AK90">
        <f ca="1">IFERROR(IF(0=LEN(ReferenceData!$AK$90),"",ReferenceData!$AK$90),"")</f>
        <v>37632.394999999997</v>
      </c>
      <c r="AL90">
        <f ca="1">IFERROR(IF(0=LEN(ReferenceData!$AL$90),"",ReferenceData!$AL$90),"")</f>
        <v>39017.902999999998</v>
      </c>
      <c r="AM90">
        <f ca="1">IFERROR(IF(0=LEN(ReferenceData!$AM$90),"",ReferenceData!$AM$90),"")</f>
        <v>37370.953999999998</v>
      </c>
      <c r="AN90">
        <f ca="1">IFERROR(IF(0=LEN(ReferenceData!$AN$90),"",ReferenceData!$AN$90),"")</f>
        <v>37387.131000000001</v>
      </c>
      <c r="AO90">
        <f ca="1">IFERROR(IF(0=LEN(ReferenceData!$AO$90),"",ReferenceData!$AO$90),"")</f>
        <v>32440.958999999999</v>
      </c>
      <c r="AP90">
        <f ca="1">IFERROR(IF(0=LEN(ReferenceData!$AP$90),"",ReferenceData!$AP$90),"")</f>
        <v>27057.811000000002</v>
      </c>
      <c r="AQ90">
        <f ca="1">IFERROR(IF(0=LEN(ReferenceData!$AQ$90),"",ReferenceData!$AQ$90),"")</f>
        <v>32792.656000000003</v>
      </c>
      <c r="AR90">
        <f ca="1">IFERROR(IF(0=LEN(ReferenceData!$AR$90),"",ReferenceData!$AR$90),"")</f>
        <v>31584.697</v>
      </c>
      <c r="AS90">
        <f ca="1">IFERROR(IF(0=LEN(ReferenceData!$AS$90),"",ReferenceData!$AS$90),"")</f>
        <v>31436.537</v>
      </c>
      <c r="AT90">
        <f ca="1">IFERROR(IF(0=LEN(ReferenceData!$AT$90),"",ReferenceData!$AT$90),"")</f>
        <v>26621.56</v>
      </c>
      <c r="AU90">
        <f ca="1">IFERROR(IF(0=LEN(ReferenceData!$AU$90),"",ReferenceData!$AU$90),"")</f>
        <v>31510.721000000001</v>
      </c>
      <c r="AV90">
        <f ca="1">IFERROR(IF(0=LEN(ReferenceData!$AV$90),"",ReferenceData!$AV$90),"")</f>
        <v>29983.838</v>
      </c>
      <c r="AW90">
        <f ca="1">IFERROR(IF(0=LEN(ReferenceData!$AW$90),"",ReferenceData!$AW$90),"")</f>
        <v>29388.879000000001</v>
      </c>
      <c r="AX90">
        <f ca="1">IFERROR(IF(0=LEN(ReferenceData!$AX$90),"",ReferenceData!$AX$90),"")</f>
        <v>26291.585999999999</v>
      </c>
      <c r="AY90">
        <f ca="1">IFERROR(IF(0=LEN(ReferenceData!$AY$90),"",ReferenceData!$AY$90),"")</f>
        <v>30071.09</v>
      </c>
      <c r="AZ90">
        <f ca="1">IFERROR(IF(0=LEN(ReferenceData!$AZ$90),"",ReferenceData!$AZ$90),"")</f>
        <v>27569.749</v>
      </c>
      <c r="BA90">
        <f ca="1">IFERROR(IF(0=LEN(ReferenceData!$BA$90),"",ReferenceData!$BA$90),"")</f>
        <v>27751.511999999999</v>
      </c>
      <c r="BB90">
        <f ca="1">IFERROR(IF(0=LEN(ReferenceData!$BB$90),"",ReferenceData!$BB$90),"")</f>
        <v>28511.360000000001</v>
      </c>
      <c r="BC90">
        <f ca="1">IFERROR(IF(0=LEN(ReferenceData!$BC$90),"",ReferenceData!$BC$90),"")</f>
        <v>28307.025000000001</v>
      </c>
      <c r="BD90">
        <f ca="1">IFERROR(IF(0=LEN(ReferenceData!$BD$90),"",ReferenceData!$BD$90),"")</f>
        <v>28220.675999999999</v>
      </c>
      <c r="BE90">
        <f ca="1">IFERROR(IF(0=LEN(ReferenceData!$BE$90),"",ReferenceData!$BE$90),"")</f>
        <v>28363.109</v>
      </c>
      <c r="BF90">
        <f ca="1">IFERROR(IF(0=LEN(ReferenceData!$BF$90),"",ReferenceData!$BF$90),"")</f>
        <v>739.56200000000001</v>
      </c>
      <c r="BG90">
        <f ca="1">IFERROR(IF(0=LEN(ReferenceData!$BG$90),"",ReferenceData!$BG$90),"")</f>
        <v>29241.355</v>
      </c>
      <c r="BH90">
        <f ca="1">IFERROR(IF(0=LEN(ReferenceData!$BH$90),"",ReferenceData!$BH$90),"")</f>
        <v>29113.455999999998</v>
      </c>
      <c r="BI90">
        <f ca="1">IFERROR(IF(0=LEN(ReferenceData!$BI$90),"",ReferenceData!$BI$90),"")</f>
        <v>29256.573</v>
      </c>
      <c r="BJ90">
        <f ca="1">IFERROR(IF(0=LEN(ReferenceData!$BJ$90),"",ReferenceData!$BJ$90),"")</f>
        <v>31223.083999999999</v>
      </c>
      <c r="BK90">
        <f ca="1">IFERROR(IF(0=LEN(ReferenceData!$BK$90),"",ReferenceData!$BK$90),"")</f>
        <v>29951.109</v>
      </c>
      <c r="BL90">
        <f ca="1">IFERROR(IF(0=LEN(ReferenceData!$BL$90),"",ReferenceData!$BL$90),"")</f>
        <v>29915.382000000001</v>
      </c>
      <c r="BM90">
        <f ca="1">IFERROR(IF(0=LEN(ReferenceData!$BM$90),"",ReferenceData!$BM$90),"")</f>
        <v>28794.464</v>
      </c>
    </row>
    <row r="91" spans="1:65" x14ac:dyDescent="0.25">
      <c r="A91" t="str">
        <f>IFERROR(IF(0=LEN(ReferenceData!$A$91),"",ReferenceData!$A$91),"")</f>
        <v xml:space="preserve">    CaixaBank SA</v>
      </c>
      <c r="B91" t="str">
        <f>IFERROR(IF(0=LEN(ReferenceData!$B$91),"",ReferenceData!$B$91),"")</f>
        <v>CABK SM Equity</v>
      </c>
      <c r="C91" t="str">
        <f>IFERROR(IF(0=LEN(ReferenceData!$C$91),"",ReferenceData!$C$91),"")</f>
        <v>BS017</v>
      </c>
      <c r="D91" t="str">
        <f>IFERROR(IF(0=LEN(ReferenceData!$D$91),"",ReferenceData!$D$91),"")</f>
        <v>BS_CONS_LOAN</v>
      </c>
      <c r="E91" t="str">
        <f>IFERROR(IF(0=LEN(ReferenceData!$E$91),"",ReferenceData!$E$91),"")</f>
        <v>Dynamic</v>
      </c>
      <c r="F91">
        <f ca="1">IFERROR(IF(0=LEN(ReferenceData!$F$91),"",ReferenceData!$F$91),"")</f>
        <v>155207</v>
      </c>
      <c r="G91">
        <f ca="1">IFERROR(IF(0=LEN(ReferenceData!$G$91),"",ReferenceData!$G$91),"")</f>
        <v>154333</v>
      </c>
      <c r="H91">
        <f ca="1">IFERROR(IF(0=LEN(ReferenceData!$H$91),"",ReferenceData!$H$91),"")</f>
        <v>153363</v>
      </c>
      <c r="I91">
        <f ca="1">IFERROR(IF(0=LEN(ReferenceData!$I$91),"",ReferenceData!$I$91),"")</f>
        <v>152828</v>
      </c>
      <c r="J91">
        <f ca="1">IFERROR(IF(0=LEN(ReferenceData!$J$91),"",ReferenceData!$J$91),"")</f>
        <v>175808</v>
      </c>
      <c r="K91">
        <f ca="1">IFERROR(IF(0=LEN(ReferenceData!$K$91),"",ReferenceData!$K$91),"")</f>
        <v>153358</v>
      </c>
      <c r="L91">
        <f ca="1">IFERROR(IF(0=LEN(ReferenceData!$L$91),"",ReferenceData!$L$91),"")</f>
        <v>154981</v>
      </c>
      <c r="M91">
        <f ca="1">IFERROR(IF(0=LEN(ReferenceData!$M$91),"",ReferenceData!$M$91),"")</f>
        <v>156378</v>
      </c>
      <c r="N91">
        <f ca="1">IFERROR(IF(0=LEN(ReferenceData!$N$91),"",ReferenceData!$N$91),"")</f>
        <v>183867</v>
      </c>
      <c r="O91">
        <f ca="1">IFERROR(IF(0=LEN(ReferenceData!$O$91),"",ReferenceData!$O$91),"")</f>
        <v>159008</v>
      </c>
      <c r="P91">
        <f ca="1">IFERROR(IF(0=LEN(ReferenceData!$P$91),"",ReferenceData!$P$91),"")</f>
        <v>186128</v>
      </c>
      <c r="Q91">
        <f ca="1">IFERROR(IF(0=LEN(ReferenceData!$Q$91),"",ReferenceData!$Q$91),"")</f>
        <v>157491</v>
      </c>
      <c r="R91">
        <f ca="1">IFERROR(IF(0=LEN(ReferenceData!$R$91),"",ReferenceData!$R$91),"")</f>
        <v>184751</v>
      </c>
      <c r="S91">
        <f ca="1">IFERROR(IF(0=LEN(ReferenceData!$S$91),"",ReferenceData!$S$91),"")</f>
        <v>187177</v>
      </c>
      <c r="T91">
        <f ca="1">IFERROR(IF(0=LEN(ReferenceData!$T$91),"",ReferenceData!$T$91),"")</f>
        <v>192592</v>
      </c>
      <c r="U91">
        <f ca="1">IFERROR(IF(0=LEN(ReferenceData!$U$91),"",ReferenceData!$U$91),"")</f>
        <v>164322</v>
      </c>
      <c r="V91">
        <f ca="1">IFERROR(IF(0=LEN(ReferenceData!$V$91),"",ReferenceData!$V$91),"")</f>
        <v>120649</v>
      </c>
      <c r="W91">
        <f ca="1">IFERROR(IF(0=LEN(ReferenceData!$W$91),"",ReferenceData!$W$91),"")</f>
        <v>121757</v>
      </c>
      <c r="X91">
        <f ca="1">IFERROR(IF(0=LEN(ReferenceData!$X$91),"",ReferenceData!$X$91),"")</f>
        <v>124153</v>
      </c>
      <c r="Y91">
        <f ca="1">IFERROR(IF(0=LEN(ReferenceData!$Y$91),"",ReferenceData!$Y$91),"")</f>
        <v>102520</v>
      </c>
      <c r="Z91">
        <f ca="1">IFERROR(IF(0=LEN(ReferenceData!$Z$91),"",ReferenceData!$Z$91),"")</f>
        <v>124334</v>
      </c>
      <c r="AA91">
        <f ca="1">IFERROR(IF(0=LEN(ReferenceData!$AA$91),"",ReferenceData!$AA$91),"")</f>
        <v>125216</v>
      </c>
      <c r="AB91">
        <f ca="1">IFERROR(IF(0=LEN(ReferenceData!$AB$91),"",ReferenceData!$AB$91),"")</f>
        <v>104485</v>
      </c>
      <c r="AC91">
        <f ca="1">IFERROR(IF(0=LEN(ReferenceData!$AC$91),"",ReferenceData!$AC$91),"")</f>
        <v>104418</v>
      </c>
      <c r="AD91">
        <f ca="1">IFERROR(IF(0=LEN(ReferenceData!$AD$91),"",ReferenceData!$AD$91),"")</f>
        <v>127046</v>
      </c>
      <c r="AE91">
        <f ca="1">IFERROR(IF(0=LEN(ReferenceData!$AE$91),"",ReferenceData!$AE$91),"")</f>
        <v>92456</v>
      </c>
      <c r="AF91">
        <f ca="1">IFERROR(IF(0=LEN(ReferenceData!$AF$91),"",ReferenceData!$AF$91),"")</f>
        <v>104152</v>
      </c>
      <c r="AG91">
        <f ca="1">IFERROR(IF(0=LEN(ReferenceData!$AG$91),"",ReferenceData!$AG$91),"")</f>
        <v>104017</v>
      </c>
      <c r="AH91">
        <f ca="1">IFERROR(IF(0=LEN(ReferenceData!$AH$91),"",ReferenceData!$AH$91),"")</f>
        <v>128490</v>
      </c>
      <c r="AI91">
        <f ca="1">IFERROR(IF(0=LEN(ReferenceData!$AI$91),"",ReferenceData!$AI$91),"")</f>
        <v>129127</v>
      </c>
      <c r="AJ91">
        <f ca="1">IFERROR(IF(0=LEN(ReferenceData!$AJ$91),"",ReferenceData!$AJ$91),"")</f>
        <v>131293</v>
      </c>
      <c r="AK91">
        <f ca="1">IFERROR(IF(0=LEN(ReferenceData!$AK$91),"",ReferenceData!$AK$91),"")</f>
        <v>96786</v>
      </c>
      <c r="AL91">
        <f ca="1">IFERROR(IF(0=LEN(ReferenceData!$AL$91),"",ReferenceData!$AL$91),"")</f>
        <v>86405</v>
      </c>
      <c r="AM91">
        <f ca="1">IFERROR(IF(0=LEN(ReferenceData!$AM$91),"",ReferenceData!$AM$91),"")</f>
        <v>87483</v>
      </c>
      <c r="AN91">
        <f ca="1">IFERROR(IF(0=LEN(ReferenceData!$AN$91),"",ReferenceData!$AN$91),"")</f>
        <v>88221</v>
      </c>
      <c r="AO91">
        <f ca="1">IFERROR(IF(0=LEN(ReferenceData!$AO$91),"",ReferenceData!$AO$91),"")</f>
        <v>88651</v>
      </c>
      <c r="AP91">
        <f ca="1">IFERROR(IF(0=LEN(ReferenceData!$AP$91),"",ReferenceData!$AP$91),"")</f>
        <v>89378</v>
      </c>
      <c r="AQ91">
        <f ca="1">IFERROR(IF(0=LEN(ReferenceData!$AQ$91),"",ReferenceData!$AQ$91),"")</f>
        <v>90505</v>
      </c>
      <c r="AR91">
        <f ca="1">IFERROR(IF(0=LEN(ReferenceData!$AR$91),"",ReferenceData!$AR$91),"")</f>
        <v>91465</v>
      </c>
      <c r="AS91">
        <f ca="1">IFERROR(IF(0=LEN(ReferenceData!$AS$91),"",ReferenceData!$AS$91),"")</f>
        <v>92741</v>
      </c>
      <c r="AT91">
        <f ca="1">IFERROR(IF(0=LEN(ReferenceData!$AT$91),"",ReferenceData!$AT$91),"")</f>
        <v>80421</v>
      </c>
      <c r="AU91">
        <f ca="1">IFERROR(IF(0=LEN(ReferenceData!$AU$91),"",ReferenceData!$AU$91),"")</f>
        <v>84518</v>
      </c>
      <c r="AV91">
        <f ca="1">IFERROR(IF(0=LEN(ReferenceData!$AV$91),"",ReferenceData!$AV$91),"")</f>
        <v>85493</v>
      </c>
      <c r="AW91">
        <f ca="1">IFERROR(IF(0=LEN(ReferenceData!$AW$91),"",ReferenceData!$AW$91),"")</f>
        <v>86440</v>
      </c>
      <c r="AX91">
        <f ca="1">IFERROR(IF(0=LEN(ReferenceData!$AX$91),"",ReferenceData!$AX$91),"")</f>
        <v>84412</v>
      </c>
      <c r="AY91">
        <f ca="1">IFERROR(IF(0=LEN(ReferenceData!$AY$91),"",ReferenceData!$AY$91),"")</f>
        <v>88832</v>
      </c>
      <c r="AZ91">
        <f ca="1">IFERROR(IF(0=LEN(ReferenceData!$AZ$91),"",ReferenceData!$AZ$91),"")</f>
        <v>90321</v>
      </c>
      <c r="BA91">
        <f ca="1">IFERROR(IF(0=LEN(ReferenceData!$BA$91),"",ReferenceData!$BA$91),"")</f>
        <v>91640</v>
      </c>
      <c r="BB91">
        <f ca="1">IFERROR(IF(0=LEN(ReferenceData!$BB$91),"",ReferenceData!$BB$91),"")</f>
        <v>87720</v>
      </c>
      <c r="BC91">
        <f ca="1">IFERROR(IF(0=LEN(ReferenceData!$BC$91),"",ReferenceData!$BC$91),"")</f>
        <v>90467</v>
      </c>
      <c r="BD91">
        <f ca="1">IFERROR(IF(0=LEN(ReferenceData!$BD$91),"",ReferenceData!$BD$91),"")</f>
        <v>68700</v>
      </c>
      <c r="BE91">
        <f ca="1">IFERROR(IF(0=LEN(ReferenceData!$BE$91),"",ReferenceData!$BE$91),"")</f>
        <v>69136</v>
      </c>
      <c r="BF91">
        <f ca="1">IFERROR(IF(0=LEN(ReferenceData!$BF$91),"",ReferenceData!$BF$91),"")</f>
        <v>69705</v>
      </c>
      <c r="BG91">
        <f ca="1">IFERROR(IF(0=LEN(ReferenceData!$BG$91),"",ReferenceData!$BG$91),"")</f>
        <v>69931</v>
      </c>
      <c r="BH91">
        <f ca="1">IFERROR(IF(0=LEN(ReferenceData!$BH$91),"",ReferenceData!$BH$91),"")</f>
        <v>70032</v>
      </c>
      <c r="BI91">
        <f ca="1">IFERROR(IF(0=LEN(ReferenceData!$BI$91),"",ReferenceData!$BI$91),"")</f>
        <v>69946</v>
      </c>
      <c r="BJ91">
        <f ca="1">IFERROR(IF(0=LEN(ReferenceData!$BJ$91),"",ReferenceData!$BJ$91),"")</f>
        <v>70054</v>
      </c>
      <c r="BK91">
        <f ca="1">IFERROR(IF(0=LEN(ReferenceData!$BK$91),"",ReferenceData!$BK$91),"")</f>
        <v>67543</v>
      </c>
      <c r="BL91">
        <f ca="1">IFERROR(IF(0=LEN(ReferenceData!$BL$91),"",ReferenceData!$BL$91),"")</f>
        <v>67655</v>
      </c>
      <c r="BM91">
        <f ca="1">IFERROR(IF(0=LEN(ReferenceData!$BM$91),"",ReferenceData!$BM$91),"")</f>
        <v>67061</v>
      </c>
    </row>
    <row r="92" spans="1:65" x14ac:dyDescent="0.25">
      <c r="A92" t="str">
        <f>IFERROR(IF(0=LEN(ReferenceData!$A$92),"",ReferenceData!$A$92),"")</f>
        <v xml:space="preserve">    Commerzbank AG</v>
      </c>
      <c r="B92" t="str">
        <f>IFERROR(IF(0=LEN(ReferenceData!$B$92),"",ReferenceData!$B$92),"")</f>
        <v>CBK GR Equity</v>
      </c>
      <c r="C92" t="str">
        <f>IFERROR(IF(0=LEN(ReferenceData!$C$92),"",ReferenceData!$C$92),"")</f>
        <v>BS017</v>
      </c>
      <c r="D92" t="str">
        <f>IFERROR(IF(0=LEN(ReferenceData!$D$92),"",ReferenceData!$D$92),"")</f>
        <v>BS_CONS_LOAN</v>
      </c>
      <c r="E92" t="str">
        <f>IFERROR(IF(0=LEN(ReferenceData!$E$92),"",ReferenceData!$E$92),"")</f>
        <v>Dynamic</v>
      </c>
      <c r="F92" t="str">
        <f ca="1">IFERROR(IF(0=LEN(ReferenceData!$F$92),"",ReferenceData!$F$92),"")</f>
        <v/>
      </c>
      <c r="G92" t="str">
        <f ca="1">IFERROR(IF(0=LEN(ReferenceData!$G$92),"",ReferenceData!$G$92),"")</f>
        <v/>
      </c>
      <c r="H92" t="str">
        <f ca="1">IFERROR(IF(0=LEN(ReferenceData!$H$92),"",ReferenceData!$H$92),"")</f>
        <v/>
      </c>
      <c r="I92" t="str">
        <f ca="1">IFERROR(IF(0=LEN(ReferenceData!$I$92),"",ReferenceData!$I$92),"")</f>
        <v/>
      </c>
      <c r="J92">
        <f ca="1">IFERROR(IF(0=LEN(ReferenceData!$J$92),"",ReferenceData!$J$92),"")</f>
        <v>129736</v>
      </c>
      <c r="K92" t="str">
        <f ca="1">IFERROR(IF(0=LEN(ReferenceData!$K$92),"",ReferenceData!$K$92),"")</f>
        <v/>
      </c>
      <c r="L92" t="str">
        <f ca="1">IFERROR(IF(0=LEN(ReferenceData!$L$92),"",ReferenceData!$L$92),"")</f>
        <v/>
      </c>
      <c r="M92" t="str">
        <f ca="1">IFERROR(IF(0=LEN(ReferenceData!$M$92),"",ReferenceData!$M$92),"")</f>
        <v/>
      </c>
      <c r="N92">
        <f ca="1">IFERROR(IF(0=LEN(ReferenceData!$N$92),"",ReferenceData!$N$92),"")</f>
        <v>129249</v>
      </c>
      <c r="O92" t="str">
        <f ca="1">IFERROR(IF(0=LEN(ReferenceData!$O$92),"",ReferenceData!$O$92),"")</f>
        <v/>
      </c>
      <c r="P92" t="str">
        <f ca="1">IFERROR(IF(0=LEN(ReferenceData!$P$92),"",ReferenceData!$P$92),"")</f>
        <v/>
      </c>
      <c r="Q92" t="str">
        <f ca="1">IFERROR(IF(0=LEN(ReferenceData!$Q$92),"",ReferenceData!$Q$92),"")</f>
        <v/>
      </c>
      <c r="R92">
        <f ca="1">IFERROR(IF(0=LEN(ReferenceData!$R$92),"",ReferenceData!$R$92),"")</f>
        <v>126781</v>
      </c>
      <c r="S92" t="str">
        <f ca="1">IFERROR(IF(0=LEN(ReferenceData!$S$92),"",ReferenceData!$S$92),"")</f>
        <v/>
      </c>
      <c r="T92">
        <f ca="1">IFERROR(IF(0=LEN(ReferenceData!$T$92),"",ReferenceData!$T$92),"")</f>
        <v>122093</v>
      </c>
      <c r="U92" t="str">
        <f ca="1">IFERROR(IF(0=LEN(ReferenceData!$U$92),"",ReferenceData!$U$92),"")</f>
        <v/>
      </c>
      <c r="V92">
        <f ca="1">IFERROR(IF(0=LEN(ReferenceData!$V$92),"",ReferenceData!$V$92),"")</f>
        <v>117906</v>
      </c>
      <c r="W92">
        <f ca="1">IFERROR(IF(0=LEN(ReferenceData!$W$92),"",ReferenceData!$W$92),"")</f>
        <v>115102</v>
      </c>
      <c r="X92">
        <f ca="1">IFERROR(IF(0=LEN(ReferenceData!$X$92),"",ReferenceData!$X$92),"")</f>
        <v>112788</v>
      </c>
      <c r="Y92">
        <f ca="1">IFERROR(IF(0=LEN(ReferenceData!$Y$92),"",ReferenceData!$Y$92),"")</f>
        <v>111303</v>
      </c>
      <c r="Z92">
        <f ca="1">IFERROR(IF(0=LEN(ReferenceData!$Z$92),"",ReferenceData!$Z$92),"")</f>
        <v>109706</v>
      </c>
      <c r="AA92">
        <f ca="1">IFERROR(IF(0=LEN(ReferenceData!$AA$92),"",ReferenceData!$AA$92),"")</f>
        <v>107535</v>
      </c>
      <c r="AB92">
        <f ca="1">IFERROR(IF(0=LEN(ReferenceData!$AB$92),"",ReferenceData!$AB$92),"")</f>
        <v>105455</v>
      </c>
      <c r="AC92">
        <f ca="1">IFERROR(IF(0=LEN(ReferenceData!$AC$92),"",ReferenceData!$AC$92),"")</f>
        <v>103326</v>
      </c>
      <c r="AD92">
        <f ca="1">IFERROR(IF(0=LEN(ReferenceData!$AD$92),"",ReferenceData!$AD$92),"")</f>
        <v>100902</v>
      </c>
      <c r="AE92">
        <f ca="1">IFERROR(IF(0=LEN(ReferenceData!$AE$92),"",ReferenceData!$AE$92),"")</f>
        <v>98652</v>
      </c>
      <c r="AF92">
        <f ca="1">IFERROR(IF(0=LEN(ReferenceData!$AF$92),"",ReferenceData!$AF$92),"")</f>
        <v>96357</v>
      </c>
      <c r="AG92">
        <f ca="1">IFERROR(IF(0=LEN(ReferenceData!$AG$92),"",ReferenceData!$AG$92),"")</f>
        <v>94816</v>
      </c>
      <c r="AH92">
        <f ca="1">IFERROR(IF(0=LEN(ReferenceData!$AH$92),"",ReferenceData!$AH$92),"")</f>
        <v>93476</v>
      </c>
      <c r="AI92" t="str">
        <f ca="1">IFERROR(IF(0=LEN(ReferenceData!$AI$92),"",ReferenceData!$AI$92),"")</f>
        <v/>
      </c>
      <c r="AJ92" t="str">
        <f ca="1">IFERROR(IF(0=LEN(ReferenceData!$AJ$92),"",ReferenceData!$AJ$92),"")</f>
        <v/>
      </c>
      <c r="AK92" t="str">
        <f ca="1">IFERROR(IF(0=LEN(ReferenceData!$AK$92),"",ReferenceData!$AK$92),"")</f>
        <v/>
      </c>
      <c r="AL92">
        <f ca="1">IFERROR(IF(0=LEN(ReferenceData!$AL$92),"",ReferenceData!$AL$92),"")</f>
        <v>82636</v>
      </c>
      <c r="AM92" t="str">
        <f ca="1">IFERROR(IF(0=LEN(ReferenceData!$AM$92),"",ReferenceData!$AM$92),"")</f>
        <v/>
      </c>
      <c r="AN92" t="str">
        <f ca="1">IFERROR(IF(0=LEN(ReferenceData!$AN$92),"",ReferenceData!$AN$92),"")</f>
        <v/>
      </c>
      <c r="AO92">
        <f ca="1">IFERROR(IF(0=LEN(ReferenceData!$AO$92),"",ReferenceData!$AO$92),"")</f>
        <v>25325</v>
      </c>
      <c r="AP92">
        <f ca="1">IFERROR(IF(0=LEN(ReferenceData!$AP$92),"",ReferenceData!$AP$92),"")</f>
        <v>67091</v>
      </c>
      <c r="AQ92">
        <f ca="1">IFERROR(IF(0=LEN(ReferenceData!$AQ$92),"",ReferenceData!$AQ$92),"")</f>
        <v>28295</v>
      </c>
      <c r="AR92">
        <f ca="1">IFERROR(IF(0=LEN(ReferenceData!$AR$92),"",ReferenceData!$AR$92),"")</f>
        <v>28087</v>
      </c>
      <c r="AS92">
        <f ca="1">IFERROR(IF(0=LEN(ReferenceData!$AS$92),"",ReferenceData!$AS$92),"")</f>
        <v>29876</v>
      </c>
      <c r="AT92">
        <f ca="1">IFERROR(IF(0=LEN(ReferenceData!$AT$92),"",ReferenceData!$AT$92),"")</f>
        <v>64189</v>
      </c>
      <c r="AU92">
        <f ca="1">IFERROR(IF(0=LEN(ReferenceData!$AU$92),"",ReferenceData!$AU$92),"")</f>
        <v>29360</v>
      </c>
      <c r="AV92">
        <f ca="1">IFERROR(IF(0=LEN(ReferenceData!$AV$92),"",ReferenceData!$AV$92),"")</f>
        <v>29773</v>
      </c>
      <c r="AW92">
        <f ca="1">IFERROR(IF(0=LEN(ReferenceData!$AW$92),"",ReferenceData!$AW$92),"")</f>
        <v>30461</v>
      </c>
      <c r="AX92">
        <f ca="1">IFERROR(IF(0=LEN(ReferenceData!$AX$92),"",ReferenceData!$AX$92),"")</f>
        <v>62740</v>
      </c>
      <c r="AY92">
        <f ca="1">IFERROR(IF(0=LEN(ReferenceData!$AY$92),"",ReferenceData!$AY$92),"")</f>
        <v>30003</v>
      </c>
      <c r="AZ92">
        <f ca="1">IFERROR(IF(0=LEN(ReferenceData!$AZ$92),"",ReferenceData!$AZ$92),"")</f>
        <v>39416</v>
      </c>
      <c r="BA92">
        <f ca="1">IFERROR(IF(0=LEN(ReferenceData!$BA$92),"",ReferenceData!$BA$92),"")</f>
        <v>31409</v>
      </c>
      <c r="BB92">
        <f ca="1">IFERROR(IF(0=LEN(ReferenceData!$BB$92),"",ReferenceData!$BB$92),"")</f>
        <v>63907</v>
      </c>
      <c r="BC92">
        <f ca="1">IFERROR(IF(0=LEN(ReferenceData!$BC$92),"",ReferenceData!$BC$92),"")</f>
        <v>33487</v>
      </c>
      <c r="BD92">
        <f ca="1">IFERROR(IF(0=LEN(ReferenceData!$BD$92),"",ReferenceData!$BD$92),"")</f>
        <v>28549</v>
      </c>
      <c r="BE92">
        <f ca="1">IFERROR(IF(0=LEN(ReferenceData!$BE$92),"",ReferenceData!$BE$92),"")</f>
        <v>27539</v>
      </c>
      <c r="BF92">
        <f ca="1">IFERROR(IF(0=LEN(ReferenceData!$BF$92),"",ReferenceData!$BF$92),"")</f>
        <v>68062</v>
      </c>
      <c r="BG92">
        <f ca="1">IFERROR(IF(0=LEN(ReferenceData!$BG$92),"",ReferenceData!$BG$92),"")</f>
        <v>28662</v>
      </c>
      <c r="BH92">
        <f ca="1">IFERROR(IF(0=LEN(ReferenceData!$BH$92),"",ReferenceData!$BH$92),"")</f>
        <v>28975</v>
      </c>
      <c r="BI92">
        <f ca="1">IFERROR(IF(0=LEN(ReferenceData!$BI$92),"",ReferenceData!$BI$92),"")</f>
        <v>21303</v>
      </c>
      <c r="BJ92" t="str">
        <f ca="1">IFERROR(IF(0=LEN(ReferenceData!$BJ$92),"",ReferenceData!$BJ$92),"")</f>
        <v/>
      </c>
      <c r="BK92">
        <f ca="1">IFERROR(IF(0=LEN(ReferenceData!$BK$92),"",ReferenceData!$BK$92),"")</f>
        <v>24890</v>
      </c>
      <c r="BL92">
        <f ca="1">IFERROR(IF(0=LEN(ReferenceData!$BL$92),"",ReferenceData!$BL$92),"")</f>
        <v>27785</v>
      </c>
      <c r="BM92">
        <f ca="1">IFERROR(IF(0=LEN(ReferenceData!$BM$92),"",ReferenceData!$BM$92),"")</f>
        <v>23589</v>
      </c>
    </row>
    <row r="93" spans="1:65" x14ac:dyDescent="0.25">
      <c r="A93" t="str">
        <f>IFERROR(IF(0=LEN(ReferenceData!$A$93),"",ReferenceData!$A$93),"")</f>
        <v xml:space="preserve">    Credit Agricole SA</v>
      </c>
      <c r="B93" t="str">
        <f>IFERROR(IF(0=LEN(ReferenceData!$B$93),"",ReferenceData!$B$93),"")</f>
        <v>ACA FP Equity</v>
      </c>
      <c r="C93" t="str">
        <f>IFERROR(IF(0=LEN(ReferenceData!$C$93),"",ReferenceData!$C$93),"")</f>
        <v>BS017</v>
      </c>
      <c r="D93" t="str">
        <f>IFERROR(IF(0=LEN(ReferenceData!$D$93),"",ReferenceData!$D$93),"")</f>
        <v>BS_CONS_LOAN</v>
      </c>
      <c r="E93" t="str">
        <f>IFERROR(IF(0=LEN(ReferenceData!$E$93),"",ReferenceData!$E$93),"")</f>
        <v>Dynamic</v>
      </c>
      <c r="F93">
        <f ca="1">IFERROR(IF(0=LEN(ReferenceData!$F$93),"",ReferenceData!$F$93),"")</f>
        <v>504624</v>
      </c>
      <c r="G93" t="str">
        <f ca="1">IFERROR(IF(0=LEN(ReferenceData!$G$93),"",ReferenceData!$G$93),"")</f>
        <v/>
      </c>
      <c r="H93">
        <f ca="1">IFERROR(IF(0=LEN(ReferenceData!$H$93),"",ReferenceData!$H$93),"")</f>
        <v>484483</v>
      </c>
      <c r="I93" t="str">
        <f ca="1">IFERROR(IF(0=LEN(ReferenceData!$I$93),"",ReferenceData!$I$93),"")</f>
        <v/>
      </c>
      <c r="J93">
        <f ca="1">IFERROR(IF(0=LEN(ReferenceData!$J$93),"",ReferenceData!$J$93),"")</f>
        <v>476688</v>
      </c>
      <c r="K93" t="str">
        <f ca="1">IFERROR(IF(0=LEN(ReferenceData!$K$93),"",ReferenceData!$K$93),"")</f>
        <v/>
      </c>
      <c r="L93">
        <f ca="1">IFERROR(IF(0=LEN(ReferenceData!$L$93),"",ReferenceData!$L$93),"")</f>
        <v>473020</v>
      </c>
      <c r="M93" t="str">
        <f ca="1">IFERROR(IF(0=LEN(ReferenceData!$M$93),"",ReferenceData!$M$93),"")</f>
        <v/>
      </c>
      <c r="N93">
        <f ca="1">IFERROR(IF(0=LEN(ReferenceData!$N$93),"",ReferenceData!$N$93),"")</f>
        <v>457346</v>
      </c>
      <c r="O93" t="str">
        <f ca="1">IFERROR(IF(0=LEN(ReferenceData!$O$93),"",ReferenceData!$O$93),"")</f>
        <v/>
      </c>
      <c r="P93">
        <f ca="1">IFERROR(IF(0=LEN(ReferenceData!$P$93),"",ReferenceData!$P$93),"")</f>
        <v>445685</v>
      </c>
      <c r="Q93" t="str">
        <f ca="1">IFERROR(IF(0=LEN(ReferenceData!$Q$93),"",ReferenceData!$Q$93),"")</f>
        <v/>
      </c>
      <c r="R93">
        <f ca="1">IFERROR(IF(0=LEN(ReferenceData!$R$93),"",ReferenceData!$R$93),"")</f>
        <v>433802</v>
      </c>
      <c r="S93" t="str">
        <f ca="1">IFERROR(IF(0=LEN(ReferenceData!$S$93),"",ReferenceData!$S$93),"")</f>
        <v/>
      </c>
      <c r="T93">
        <f ca="1">IFERROR(IF(0=LEN(ReferenceData!$T$93),"",ReferenceData!$T$93),"")</f>
        <v>405500</v>
      </c>
      <c r="U93" t="str">
        <f ca="1">IFERROR(IF(0=LEN(ReferenceData!$U$93),"",ReferenceData!$U$93),"")</f>
        <v/>
      </c>
      <c r="V93">
        <f ca="1">IFERROR(IF(0=LEN(ReferenceData!$V$93),"",ReferenceData!$V$93),"")</f>
        <v>380578</v>
      </c>
      <c r="W93" t="str">
        <f ca="1">IFERROR(IF(0=LEN(ReferenceData!$W$93),"",ReferenceData!$W$93),"")</f>
        <v/>
      </c>
      <c r="X93">
        <f ca="1">IFERROR(IF(0=LEN(ReferenceData!$X$93),"",ReferenceData!$X$93),"")</f>
        <v>387235</v>
      </c>
      <c r="Y93" t="str">
        <f ca="1">IFERROR(IF(0=LEN(ReferenceData!$Y$93),"",ReferenceData!$Y$93),"")</f>
        <v/>
      </c>
      <c r="Z93">
        <f ca="1">IFERROR(IF(0=LEN(ReferenceData!$Z$93),"",ReferenceData!$Z$93),"")</f>
        <v>367865</v>
      </c>
      <c r="AA93" t="str">
        <f ca="1">IFERROR(IF(0=LEN(ReferenceData!$AA$93),"",ReferenceData!$AA$93),"")</f>
        <v/>
      </c>
      <c r="AB93">
        <f ca="1">IFERROR(IF(0=LEN(ReferenceData!$AB$93),"",ReferenceData!$AB$93),"")</f>
        <v>359097</v>
      </c>
      <c r="AC93" t="str">
        <f ca="1">IFERROR(IF(0=LEN(ReferenceData!$AC$93),"",ReferenceData!$AC$93),"")</f>
        <v/>
      </c>
      <c r="AD93" t="str">
        <f ca="1">IFERROR(IF(0=LEN(ReferenceData!$AD$93),"",ReferenceData!$AD$93),"")</f>
        <v/>
      </c>
      <c r="AE93" t="str">
        <f ca="1">IFERROR(IF(0=LEN(ReferenceData!$AE$93),"",ReferenceData!$AE$93),"")</f>
        <v/>
      </c>
      <c r="AF93" t="str">
        <f ca="1">IFERROR(IF(0=LEN(ReferenceData!$AF$93),"",ReferenceData!$AF$93),"")</f>
        <v/>
      </c>
      <c r="AG93" t="str">
        <f ca="1">IFERROR(IF(0=LEN(ReferenceData!$AG$93),"",ReferenceData!$AG$93),"")</f>
        <v/>
      </c>
      <c r="AH93" t="str">
        <f ca="1">IFERROR(IF(0=LEN(ReferenceData!$AH$93),"",ReferenceData!$AH$93),"")</f>
        <v/>
      </c>
      <c r="AI93" t="str">
        <f ca="1">IFERROR(IF(0=LEN(ReferenceData!$AI$93),"",ReferenceData!$AI$93),"")</f>
        <v/>
      </c>
      <c r="AJ93" t="str">
        <f ca="1">IFERROR(IF(0=LEN(ReferenceData!$AJ$93),"",ReferenceData!$AJ$93),"")</f>
        <v/>
      </c>
      <c r="AK93" t="str">
        <f ca="1">IFERROR(IF(0=LEN(ReferenceData!$AK$93),"",ReferenceData!$AK$93),"")</f>
        <v/>
      </c>
      <c r="AL93" t="str">
        <f ca="1">IFERROR(IF(0=LEN(ReferenceData!$AL$93),"",ReferenceData!$AL$93),"")</f>
        <v/>
      </c>
      <c r="AM93" t="str">
        <f ca="1">IFERROR(IF(0=LEN(ReferenceData!$AM$93),"",ReferenceData!$AM$93),"")</f>
        <v/>
      </c>
      <c r="AN93" t="str">
        <f ca="1">IFERROR(IF(0=LEN(ReferenceData!$AN$93),"",ReferenceData!$AN$93),"")</f>
        <v/>
      </c>
      <c r="AO93" t="str">
        <f ca="1">IFERROR(IF(0=LEN(ReferenceData!$AO$93),"",ReferenceData!$AO$93),"")</f>
        <v/>
      </c>
      <c r="AP93" t="str">
        <f ca="1">IFERROR(IF(0=LEN(ReferenceData!$AP$93),"",ReferenceData!$AP$93),"")</f>
        <v/>
      </c>
      <c r="AQ93" t="str">
        <f ca="1">IFERROR(IF(0=LEN(ReferenceData!$AQ$93),"",ReferenceData!$AQ$93),"")</f>
        <v/>
      </c>
      <c r="AR93" t="str">
        <f ca="1">IFERROR(IF(0=LEN(ReferenceData!$AR$93),"",ReferenceData!$AR$93),"")</f>
        <v/>
      </c>
      <c r="AS93" t="str">
        <f ca="1">IFERROR(IF(0=LEN(ReferenceData!$AS$93),"",ReferenceData!$AS$93),"")</f>
        <v/>
      </c>
      <c r="AT93" t="str">
        <f ca="1">IFERROR(IF(0=LEN(ReferenceData!$AT$93),"",ReferenceData!$AT$93),"")</f>
        <v/>
      </c>
      <c r="AU93" t="str">
        <f ca="1">IFERROR(IF(0=LEN(ReferenceData!$AU$93),"",ReferenceData!$AU$93),"")</f>
        <v/>
      </c>
      <c r="AV93" t="str">
        <f ca="1">IFERROR(IF(0=LEN(ReferenceData!$AV$93),"",ReferenceData!$AV$93),"")</f>
        <v/>
      </c>
      <c r="AW93" t="str">
        <f ca="1">IFERROR(IF(0=LEN(ReferenceData!$AW$93),"",ReferenceData!$AW$93),"")</f>
        <v/>
      </c>
      <c r="AX93" t="str">
        <f ca="1">IFERROR(IF(0=LEN(ReferenceData!$AX$93),"",ReferenceData!$AX$93),"")</f>
        <v/>
      </c>
      <c r="AY93" t="str">
        <f ca="1">IFERROR(IF(0=LEN(ReferenceData!$AY$93),"",ReferenceData!$AY$93),"")</f>
        <v/>
      </c>
      <c r="AZ93" t="str">
        <f ca="1">IFERROR(IF(0=LEN(ReferenceData!$AZ$93),"",ReferenceData!$AZ$93),"")</f>
        <v/>
      </c>
      <c r="BA93" t="str">
        <f ca="1">IFERROR(IF(0=LEN(ReferenceData!$BA$93),"",ReferenceData!$BA$93),"")</f>
        <v/>
      </c>
      <c r="BB93" t="str">
        <f ca="1">IFERROR(IF(0=LEN(ReferenceData!$BB$93),"",ReferenceData!$BB$93),"")</f>
        <v/>
      </c>
      <c r="BC93" t="str">
        <f ca="1">IFERROR(IF(0=LEN(ReferenceData!$BC$93),"",ReferenceData!$BC$93),"")</f>
        <v/>
      </c>
      <c r="BD93" t="str">
        <f ca="1">IFERROR(IF(0=LEN(ReferenceData!$BD$93),"",ReferenceData!$BD$93),"")</f>
        <v/>
      </c>
      <c r="BE93" t="str">
        <f ca="1">IFERROR(IF(0=LEN(ReferenceData!$BE$93),"",ReferenceData!$BE$93),"")</f>
        <v/>
      </c>
      <c r="BF93" t="str">
        <f ca="1">IFERROR(IF(0=LEN(ReferenceData!$BF$93),"",ReferenceData!$BF$93),"")</f>
        <v/>
      </c>
      <c r="BG93" t="str">
        <f ca="1">IFERROR(IF(0=LEN(ReferenceData!$BG$93),"",ReferenceData!$BG$93),"")</f>
        <v/>
      </c>
      <c r="BH93" t="str">
        <f ca="1">IFERROR(IF(0=LEN(ReferenceData!$BH$93),"",ReferenceData!$BH$93),"")</f>
        <v/>
      </c>
      <c r="BI93" t="str">
        <f ca="1">IFERROR(IF(0=LEN(ReferenceData!$BI$93),"",ReferenceData!$BI$93),"")</f>
        <v/>
      </c>
      <c r="BJ93" t="str">
        <f ca="1">IFERROR(IF(0=LEN(ReferenceData!$BJ$93),"",ReferenceData!$BJ$93),"")</f>
        <v/>
      </c>
      <c r="BK93" t="str">
        <f ca="1">IFERROR(IF(0=LEN(ReferenceData!$BK$93),"",ReferenceData!$BK$93),"")</f>
        <v/>
      </c>
      <c r="BL93" t="str">
        <f ca="1">IFERROR(IF(0=LEN(ReferenceData!$BL$93),"",ReferenceData!$BL$93),"")</f>
        <v/>
      </c>
      <c r="BM93" t="str">
        <f ca="1">IFERROR(IF(0=LEN(ReferenceData!$BM$93),"",ReferenceData!$BM$93),"")</f>
        <v/>
      </c>
    </row>
    <row r="94" spans="1:65" x14ac:dyDescent="0.25">
      <c r="A94" t="str">
        <f>IFERROR(IF(0=LEN(ReferenceData!$A$94),"",ReferenceData!$A$94),"")</f>
        <v xml:space="preserve">    Deutsche Bank AG</v>
      </c>
      <c r="B94" t="str">
        <f>IFERROR(IF(0=LEN(ReferenceData!$B$94),"",ReferenceData!$B$94),"")</f>
        <v>DBK GR Equity</v>
      </c>
      <c r="C94" t="str">
        <f>IFERROR(IF(0=LEN(ReferenceData!$C$94),"",ReferenceData!$C$94),"")</f>
        <v>BS017</v>
      </c>
      <c r="D94" t="str">
        <f>IFERROR(IF(0=LEN(ReferenceData!$D$94),"",ReferenceData!$D$94),"")</f>
        <v>BS_CONS_LOAN</v>
      </c>
      <c r="E94" t="str">
        <f>IFERROR(IF(0=LEN(ReferenceData!$E$94),"",ReferenceData!$E$94),"")</f>
        <v>Dynamic</v>
      </c>
      <c r="F94">
        <f ca="1">IFERROR(IF(0=LEN(ReferenceData!$F$94),"",ReferenceData!$F$94),"")</f>
        <v>199812</v>
      </c>
      <c r="G94" t="str">
        <f ca="1">IFERROR(IF(0=LEN(ReferenceData!$G$94),"",ReferenceData!$G$94),"")</f>
        <v/>
      </c>
      <c r="H94" t="str">
        <f ca="1">IFERROR(IF(0=LEN(ReferenceData!$H$94),"",ReferenceData!$H$94),"")</f>
        <v/>
      </c>
      <c r="I94" t="str">
        <f ca="1">IFERROR(IF(0=LEN(ReferenceData!$I$94),"",ReferenceData!$I$94),"")</f>
        <v/>
      </c>
      <c r="J94">
        <f ca="1">IFERROR(IF(0=LEN(ReferenceData!$J$94),"",ReferenceData!$J$94),"")</f>
        <v>210982</v>
      </c>
      <c r="K94" t="str">
        <f ca="1">IFERROR(IF(0=LEN(ReferenceData!$K$94),"",ReferenceData!$K$94),"")</f>
        <v/>
      </c>
      <c r="L94" t="str">
        <f ca="1">IFERROR(IF(0=LEN(ReferenceData!$L$94),"",ReferenceData!$L$94),"")</f>
        <v/>
      </c>
      <c r="M94" t="str">
        <f ca="1">IFERROR(IF(0=LEN(ReferenceData!$M$94),"",ReferenceData!$M$94),"")</f>
        <v/>
      </c>
      <c r="N94">
        <f ca="1">IFERROR(IF(0=LEN(ReferenceData!$N$94),"",ReferenceData!$N$94),"")</f>
        <v>214796</v>
      </c>
      <c r="O94" t="str">
        <f ca="1">IFERROR(IF(0=LEN(ReferenceData!$O$94),"",ReferenceData!$O$94),"")</f>
        <v/>
      </c>
      <c r="P94" t="str">
        <f ca="1">IFERROR(IF(0=LEN(ReferenceData!$P$94),"",ReferenceData!$P$94),"")</f>
        <v/>
      </c>
      <c r="Q94" t="str">
        <f ca="1">IFERROR(IF(0=LEN(ReferenceData!$Q$94),"",ReferenceData!$Q$94),"")</f>
        <v/>
      </c>
      <c r="R94">
        <f ca="1">IFERROR(IF(0=LEN(ReferenceData!$R$94),"",ReferenceData!$R$94),"")</f>
        <v>212436</v>
      </c>
      <c r="S94" t="str">
        <f ca="1">IFERROR(IF(0=LEN(ReferenceData!$S$94),"",ReferenceData!$S$94),"")</f>
        <v/>
      </c>
      <c r="T94" t="str">
        <f ca="1">IFERROR(IF(0=LEN(ReferenceData!$T$94),"",ReferenceData!$T$94),"")</f>
        <v/>
      </c>
      <c r="U94" t="str">
        <f ca="1">IFERROR(IF(0=LEN(ReferenceData!$U$94),"",ReferenceData!$U$94),"")</f>
        <v/>
      </c>
      <c r="V94">
        <f ca="1">IFERROR(IF(0=LEN(ReferenceData!$V$94),"",ReferenceData!$V$94),"")</f>
        <v>205331</v>
      </c>
      <c r="W94" t="str">
        <f ca="1">IFERROR(IF(0=LEN(ReferenceData!$W$94),"",ReferenceData!$W$94),"")</f>
        <v/>
      </c>
      <c r="X94" t="str">
        <f ca="1">IFERROR(IF(0=LEN(ReferenceData!$X$94),"",ReferenceData!$X$94),"")</f>
        <v/>
      </c>
      <c r="Y94" t="str">
        <f ca="1">IFERROR(IF(0=LEN(ReferenceData!$Y$94),"",ReferenceData!$Y$94),"")</f>
        <v/>
      </c>
      <c r="Z94">
        <f ca="1">IFERROR(IF(0=LEN(ReferenceData!$Z$94),"",ReferenceData!$Z$94),"")</f>
        <v>196732</v>
      </c>
      <c r="AA94" t="str">
        <f ca="1">IFERROR(IF(0=LEN(ReferenceData!$AA$94),"",ReferenceData!$AA$94),"")</f>
        <v/>
      </c>
      <c r="AB94" t="str">
        <f ca="1">IFERROR(IF(0=LEN(ReferenceData!$AB$94),"",ReferenceData!$AB$94),"")</f>
        <v/>
      </c>
      <c r="AC94" t="str">
        <f ca="1">IFERROR(IF(0=LEN(ReferenceData!$AC$94),"",ReferenceData!$AC$94),"")</f>
        <v/>
      </c>
      <c r="AD94">
        <f ca="1">IFERROR(IF(0=LEN(ReferenceData!$AD$94),"",ReferenceData!$AD$94),"")</f>
        <v>188494</v>
      </c>
      <c r="AE94" t="str">
        <f ca="1">IFERROR(IF(0=LEN(ReferenceData!$AE$94),"",ReferenceData!$AE$94),"")</f>
        <v/>
      </c>
      <c r="AF94" t="str">
        <f ca="1">IFERROR(IF(0=LEN(ReferenceData!$AF$94),"",ReferenceData!$AF$94),"")</f>
        <v/>
      </c>
      <c r="AG94" t="str">
        <f ca="1">IFERROR(IF(0=LEN(ReferenceData!$AG$94),"",ReferenceData!$AG$94),"")</f>
        <v/>
      </c>
      <c r="AH94">
        <f ca="1">IFERROR(IF(0=LEN(ReferenceData!$AH$94),"",ReferenceData!$AH$94),"")</f>
        <v>186729</v>
      </c>
      <c r="AI94" t="str">
        <f ca="1">IFERROR(IF(0=LEN(ReferenceData!$AI$94),"",ReferenceData!$AI$94),"")</f>
        <v/>
      </c>
      <c r="AJ94" t="str">
        <f ca="1">IFERROR(IF(0=LEN(ReferenceData!$AJ$94),"",ReferenceData!$AJ$94),"")</f>
        <v/>
      </c>
      <c r="AK94" t="str">
        <f ca="1">IFERROR(IF(0=LEN(ReferenceData!$AK$94),"",ReferenceData!$AK$94),"")</f>
        <v/>
      </c>
      <c r="AL94">
        <f ca="1">IFERROR(IF(0=LEN(ReferenceData!$AL$94),"",ReferenceData!$AL$94),"")</f>
        <v>187869</v>
      </c>
      <c r="AM94" t="str">
        <f ca="1">IFERROR(IF(0=LEN(ReferenceData!$AM$94),"",ReferenceData!$AM$94),"")</f>
        <v/>
      </c>
      <c r="AN94" t="str">
        <f ca="1">IFERROR(IF(0=LEN(ReferenceData!$AN$94),"",ReferenceData!$AN$94),"")</f>
        <v/>
      </c>
      <c r="AO94" t="str">
        <f ca="1">IFERROR(IF(0=LEN(ReferenceData!$AO$94),"",ReferenceData!$AO$94),"")</f>
        <v/>
      </c>
      <c r="AP94">
        <f ca="1">IFERROR(IF(0=LEN(ReferenceData!$AP$94),"",ReferenceData!$AP$94),"")</f>
        <v>200006</v>
      </c>
      <c r="AQ94" t="str">
        <f ca="1">IFERROR(IF(0=LEN(ReferenceData!$AQ$94),"",ReferenceData!$AQ$94),"")</f>
        <v/>
      </c>
      <c r="AR94" t="str">
        <f ca="1">IFERROR(IF(0=LEN(ReferenceData!$AR$94),"",ReferenceData!$AR$94),"")</f>
        <v/>
      </c>
      <c r="AS94" t="str">
        <f ca="1">IFERROR(IF(0=LEN(ReferenceData!$AS$94),"",ReferenceData!$AS$94),"")</f>
        <v/>
      </c>
      <c r="AT94">
        <f ca="1">IFERROR(IF(0=LEN(ReferenceData!$AT$94),"",ReferenceData!$AT$94),"")</f>
        <v>197979</v>
      </c>
      <c r="AU94" t="str">
        <f ca="1">IFERROR(IF(0=LEN(ReferenceData!$AU$94),"",ReferenceData!$AU$94),"")</f>
        <v/>
      </c>
      <c r="AV94" t="str">
        <f ca="1">IFERROR(IF(0=LEN(ReferenceData!$AV$94),"",ReferenceData!$AV$94),"")</f>
        <v/>
      </c>
      <c r="AW94" t="str">
        <f ca="1">IFERROR(IF(0=LEN(ReferenceData!$AW$94),"",ReferenceData!$AW$94),"")</f>
        <v/>
      </c>
      <c r="AX94">
        <f ca="1">IFERROR(IF(0=LEN(ReferenceData!$AX$94),"",ReferenceData!$AX$94),"")</f>
        <v>193516</v>
      </c>
      <c r="AY94" t="str">
        <f ca="1">IFERROR(IF(0=LEN(ReferenceData!$AY$94),"",ReferenceData!$AY$94),"")</f>
        <v/>
      </c>
      <c r="AZ94" t="str">
        <f ca="1">IFERROR(IF(0=LEN(ReferenceData!$AZ$94),"",ReferenceData!$AZ$94),"")</f>
        <v/>
      </c>
      <c r="BA94" t="str">
        <f ca="1">IFERROR(IF(0=LEN(ReferenceData!$BA$94),"",ReferenceData!$BA$94),"")</f>
        <v/>
      </c>
      <c r="BB94">
        <f ca="1">IFERROR(IF(0=LEN(ReferenceData!$BB$94),"",ReferenceData!$BB$94),"")</f>
        <v>180974</v>
      </c>
      <c r="BC94" t="str">
        <f ca="1">IFERROR(IF(0=LEN(ReferenceData!$BC$94),"",ReferenceData!$BC$94),"")</f>
        <v/>
      </c>
      <c r="BD94" t="str">
        <f ca="1">IFERROR(IF(0=LEN(ReferenceData!$BD$94),"",ReferenceData!$BD$94),"")</f>
        <v/>
      </c>
      <c r="BE94" t="str">
        <f ca="1">IFERROR(IF(0=LEN(ReferenceData!$BE$94),"",ReferenceData!$BE$94),"")</f>
        <v/>
      </c>
      <c r="BF94">
        <f ca="1">IFERROR(IF(0=LEN(ReferenceData!$BF$94),"",ReferenceData!$BF$94),"")</f>
        <v>174188</v>
      </c>
      <c r="BG94" t="str">
        <f ca="1">IFERROR(IF(0=LEN(ReferenceData!$BG$94),"",ReferenceData!$BG$94),"")</f>
        <v/>
      </c>
      <c r="BH94" t="str">
        <f ca="1">IFERROR(IF(0=LEN(ReferenceData!$BH$94),"",ReferenceData!$BH$94),"")</f>
        <v/>
      </c>
      <c r="BI94" t="str">
        <f ca="1">IFERROR(IF(0=LEN(ReferenceData!$BI$94),"",ReferenceData!$BI$94),"")</f>
        <v/>
      </c>
      <c r="BJ94">
        <f ca="1">IFERROR(IF(0=LEN(ReferenceData!$BJ$94),"",ReferenceData!$BJ$94),"")</f>
        <v>167350</v>
      </c>
      <c r="BK94" t="str">
        <f ca="1">IFERROR(IF(0=LEN(ReferenceData!$BK$94),"",ReferenceData!$BK$94),"")</f>
        <v/>
      </c>
      <c r="BL94" t="str">
        <f ca="1">IFERROR(IF(0=LEN(ReferenceData!$BL$94),"",ReferenceData!$BL$94),"")</f>
        <v/>
      </c>
      <c r="BM94" t="str">
        <f ca="1">IFERROR(IF(0=LEN(ReferenceData!$BM$94),"",ReferenceData!$BM$94),"")</f>
        <v/>
      </c>
    </row>
    <row r="95" spans="1:65" x14ac:dyDescent="0.25">
      <c r="A95" t="str">
        <f>IFERROR(IF(0=LEN(ReferenceData!$A$95),"",ReferenceData!$A$95),"")</f>
        <v xml:space="preserve">    DNB Bank ASA</v>
      </c>
      <c r="B95" t="str">
        <f>IFERROR(IF(0=LEN(ReferenceData!$B$95),"",ReferenceData!$B$95),"")</f>
        <v>DNB NO Equity</v>
      </c>
      <c r="C95" t="str">
        <f>IFERROR(IF(0=LEN(ReferenceData!$C$95),"",ReferenceData!$C$95),"")</f>
        <v>BS017</v>
      </c>
      <c r="D95" t="str">
        <f>IFERROR(IF(0=LEN(ReferenceData!$D$95),"",ReferenceData!$D$95),"")</f>
        <v>BS_CONS_LOAN</v>
      </c>
      <c r="E95" t="str">
        <f>IFERROR(IF(0=LEN(ReferenceData!$E$95),"",ReferenceData!$E$95),"")</f>
        <v>Dynamic</v>
      </c>
      <c r="F95">
        <f ca="1">IFERROR(IF(0=LEN(ReferenceData!$F$95),"",ReferenceData!$F$95),"")</f>
        <v>82416.979689999993</v>
      </c>
      <c r="G95">
        <f ca="1">IFERROR(IF(0=LEN(ReferenceData!$G$95),"",ReferenceData!$G$95),"")</f>
        <v>82479.429480000006</v>
      </c>
      <c r="H95">
        <f ca="1">IFERROR(IF(0=LEN(ReferenceData!$H$95),"",ReferenceData!$H$95),"")</f>
        <v>84194.163839999994</v>
      </c>
      <c r="I95">
        <f ca="1">IFERROR(IF(0=LEN(ReferenceData!$I$95),"",ReferenceData!$I$95),"")</f>
        <v>82371.51526</v>
      </c>
      <c r="J95">
        <f ca="1">IFERROR(IF(0=LEN(ReferenceData!$J$95),"",ReferenceData!$J$95),"")</f>
        <v>86860.071509999994</v>
      </c>
      <c r="K95">
        <f ca="1">IFERROR(IF(0=LEN(ReferenceData!$K$95),"",ReferenceData!$K$95),"")</f>
        <v>86135.608439999996</v>
      </c>
      <c r="L95">
        <f ca="1">IFERROR(IF(0=LEN(ReferenceData!$L$95),"",ReferenceData!$L$95),"")</f>
        <v>83141.929470000003</v>
      </c>
      <c r="M95">
        <f ca="1">IFERROR(IF(0=LEN(ReferenceData!$M$95),"",ReferenceData!$M$95),"")</f>
        <v>85501.891910000006</v>
      </c>
      <c r="N95">
        <f ca="1">IFERROR(IF(0=LEN(ReferenceData!$N$95),"",ReferenceData!$N$95),"")</f>
        <v>91790.19008</v>
      </c>
      <c r="O95">
        <f ca="1">IFERROR(IF(0=LEN(ReferenceData!$O$95),"",ReferenceData!$O$95),"")</f>
        <v>89974.960290000003</v>
      </c>
      <c r="P95">
        <f ca="1">IFERROR(IF(0=LEN(ReferenceData!$P$95),"",ReferenceData!$P$95),"")</f>
        <v>91725.49811</v>
      </c>
      <c r="Q95">
        <f ca="1">IFERROR(IF(0=LEN(ReferenceData!$Q$95),"",ReferenceData!$Q$95),"")</f>
        <v>96140.504440000004</v>
      </c>
      <c r="R95">
        <f ca="1">IFERROR(IF(0=LEN(ReferenceData!$R$95),"",ReferenceData!$R$95),"")</f>
        <v>85563.013439999995</v>
      </c>
      <c r="S95">
        <f ca="1">IFERROR(IF(0=LEN(ReferenceData!$S$95),"",ReferenceData!$S$95),"")</f>
        <v>84384.734460000007</v>
      </c>
      <c r="T95">
        <f ca="1">IFERROR(IF(0=LEN(ReferenceData!$T$95),"",ReferenceData!$T$95),"")</f>
        <v>82850.125589999996</v>
      </c>
      <c r="U95">
        <f ca="1">IFERROR(IF(0=LEN(ReferenceData!$U$95),"",ReferenceData!$U$95),"")</f>
        <v>82851.626319999996</v>
      </c>
      <c r="V95">
        <f ca="1">IFERROR(IF(0=LEN(ReferenceData!$V$95),"",ReferenceData!$V$95),"")</f>
        <v>78460.388919999998</v>
      </c>
      <c r="W95">
        <f ca="1">IFERROR(IF(0=LEN(ReferenceData!$W$95),"",ReferenceData!$W$95),"")</f>
        <v>74306.078859999994</v>
      </c>
      <c r="X95">
        <f ca="1">IFERROR(IF(0=LEN(ReferenceData!$X$95),"",ReferenceData!$X$95),"")</f>
        <v>73813.553750000006</v>
      </c>
      <c r="Y95">
        <f ca="1">IFERROR(IF(0=LEN(ReferenceData!$Y$95),"",ReferenceData!$Y$95),"")</f>
        <v>69055.611189999996</v>
      </c>
      <c r="Z95">
        <f ca="1">IFERROR(IF(0=LEN(ReferenceData!$Z$95),"",ReferenceData!$Z$95),"")</f>
        <v>79386.398879999993</v>
      </c>
      <c r="AA95">
        <f ca="1">IFERROR(IF(0=LEN(ReferenceData!$AA$95),"",ReferenceData!$AA$95),"")</f>
        <v>78796.296069999997</v>
      </c>
      <c r="AB95">
        <f ca="1">IFERROR(IF(0=LEN(ReferenceData!$AB$95),"",ReferenceData!$AB$95),"")</f>
        <v>79923.904290000006</v>
      </c>
      <c r="AC95">
        <f ca="1">IFERROR(IF(0=LEN(ReferenceData!$AC$95),"",ReferenceData!$AC$95),"")</f>
        <v>79251.055959999998</v>
      </c>
      <c r="AD95">
        <f ca="1">IFERROR(IF(0=LEN(ReferenceData!$AD$95),"",ReferenceData!$AD$95),"")</f>
        <v>76736.757790000003</v>
      </c>
      <c r="AE95">
        <f ca="1">IFERROR(IF(0=LEN(ReferenceData!$AE$95),"",ReferenceData!$AE$95),"")</f>
        <v>79830.316779999994</v>
      </c>
      <c r="AF95">
        <f ca="1">IFERROR(IF(0=LEN(ReferenceData!$AF$95),"",ReferenceData!$AF$95),"")</f>
        <v>78545.960300000006</v>
      </c>
      <c r="AG95">
        <f ca="1">IFERROR(IF(0=LEN(ReferenceData!$AG$95),"",ReferenceData!$AG$95),"")</f>
        <v>76104.150510000007</v>
      </c>
      <c r="AH95">
        <f ca="1">IFERROR(IF(0=LEN(ReferenceData!$AH$95),"",ReferenceData!$AH$95),"")</f>
        <v>80934.250499999995</v>
      </c>
      <c r="AI95" t="str">
        <f ca="1">IFERROR(IF(0=LEN(ReferenceData!$AI$95),"",ReferenceData!$AI$95),"")</f>
        <v/>
      </c>
      <c r="AJ95" t="str">
        <f ca="1">IFERROR(IF(0=LEN(ReferenceData!$AJ$95),"",ReferenceData!$AJ$95),"")</f>
        <v/>
      </c>
      <c r="AK95" t="str">
        <f ca="1">IFERROR(IF(0=LEN(ReferenceData!$AK$95),"",ReferenceData!$AK$95),"")</f>
        <v/>
      </c>
      <c r="AL95">
        <f ca="1">IFERROR(IF(0=LEN(ReferenceData!$AL$95),"",ReferenceData!$AL$95),"")</f>
        <v>82886.467640000003</v>
      </c>
      <c r="AM95" t="str">
        <f ca="1">IFERROR(IF(0=LEN(ReferenceData!$AM$95),"",ReferenceData!$AM$95),"")</f>
        <v/>
      </c>
      <c r="AN95" t="str">
        <f ca="1">IFERROR(IF(0=LEN(ReferenceData!$AN$95),"",ReferenceData!$AN$95),"")</f>
        <v/>
      </c>
      <c r="AO95" t="str">
        <f ca="1">IFERROR(IF(0=LEN(ReferenceData!$AO$95),"",ReferenceData!$AO$95),"")</f>
        <v/>
      </c>
      <c r="AP95">
        <f ca="1">IFERROR(IF(0=LEN(ReferenceData!$AP$95),"",ReferenceData!$AP$95),"")</f>
        <v>77532.866590000005</v>
      </c>
      <c r="AQ95" t="str">
        <f ca="1">IFERROR(IF(0=LEN(ReferenceData!$AQ$95),"",ReferenceData!$AQ$95),"")</f>
        <v/>
      </c>
      <c r="AR95" t="str">
        <f ca="1">IFERROR(IF(0=LEN(ReferenceData!$AR$95),"",ReferenceData!$AR$95),"")</f>
        <v/>
      </c>
      <c r="AS95" t="str">
        <f ca="1">IFERROR(IF(0=LEN(ReferenceData!$AS$95),"",ReferenceData!$AS$95),"")</f>
        <v/>
      </c>
      <c r="AT95">
        <f ca="1">IFERROR(IF(0=LEN(ReferenceData!$AT$95),"",ReferenceData!$AT$95),"")</f>
        <v>78355.508650000003</v>
      </c>
      <c r="AU95" t="str">
        <f ca="1">IFERROR(IF(0=LEN(ReferenceData!$AU$95),"",ReferenceData!$AU$95),"")</f>
        <v/>
      </c>
      <c r="AV95" t="str">
        <f ca="1">IFERROR(IF(0=LEN(ReferenceData!$AV$95),"",ReferenceData!$AV$95),"")</f>
        <v/>
      </c>
      <c r="AW95" t="str">
        <f ca="1">IFERROR(IF(0=LEN(ReferenceData!$AW$95),"",ReferenceData!$AW$95),"")</f>
        <v/>
      </c>
      <c r="AX95" t="str">
        <f ca="1">IFERROR(IF(0=LEN(ReferenceData!$AX$95),"",ReferenceData!$AX$95),"")</f>
        <v/>
      </c>
      <c r="AY95" t="str">
        <f ca="1">IFERROR(IF(0=LEN(ReferenceData!$AY$95),"",ReferenceData!$AY$95),"")</f>
        <v/>
      </c>
      <c r="AZ95" t="str">
        <f ca="1">IFERROR(IF(0=LEN(ReferenceData!$AZ$95),"",ReferenceData!$AZ$95),"")</f>
        <v/>
      </c>
      <c r="BA95" t="str">
        <f ca="1">IFERROR(IF(0=LEN(ReferenceData!$BA$95),"",ReferenceData!$BA$95),"")</f>
        <v/>
      </c>
      <c r="BB95" t="str">
        <f ca="1">IFERROR(IF(0=LEN(ReferenceData!$BB$95),"",ReferenceData!$BB$95),"")</f>
        <v/>
      </c>
      <c r="BC95" t="str">
        <f ca="1">IFERROR(IF(0=LEN(ReferenceData!$BC$95),"",ReferenceData!$BC$95),"")</f>
        <v/>
      </c>
      <c r="BD95" t="str">
        <f ca="1">IFERROR(IF(0=LEN(ReferenceData!$BD$95),"",ReferenceData!$BD$95),"")</f>
        <v/>
      </c>
      <c r="BE95" t="str">
        <f ca="1">IFERROR(IF(0=LEN(ReferenceData!$BE$95),"",ReferenceData!$BE$95),"")</f>
        <v/>
      </c>
      <c r="BF95" t="str">
        <f ca="1">IFERROR(IF(0=LEN(ReferenceData!$BF$95),"",ReferenceData!$BF$95),"")</f>
        <v/>
      </c>
      <c r="BG95" t="str">
        <f ca="1">IFERROR(IF(0=LEN(ReferenceData!$BG$95),"",ReferenceData!$BG$95),"")</f>
        <v/>
      </c>
      <c r="BH95" t="str">
        <f ca="1">IFERROR(IF(0=LEN(ReferenceData!$BH$95),"",ReferenceData!$BH$95),"")</f>
        <v/>
      </c>
      <c r="BI95" t="str">
        <f ca="1">IFERROR(IF(0=LEN(ReferenceData!$BI$95),"",ReferenceData!$BI$95),"")</f>
        <v/>
      </c>
      <c r="BJ95" t="str">
        <f ca="1">IFERROR(IF(0=LEN(ReferenceData!$BJ$95),"",ReferenceData!$BJ$95),"")</f>
        <v/>
      </c>
      <c r="BK95" t="str">
        <f ca="1">IFERROR(IF(0=LEN(ReferenceData!$BK$95),"",ReferenceData!$BK$95),"")</f>
        <v/>
      </c>
      <c r="BL95" t="str">
        <f ca="1">IFERROR(IF(0=LEN(ReferenceData!$BL$95),"",ReferenceData!$BL$95),"")</f>
        <v/>
      </c>
      <c r="BM95" t="str">
        <f ca="1">IFERROR(IF(0=LEN(ReferenceData!$BM$95),"",ReferenceData!$BM$95),"")</f>
        <v/>
      </c>
    </row>
    <row r="96" spans="1:65" x14ac:dyDescent="0.25">
      <c r="A96" t="str">
        <f>IFERROR(IF(0=LEN(ReferenceData!$A$96),"",ReferenceData!$A$96),"")</f>
        <v xml:space="preserve">    Danske Bank A/S</v>
      </c>
      <c r="B96" t="str">
        <f>IFERROR(IF(0=LEN(ReferenceData!$B$96),"",ReferenceData!$B$96),"")</f>
        <v>DANSKE DC Equity</v>
      </c>
      <c r="C96" t="str">
        <f>IFERROR(IF(0=LEN(ReferenceData!$C$96),"",ReferenceData!$C$96),"")</f>
        <v>BS017</v>
      </c>
      <c r="D96" t="str">
        <f>IFERROR(IF(0=LEN(ReferenceData!$D$96),"",ReferenceData!$D$96),"")</f>
        <v>BS_CONS_LOAN</v>
      </c>
      <c r="E96" t="str">
        <f>IFERROR(IF(0=LEN(ReferenceData!$E$96),"",ReferenceData!$E$96),"")</f>
        <v>Dynamic</v>
      </c>
      <c r="F96" t="str">
        <f ca="1">IFERROR(IF(0=LEN(ReferenceData!$F$96),"",ReferenceData!$F$96),"")</f>
        <v/>
      </c>
      <c r="G96" t="str">
        <f ca="1">IFERROR(IF(0=LEN(ReferenceData!$G$96),"",ReferenceData!$G$96),"")</f>
        <v/>
      </c>
      <c r="H96" t="str">
        <f ca="1">IFERROR(IF(0=LEN(ReferenceData!$H$96),"",ReferenceData!$H$96),"")</f>
        <v/>
      </c>
      <c r="I96" t="str">
        <f ca="1">IFERROR(IF(0=LEN(ReferenceData!$I$96),"",ReferenceData!$I$96),"")</f>
        <v/>
      </c>
      <c r="J96" t="str">
        <f ca="1">IFERROR(IF(0=LEN(ReferenceData!$J$96),"",ReferenceData!$J$96),"")</f>
        <v/>
      </c>
      <c r="K96" t="str">
        <f ca="1">IFERROR(IF(0=LEN(ReferenceData!$K$96),"",ReferenceData!$K$96),"")</f>
        <v/>
      </c>
      <c r="L96" t="str">
        <f ca="1">IFERROR(IF(0=LEN(ReferenceData!$L$96),"",ReferenceData!$L$96),"")</f>
        <v/>
      </c>
      <c r="M96" t="str">
        <f ca="1">IFERROR(IF(0=LEN(ReferenceData!$M$96),"",ReferenceData!$M$96),"")</f>
        <v/>
      </c>
      <c r="N96" t="str">
        <f ca="1">IFERROR(IF(0=LEN(ReferenceData!$N$96),"",ReferenceData!$N$96),"")</f>
        <v/>
      </c>
      <c r="O96" t="str">
        <f ca="1">IFERROR(IF(0=LEN(ReferenceData!$O$96),"",ReferenceData!$O$96),"")</f>
        <v/>
      </c>
      <c r="P96" t="str">
        <f ca="1">IFERROR(IF(0=LEN(ReferenceData!$P$96),"",ReferenceData!$P$96),"")</f>
        <v/>
      </c>
      <c r="Q96" t="str">
        <f ca="1">IFERROR(IF(0=LEN(ReferenceData!$Q$96),"",ReferenceData!$Q$96),"")</f>
        <v/>
      </c>
      <c r="R96" t="str">
        <f ca="1">IFERROR(IF(0=LEN(ReferenceData!$R$96),"",ReferenceData!$R$96),"")</f>
        <v/>
      </c>
      <c r="S96" t="str">
        <f ca="1">IFERROR(IF(0=LEN(ReferenceData!$S$96),"",ReferenceData!$S$96),"")</f>
        <v/>
      </c>
      <c r="T96" t="str">
        <f ca="1">IFERROR(IF(0=LEN(ReferenceData!$T$96),"",ReferenceData!$T$96),"")</f>
        <v/>
      </c>
      <c r="U96" t="str">
        <f ca="1">IFERROR(IF(0=LEN(ReferenceData!$U$96),"",ReferenceData!$U$96),"")</f>
        <v/>
      </c>
      <c r="V96" t="str">
        <f ca="1">IFERROR(IF(0=LEN(ReferenceData!$V$96),"",ReferenceData!$V$96),"")</f>
        <v/>
      </c>
      <c r="W96" t="str">
        <f ca="1">IFERROR(IF(0=LEN(ReferenceData!$W$96),"",ReferenceData!$W$96),"")</f>
        <v/>
      </c>
      <c r="X96" t="str">
        <f ca="1">IFERROR(IF(0=LEN(ReferenceData!$X$96),"",ReferenceData!$X$96),"")</f>
        <v/>
      </c>
      <c r="Y96" t="str">
        <f ca="1">IFERROR(IF(0=LEN(ReferenceData!$Y$96),"",ReferenceData!$Y$96),"")</f>
        <v/>
      </c>
      <c r="Z96" t="str">
        <f ca="1">IFERROR(IF(0=LEN(ReferenceData!$Z$96),"",ReferenceData!$Z$96),"")</f>
        <v/>
      </c>
      <c r="AA96" t="str">
        <f ca="1">IFERROR(IF(0=LEN(ReferenceData!$AA$96),"",ReferenceData!$AA$96),"")</f>
        <v/>
      </c>
      <c r="AB96" t="str">
        <f ca="1">IFERROR(IF(0=LEN(ReferenceData!$AB$96),"",ReferenceData!$AB$96),"")</f>
        <v/>
      </c>
      <c r="AC96" t="str">
        <f ca="1">IFERROR(IF(0=LEN(ReferenceData!$AC$96),"",ReferenceData!$AC$96),"")</f>
        <v/>
      </c>
      <c r="AD96" t="str">
        <f ca="1">IFERROR(IF(0=LEN(ReferenceData!$AD$96),"",ReferenceData!$AD$96),"")</f>
        <v/>
      </c>
      <c r="AE96" t="str">
        <f ca="1">IFERROR(IF(0=LEN(ReferenceData!$AE$96),"",ReferenceData!$AE$96),"")</f>
        <v/>
      </c>
      <c r="AF96" t="str">
        <f ca="1">IFERROR(IF(0=LEN(ReferenceData!$AF$96),"",ReferenceData!$AF$96),"")</f>
        <v/>
      </c>
      <c r="AG96" t="str">
        <f ca="1">IFERROR(IF(0=LEN(ReferenceData!$AG$96),"",ReferenceData!$AG$96),"")</f>
        <v/>
      </c>
      <c r="AH96" t="str">
        <f ca="1">IFERROR(IF(0=LEN(ReferenceData!$AH$96),"",ReferenceData!$AH$96),"")</f>
        <v/>
      </c>
      <c r="AI96" t="str">
        <f ca="1">IFERROR(IF(0=LEN(ReferenceData!$AI$96),"",ReferenceData!$AI$96),"")</f>
        <v/>
      </c>
      <c r="AJ96" t="str">
        <f ca="1">IFERROR(IF(0=LEN(ReferenceData!$AJ$96),"",ReferenceData!$AJ$96),"")</f>
        <v/>
      </c>
      <c r="AK96" t="str">
        <f ca="1">IFERROR(IF(0=LEN(ReferenceData!$AK$96),"",ReferenceData!$AK$96),"")</f>
        <v/>
      </c>
      <c r="AL96" t="str">
        <f ca="1">IFERROR(IF(0=LEN(ReferenceData!$AL$96),"",ReferenceData!$AL$96),"")</f>
        <v/>
      </c>
      <c r="AM96" t="str">
        <f ca="1">IFERROR(IF(0=LEN(ReferenceData!$AM$96),"",ReferenceData!$AM$96),"")</f>
        <v/>
      </c>
      <c r="AN96" t="str">
        <f ca="1">IFERROR(IF(0=LEN(ReferenceData!$AN$96),"",ReferenceData!$AN$96),"")</f>
        <v/>
      </c>
      <c r="AO96" t="str">
        <f ca="1">IFERROR(IF(0=LEN(ReferenceData!$AO$96),"",ReferenceData!$AO$96),"")</f>
        <v/>
      </c>
      <c r="AP96" t="str">
        <f ca="1">IFERROR(IF(0=LEN(ReferenceData!$AP$96),"",ReferenceData!$AP$96),"")</f>
        <v/>
      </c>
      <c r="AQ96" t="str">
        <f ca="1">IFERROR(IF(0=LEN(ReferenceData!$AQ$96),"",ReferenceData!$AQ$96),"")</f>
        <v/>
      </c>
      <c r="AR96" t="str">
        <f ca="1">IFERROR(IF(0=LEN(ReferenceData!$AR$96),"",ReferenceData!$AR$96),"")</f>
        <v/>
      </c>
      <c r="AS96" t="str">
        <f ca="1">IFERROR(IF(0=LEN(ReferenceData!$AS$96),"",ReferenceData!$AS$96),"")</f>
        <v/>
      </c>
      <c r="AT96" t="str">
        <f ca="1">IFERROR(IF(0=LEN(ReferenceData!$AT$96),"",ReferenceData!$AT$96),"")</f>
        <v/>
      </c>
      <c r="AU96" t="str">
        <f ca="1">IFERROR(IF(0=LEN(ReferenceData!$AU$96),"",ReferenceData!$AU$96),"")</f>
        <v/>
      </c>
      <c r="AV96" t="str">
        <f ca="1">IFERROR(IF(0=LEN(ReferenceData!$AV$96),"",ReferenceData!$AV$96),"")</f>
        <v/>
      </c>
      <c r="AW96" t="str">
        <f ca="1">IFERROR(IF(0=LEN(ReferenceData!$AW$96),"",ReferenceData!$AW$96),"")</f>
        <v/>
      </c>
      <c r="AX96" t="str">
        <f ca="1">IFERROR(IF(0=LEN(ReferenceData!$AX$96),"",ReferenceData!$AX$96),"")</f>
        <v/>
      </c>
      <c r="AY96" t="str">
        <f ca="1">IFERROR(IF(0=LEN(ReferenceData!$AY$96),"",ReferenceData!$AY$96),"")</f>
        <v/>
      </c>
      <c r="AZ96" t="str">
        <f ca="1">IFERROR(IF(0=LEN(ReferenceData!$AZ$96),"",ReferenceData!$AZ$96),"")</f>
        <v/>
      </c>
      <c r="BA96" t="str">
        <f ca="1">IFERROR(IF(0=LEN(ReferenceData!$BA$96),"",ReferenceData!$BA$96),"")</f>
        <v/>
      </c>
      <c r="BB96" t="str">
        <f ca="1">IFERROR(IF(0=LEN(ReferenceData!$BB$96),"",ReferenceData!$BB$96),"")</f>
        <v/>
      </c>
      <c r="BC96" t="str">
        <f ca="1">IFERROR(IF(0=LEN(ReferenceData!$BC$96),"",ReferenceData!$BC$96),"")</f>
        <v/>
      </c>
      <c r="BD96" t="str">
        <f ca="1">IFERROR(IF(0=LEN(ReferenceData!$BD$96),"",ReferenceData!$BD$96),"")</f>
        <v/>
      </c>
      <c r="BE96" t="str">
        <f ca="1">IFERROR(IF(0=LEN(ReferenceData!$BE$96),"",ReferenceData!$BE$96),"")</f>
        <v/>
      </c>
      <c r="BF96" t="str">
        <f ca="1">IFERROR(IF(0=LEN(ReferenceData!$BF$96),"",ReferenceData!$BF$96),"")</f>
        <v/>
      </c>
      <c r="BG96" t="str">
        <f ca="1">IFERROR(IF(0=LEN(ReferenceData!$BG$96),"",ReferenceData!$BG$96),"")</f>
        <v/>
      </c>
      <c r="BH96" t="str">
        <f ca="1">IFERROR(IF(0=LEN(ReferenceData!$BH$96),"",ReferenceData!$BH$96),"")</f>
        <v/>
      </c>
      <c r="BI96" t="str">
        <f ca="1">IFERROR(IF(0=LEN(ReferenceData!$BI$96),"",ReferenceData!$BI$96),"")</f>
        <v/>
      </c>
      <c r="BJ96" t="str">
        <f ca="1">IFERROR(IF(0=LEN(ReferenceData!$BJ$96),"",ReferenceData!$BJ$96),"")</f>
        <v/>
      </c>
      <c r="BK96" t="str">
        <f ca="1">IFERROR(IF(0=LEN(ReferenceData!$BK$96),"",ReferenceData!$BK$96),"")</f>
        <v/>
      </c>
      <c r="BL96" t="str">
        <f ca="1">IFERROR(IF(0=LEN(ReferenceData!$BL$96),"",ReferenceData!$BL$96),"")</f>
        <v/>
      </c>
      <c r="BM96" t="str">
        <f ca="1">IFERROR(IF(0=LEN(ReferenceData!$BM$96),"",ReferenceData!$BM$96),"")</f>
        <v/>
      </c>
    </row>
    <row r="97" spans="1:65" x14ac:dyDescent="0.25">
      <c r="A97" t="str">
        <f>IFERROR(IF(0=LEN(ReferenceData!$A$97),"",ReferenceData!$A$97),"")</f>
        <v xml:space="preserve">    Erste Group Bank AG</v>
      </c>
      <c r="B97" t="str">
        <f>IFERROR(IF(0=LEN(ReferenceData!$B$97),"",ReferenceData!$B$97),"")</f>
        <v>EBS AV Equity</v>
      </c>
      <c r="C97" t="str">
        <f>IFERROR(IF(0=LEN(ReferenceData!$C$97),"",ReferenceData!$C$97),"")</f>
        <v>BS017</v>
      </c>
      <c r="D97" t="str">
        <f>IFERROR(IF(0=LEN(ReferenceData!$D$97),"",ReferenceData!$D$97),"")</f>
        <v>BS_CONS_LOAN</v>
      </c>
      <c r="E97" t="str">
        <f>IFERROR(IF(0=LEN(ReferenceData!$E$97),"",ReferenceData!$E$97),"")</f>
        <v>Dynamic</v>
      </c>
      <c r="F97" t="str">
        <f ca="1">IFERROR(IF(0=LEN(ReferenceData!$F$97),"",ReferenceData!$F$97),"")</f>
        <v/>
      </c>
      <c r="G97">
        <f ca="1">IFERROR(IF(0=LEN(ReferenceData!$G$97),"",ReferenceData!$G$97),"")</f>
        <v>1129</v>
      </c>
      <c r="H97">
        <f ca="1">IFERROR(IF(0=LEN(ReferenceData!$H$97),"",ReferenceData!$H$97),"")</f>
        <v>1082</v>
      </c>
      <c r="I97">
        <f ca="1">IFERROR(IF(0=LEN(ReferenceData!$I$97),"",ReferenceData!$I$97),"")</f>
        <v>1034.5709999999999</v>
      </c>
      <c r="J97">
        <f ca="1">IFERROR(IF(0=LEN(ReferenceData!$J$97),"",ReferenceData!$J$97),"")</f>
        <v>1038</v>
      </c>
      <c r="K97">
        <f ca="1">IFERROR(IF(0=LEN(ReferenceData!$K$97),"",ReferenceData!$K$97),"")</f>
        <v>949.31399999999996</v>
      </c>
      <c r="L97">
        <f ca="1">IFERROR(IF(0=LEN(ReferenceData!$L$97),"",ReferenceData!$L$97),"")</f>
        <v>96446</v>
      </c>
      <c r="M97">
        <f ca="1">IFERROR(IF(0=LEN(ReferenceData!$M$97),"",ReferenceData!$M$97),"")</f>
        <v>870.42600000000004</v>
      </c>
      <c r="N97">
        <f ca="1">IFERROR(IF(0=LEN(ReferenceData!$N$97),"",ReferenceData!$N$97),"")</f>
        <v>839.3</v>
      </c>
      <c r="O97">
        <f ca="1">IFERROR(IF(0=LEN(ReferenceData!$O$97),"",ReferenceData!$O$97),"")</f>
        <v>93299</v>
      </c>
      <c r="P97">
        <f ca="1">IFERROR(IF(0=LEN(ReferenceData!$P$97),"",ReferenceData!$P$97),"")</f>
        <v>92128</v>
      </c>
      <c r="Q97">
        <f ca="1">IFERROR(IF(0=LEN(ReferenceData!$Q$97),"",ReferenceData!$Q$97),"")</f>
        <v>91109</v>
      </c>
      <c r="R97">
        <f ca="1">IFERROR(IF(0=LEN(ReferenceData!$R$97),"",ReferenceData!$R$97),"")</f>
        <v>808</v>
      </c>
      <c r="S97">
        <f ca="1">IFERROR(IF(0=LEN(ReferenceData!$S$97),"",ReferenceData!$S$97),"")</f>
        <v>86492</v>
      </c>
      <c r="T97">
        <f ca="1">IFERROR(IF(0=LEN(ReferenceData!$T$97),"",ReferenceData!$T$97),"")</f>
        <v>84634</v>
      </c>
      <c r="U97">
        <f ca="1">IFERROR(IF(0=LEN(ReferenceData!$U$97),"",ReferenceData!$U$97),"")</f>
        <v>82447</v>
      </c>
      <c r="V97">
        <f ca="1">IFERROR(IF(0=LEN(ReferenceData!$V$97),"",ReferenceData!$V$97),"")</f>
        <v>687</v>
      </c>
      <c r="W97">
        <f ca="1">IFERROR(IF(0=LEN(ReferenceData!$W$97),"",ReferenceData!$W$97),"")</f>
        <v>80451</v>
      </c>
      <c r="X97">
        <f ca="1">IFERROR(IF(0=LEN(ReferenceData!$X$97),"",ReferenceData!$X$97),"")</f>
        <v>77774</v>
      </c>
      <c r="Y97">
        <f ca="1">IFERROR(IF(0=LEN(ReferenceData!$Y$97),"",ReferenceData!$Y$97),"")</f>
        <v>78200</v>
      </c>
      <c r="Z97">
        <f ca="1">IFERROR(IF(0=LEN(ReferenceData!$Z$97),"",ReferenceData!$Z$97),"")</f>
        <v>79146</v>
      </c>
      <c r="AA97">
        <f ca="1">IFERROR(IF(0=LEN(ReferenceData!$AA$97),"",ReferenceData!$AA$97),"")</f>
        <v>77791</v>
      </c>
      <c r="AB97">
        <f ca="1">IFERROR(IF(0=LEN(ReferenceData!$AB$97),"",ReferenceData!$AB$97),"")</f>
        <v>76465</v>
      </c>
      <c r="AC97">
        <f ca="1">IFERROR(IF(0=LEN(ReferenceData!$AC$97),"",ReferenceData!$AC$97),"")</f>
        <v>75122</v>
      </c>
      <c r="AD97">
        <f ca="1">IFERROR(IF(0=LEN(ReferenceData!$AD$97),"",ReferenceData!$AD$97),"")</f>
        <v>74623</v>
      </c>
      <c r="AE97">
        <f ca="1">IFERROR(IF(0=LEN(ReferenceData!$AE$97),"",ReferenceData!$AE$97),"")</f>
        <v>73475</v>
      </c>
      <c r="AF97">
        <f ca="1">IFERROR(IF(0=LEN(ReferenceData!$AF$97),"",ReferenceData!$AF$97),"")</f>
        <v>71734</v>
      </c>
      <c r="AG97">
        <f ca="1">IFERROR(IF(0=LEN(ReferenceData!$AG$97),"",ReferenceData!$AG$97),"")</f>
        <v>70517</v>
      </c>
      <c r="AH97">
        <f ca="1">IFERROR(IF(0=LEN(ReferenceData!$AH$97),"",ReferenceData!$AH$97),"")</f>
        <v>70169</v>
      </c>
      <c r="AI97">
        <f ca="1">IFERROR(IF(0=LEN(ReferenceData!$AI$97),"",ReferenceData!$AI$97),"")</f>
        <v>68945</v>
      </c>
      <c r="AJ97">
        <f ca="1">IFERROR(IF(0=LEN(ReferenceData!$AJ$97),"",ReferenceData!$AJ$97),"")</f>
        <v>67906</v>
      </c>
      <c r="AK97">
        <f ca="1">IFERROR(IF(0=LEN(ReferenceData!$AK$97),"",ReferenceData!$AK$97),"")</f>
        <v>66649</v>
      </c>
      <c r="AL97">
        <f ca="1">IFERROR(IF(0=LEN(ReferenceData!$AL$97),"",ReferenceData!$AL$97),"")</f>
        <v>65909</v>
      </c>
      <c r="AM97">
        <f ca="1">IFERROR(IF(0=LEN(ReferenceData!$AM$97),"",ReferenceData!$AM$97),"")</f>
        <v>65272</v>
      </c>
      <c r="AN97">
        <f ca="1">IFERROR(IF(0=LEN(ReferenceData!$AN$97),"",ReferenceData!$AN$97),"")</f>
        <v>64227</v>
      </c>
      <c r="AO97" t="str">
        <f ca="1">IFERROR(IF(0=LEN(ReferenceData!$AO$97),"",ReferenceData!$AO$97),"")</f>
        <v/>
      </c>
      <c r="AP97">
        <f ca="1">IFERROR(IF(0=LEN(ReferenceData!$AP$97),"",ReferenceData!$AP$97),"")</f>
        <v>63148</v>
      </c>
      <c r="AQ97" t="str">
        <f ca="1">IFERROR(IF(0=LEN(ReferenceData!$AQ$97),"",ReferenceData!$AQ$97),"")</f>
        <v/>
      </c>
      <c r="AR97" t="str">
        <f ca="1">IFERROR(IF(0=LEN(ReferenceData!$AR$97),"",ReferenceData!$AR$97),"")</f>
        <v/>
      </c>
      <c r="AS97" t="str">
        <f ca="1">IFERROR(IF(0=LEN(ReferenceData!$AS$97),"",ReferenceData!$AS$97),"")</f>
        <v/>
      </c>
      <c r="AT97" t="str">
        <f ca="1">IFERROR(IF(0=LEN(ReferenceData!$AT$97),"",ReferenceData!$AT$97),"")</f>
        <v/>
      </c>
      <c r="AU97" t="str">
        <f ca="1">IFERROR(IF(0=LEN(ReferenceData!$AU$97),"",ReferenceData!$AU$97),"")</f>
        <v/>
      </c>
      <c r="AV97" t="str">
        <f ca="1">IFERROR(IF(0=LEN(ReferenceData!$AV$97),"",ReferenceData!$AV$97),"")</f>
        <v/>
      </c>
      <c r="AW97" t="str">
        <f ca="1">IFERROR(IF(0=LEN(ReferenceData!$AW$97),"",ReferenceData!$AW$97),"")</f>
        <v/>
      </c>
      <c r="AX97" t="str">
        <f ca="1">IFERROR(IF(0=LEN(ReferenceData!$AX$97),"",ReferenceData!$AX$97),"")</f>
        <v/>
      </c>
      <c r="AY97">
        <f ca="1">IFERROR(IF(0=LEN(ReferenceData!$AY$97),"",ReferenceData!$AY$97),"")</f>
        <v>56042</v>
      </c>
      <c r="AZ97">
        <f ca="1">IFERROR(IF(0=LEN(ReferenceData!$AZ$97),"",ReferenceData!$AZ$97),"")</f>
        <v>55356</v>
      </c>
      <c r="BA97">
        <f ca="1">IFERROR(IF(0=LEN(ReferenceData!$BA$97),"",ReferenceData!$BA$97),"")</f>
        <v>54478</v>
      </c>
      <c r="BB97">
        <f ca="1">IFERROR(IF(0=LEN(ReferenceData!$BB$97),"",ReferenceData!$BB$97),"")</f>
        <v>54223</v>
      </c>
      <c r="BC97">
        <f ca="1">IFERROR(IF(0=LEN(ReferenceData!$BC$97),"",ReferenceData!$BC$97),"")</f>
        <v>54499</v>
      </c>
      <c r="BD97">
        <f ca="1">IFERROR(IF(0=LEN(ReferenceData!$BD$97),"",ReferenceData!$BD$97),"")</f>
        <v>54318</v>
      </c>
      <c r="BE97">
        <f ca="1">IFERROR(IF(0=LEN(ReferenceData!$BE$97),"",ReferenceData!$BE$97),"")</f>
        <v>54778</v>
      </c>
      <c r="BF97">
        <f ca="1">IFERROR(IF(0=LEN(ReferenceData!$BF$97),"",ReferenceData!$BF$97),"")</f>
        <v>54876</v>
      </c>
      <c r="BG97">
        <f ca="1">IFERROR(IF(0=LEN(ReferenceData!$BG$97),"",ReferenceData!$BG$97),"")</f>
        <v>55264</v>
      </c>
      <c r="BH97">
        <f ca="1">IFERROR(IF(0=LEN(ReferenceData!$BH$97),"",ReferenceData!$BH$97),"")</f>
        <v>55166</v>
      </c>
      <c r="BI97">
        <f ca="1">IFERROR(IF(0=LEN(ReferenceData!$BI$97),"",ReferenceData!$BI$97),"")</f>
        <v>54201</v>
      </c>
      <c r="BJ97">
        <f ca="1">IFERROR(IF(0=LEN(ReferenceData!$BJ$97),"",ReferenceData!$BJ$97),"")</f>
        <v>53977</v>
      </c>
      <c r="BK97">
        <f ca="1">IFERROR(IF(0=LEN(ReferenceData!$BK$97),"",ReferenceData!$BK$97),"")</f>
        <v>54053</v>
      </c>
      <c r="BL97">
        <f ca="1">IFERROR(IF(0=LEN(ReferenceData!$BL$97),"",ReferenceData!$BL$97),"")</f>
        <v>53605</v>
      </c>
      <c r="BM97" t="str">
        <f ca="1">IFERROR(IF(0=LEN(ReferenceData!$BM$97),"",ReferenceData!$BM$97),"")</f>
        <v/>
      </c>
    </row>
    <row r="98" spans="1:65" x14ac:dyDescent="0.25">
      <c r="A98" t="str">
        <f>IFERROR(IF(0=LEN(ReferenceData!$A$98),"",ReferenceData!$A$98),"")</f>
        <v xml:space="preserve">    FinecoBank Banca Fineco SpA</v>
      </c>
      <c r="B98" t="str">
        <f>IFERROR(IF(0=LEN(ReferenceData!$B$98),"",ReferenceData!$B$98),"")</f>
        <v>FBK IM Equity</v>
      </c>
      <c r="C98" t="str">
        <f>IFERROR(IF(0=LEN(ReferenceData!$C$98),"",ReferenceData!$C$98),"")</f>
        <v>BS017</v>
      </c>
      <c r="D98" t="str">
        <f>IFERROR(IF(0=LEN(ReferenceData!$D$98),"",ReferenceData!$D$98),"")</f>
        <v>BS_CONS_LOAN</v>
      </c>
      <c r="E98" t="str">
        <f>IFERROR(IF(0=LEN(ReferenceData!$E$98),"",ReferenceData!$E$98),"")</f>
        <v>Dynamic</v>
      </c>
      <c r="F98" t="str">
        <f ca="1">IFERROR(IF(0=LEN(ReferenceData!$F$98),"",ReferenceData!$F$98),"")</f>
        <v/>
      </c>
      <c r="G98" t="str">
        <f ca="1">IFERROR(IF(0=LEN(ReferenceData!$G$98),"",ReferenceData!$G$98),"")</f>
        <v/>
      </c>
      <c r="H98">
        <f ca="1">IFERROR(IF(0=LEN(ReferenceData!$H$98),"",ReferenceData!$H$98),"")</f>
        <v>5217.2129999999997</v>
      </c>
      <c r="I98" t="str">
        <f ca="1">IFERROR(IF(0=LEN(ReferenceData!$I$98),"",ReferenceData!$I$98),"")</f>
        <v/>
      </c>
      <c r="J98">
        <f ca="1">IFERROR(IF(0=LEN(ReferenceData!$J$98),"",ReferenceData!$J$98),"")</f>
        <v>5531.5510000000004</v>
      </c>
      <c r="K98" t="str">
        <f ca="1">IFERROR(IF(0=LEN(ReferenceData!$K$98),"",ReferenceData!$K$98),"")</f>
        <v/>
      </c>
      <c r="L98">
        <f ca="1">IFERROR(IF(0=LEN(ReferenceData!$L$98),"",ReferenceData!$L$98),"")</f>
        <v>5740.8389999999999</v>
      </c>
      <c r="M98" t="str">
        <f ca="1">IFERROR(IF(0=LEN(ReferenceData!$M$98),"",ReferenceData!$M$98),"")</f>
        <v/>
      </c>
      <c r="N98">
        <f ca="1">IFERROR(IF(0=LEN(ReferenceData!$N$98),"",ReferenceData!$N$98),"")</f>
        <v>5913.0309999999999</v>
      </c>
      <c r="O98" t="str">
        <f ca="1">IFERROR(IF(0=LEN(ReferenceData!$O$98),"",ReferenceData!$O$98),"")</f>
        <v/>
      </c>
      <c r="P98">
        <f ca="1">IFERROR(IF(0=LEN(ReferenceData!$P$98),"",ReferenceData!$P$98),"")</f>
        <v>5731.442</v>
      </c>
      <c r="Q98" t="str">
        <f ca="1">IFERROR(IF(0=LEN(ReferenceData!$Q$98),"",ReferenceData!$Q$98),"")</f>
        <v/>
      </c>
      <c r="R98">
        <f ca="1">IFERROR(IF(0=LEN(ReferenceData!$R$98),"",ReferenceData!$R$98),"")</f>
        <v>5413.22</v>
      </c>
      <c r="S98" t="str">
        <f ca="1">IFERROR(IF(0=LEN(ReferenceData!$S$98),"",ReferenceData!$S$98),"")</f>
        <v/>
      </c>
      <c r="T98">
        <f ca="1">IFERROR(IF(0=LEN(ReferenceData!$T$98),"",ReferenceData!$T$98),"")</f>
        <v>4653.2730000000001</v>
      </c>
      <c r="U98" t="str">
        <f ca="1">IFERROR(IF(0=LEN(ReferenceData!$U$98),"",ReferenceData!$U$98),"")</f>
        <v/>
      </c>
      <c r="V98">
        <f ca="1">IFERROR(IF(0=LEN(ReferenceData!$V$98),"",ReferenceData!$V$98),"")</f>
        <v>4004.4119999999998</v>
      </c>
      <c r="W98" t="str">
        <f ca="1">IFERROR(IF(0=LEN(ReferenceData!$W$98),"",ReferenceData!$W$98),"")</f>
        <v/>
      </c>
      <c r="X98">
        <f ca="1">IFERROR(IF(0=LEN(ReferenceData!$X$98),"",ReferenceData!$X$98),"")</f>
        <v>3761.114</v>
      </c>
      <c r="Y98" t="str">
        <f ca="1">IFERROR(IF(0=LEN(ReferenceData!$Y$98),"",ReferenceData!$Y$98),"")</f>
        <v/>
      </c>
      <c r="Z98">
        <f ca="1">IFERROR(IF(0=LEN(ReferenceData!$Z$98),"",ReferenceData!$Z$98),"")</f>
        <v>3258.5859999999998</v>
      </c>
      <c r="AA98" t="str">
        <f ca="1">IFERROR(IF(0=LEN(ReferenceData!$AA$98),"",ReferenceData!$AA$98),"")</f>
        <v/>
      </c>
      <c r="AB98">
        <f ca="1">IFERROR(IF(0=LEN(ReferenceData!$AB$98),"",ReferenceData!$AB$98),"")</f>
        <v>2881.9</v>
      </c>
      <c r="AC98" t="str">
        <f ca="1">IFERROR(IF(0=LEN(ReferenceData!$AC$98),"",ReferenceData!$AC$98),"")</f>
        <v/>
      </c>
      <c r="AD98">
        <f ca="1">IFERROR(IF(0=LEN(ReferenceData!$AD$98),"",ReferenceData!$AD$98),"")</f>
        <v>2625.7109999999998</v>
      </c>
      <c r="AE98" t="str">
        <f ca="1">IFERROR(IF(0=LEN(ReferenceData!$AE$98),"",ReferenceData!$AE$98),"")</f>
        <v/>
      </c>
      <c r="AF98">
        <f ca="1">IFERROR(IF(0=LEN(ReferenceData!$AF$98),"",ReferenceData!$AF$98),"")</f>
        <v>2244.2159999999999</v>
      </c>
      <c r="AG98" t="str">
        <f ca="1">IFERROR(IF(0=LEN(ReferenceData!$AG$98),"",ReferenceData!$AG$98),"")</f>
        <v/>
      </c>
      <c r="AH98">
        <f ca="1">IFERROR(IF(0=LEN(ReferenceData!$AH$98),"",ReferenceData!$AH$98),"")</f>
        <v>1790.8530000000001</v>
      </c>
      <c r="AI98" t="str">
        <f ca="1">IFERROR(IF(0=LEN(ReferenceData!$AI$98),"",ReferenceData!$AI$98),"")</f>
        <v/>
      </c>
      <c r="AJ98">
        <f ca="1">IFERROR(IF(0=LEN(ReferenceData!$AJ$98),"",ReferenceData!$AJ$98),"")</f>
        <v>1175.597</v>
      </c>
      <c r="AK98" t="str">
        <f ca="1">IFERROR(IF(0=LEN(ReferenceData!$AK$98),"",ReferenceData!$AK$98),"")</f>
        <v/>
      </c>
      <c r="AL98">
        <f ca="1">IFERROR(IF(0=LEN(ReferenceData!$AL$98),"",ReferenceData!$AL$98),"")</f>
        <v>804.95523500000002</v>
      </c>
      <c r="AM98" t="str">
        <f ca="1">IFERROR(IF(0=LEN(ReferenceData!$AM$98),"",ReferenceData!$AM$98),"")</f>
        <v/>
      </c>
      <c r="AN98">
        <f ca="1">IFERROR(IF(0=LEN(ReferenceData!$AN$98),"",ReferenceData!$AN$98),"")</f>
        <v>669.10799999999995</v>
      </c>
      <c r="AO98" t="str">
        <f ca="1">IFERROR(IF(0=LEN(ReferenceData!$AO$98),"",ReferenceData!$AO$98),"")</f>
        <v/>
      </c>
      <c r="AP98">
        <f ca="1">IFERROR(IF(0=LEN(ReferenceData!$AP$98),"",ReferenceData!$AP$98),"")</f>
        <v>611.83379400000001</v>
      </c>
      <c r="AQ98" t="str">
        <f ca="1">IFERROR(IF(0=LEN(ReferenceData!$AQ$98),"",ReferenceData!$AQ$98),"")</f>
        <v/>
      </c>
      <c r="AR98">
        <f ca="1">IFERROR(IF(0=LEN(ReferenceData!$AR$98),"",ReferenceData!$AR$98),"")</f>
        <v>522.11900000000003</v>
      </c>
      <c r="AS98" t="str">
        <f ca="1">IFERROR(IF(0=LEN(ReferenceData!$AS$98),"",ReferenceData!$AS$98),"")</f>
        <v/>
      </c>
      <c r="AT98">
        <f ca="1">IFERROR(IF(0=LEN(ReferenceData!$AT$98),"",ReferenceData!$AT$98),"")</f>
        <v>477.28800000000001</v>
      </c>
      <c r="AU98">
        <f ca="1">IFERROR(IF(0=LEN(ReferenceData!$AU$98),"",ReferenceData!$AU$98),"")</f>
        <v>419.17200000000003</v>
      </c>
      <c r="AV98">
        <f ca="1">IFERROR(IF(0=LEN(ReferenceData!$AV$98),"",ReferenceData!$AV$98),"")</f>
        <v>409.40100000000001</v>
      </c>
      <c r="AW98">
        <f ca="1">IFERROR(IF(0=LEN(ReferenceData!$AW$98),"",ReferenceData!$AW$98),"")</f>
        <v>385.81900000000002</v>
      </c>
      <c r="AX98" t="str">
        <f ca="1">IFERROR(IF(0=LEN(ReferenceData!$AX$98),"",ReferenceData!$AX$98),"")</f>
        <v/>
      </c>
      <c r="AY98" t="str">
        <f ca="1">IFERROR(IF(0=LEN(ReferenceData!$AY$98),"",ReferenceData!$AY$98),"")</f>
        <v/>
      </c>
      <c r="AZ98" t="str">
        <f ca="1">IFERROR(IF(0=LEN(ReferenceData!$AZ$98),"",ReferenceData!$AZ$98),"")</f>
        <v/>
      </c>
      <c r="BA98" t="str">
        <f ca="1">IFERROR(IF(0=LEN(ReferenceData!$BA$98),"",ReferenceData!$BA$98),"")</f>
        <v/>
      </c>
      <c r="BB98" t="str">
        <f ca="1">IFERROR(IF(0=LEN(ReferenceData!$BB$98),"",ReferenceData!$BB$98),"")</f>
        <v/>
      </c>
      <c r="BC98" t="str">
        <f ca="1">IFERROR(IF(0=LEN(ReferenceData!$BC$98),"",ReferenceData!$BC$98),"")</f>
        <v/>
      </c>
      <c r="BD98" t="str">
        <f ca="1">IFERROR(IF(0=LEN(ReferenceData!$BD$98),"",ReferenceData!$BD$98),"")</f>
        <v/>
      </c>
      <c r="BE98" t="str">
        <f ca="1">IFERROR(IF(0=LEN(ReferenceData!$BE$98),"",ReferenceData!$BE$98),"")</f>
        <v/>
      </c>
      <c r="BF98" t="str">
        <f ca="1">IFERROR(IF(0=LEN(ReferenceData!$BF$98),"",ReferenceData!$BF$98),"")</f>
        <v/>
      </c>
      <c r="BG98" t="str">
        <f ca="1">IFERROR(IF(0=LEN(ReferenceData!$BG$98),"",ReferenceData!$BG$98),"")</f>
        <v/>
      </c>
      <c r="BH98" t="str">
        <f ca="1">IFERROR(IF(0=LEN(ReferenceData!$BH$98),"",ReferenceData!$BH$98),"")</f>
        <v/>
      </c>
      <c r="BI98" t="str">
        <f ca="1">IFERROR(IF(0=LEN(ReferenceData!$BI$98),"",ReferenceData!$BI$98),"")</f>
        <v/>
      </c>
      <c r="BJ98" t="str">
        <f ca="1">IFERROR(IF(0=LEN(ReferenceData!$BJ$98),"",ReferenceData!$BJ$98),"")</f>
        <v/>
      </c>
      <c r="BK98" t="str">
        <f ca="1">IFERROR(IF(0=LEN(ReferenceData!$BK$98),"",ReferenceData!$BK$98),"")</f>
        <v/>
      </c>
      <c r="BL98" t="str">
        <f ca="1">IFERROR(IF(0=LEN(ReferenceData!$BL$98),"",ReferenceData!$BL$98),"")</f>
        <v/>
      </c>
      <c r="BM98" t="str">
        <f ca="1">IFERROR(IF(0=LEN(ReferenceData!$BM$98),"",ReferenceData!$BM$98),"")</f>
        <v/>
      </c>
    </row>
    <row r="99" spans="1:65" x14ac:dyDescent="0.25">
      <c r="A99" t="str">
        <f>IFERROR(IF(0=LEN(ReferenceData!$A$99),"",ReferenceData!$A$99),"")</f>
        <v xml:space="preserve">    HSBC Holdings PLC</v>
      </c>
      <c r="B99" t="str">
        <f>IFERROR(IF(0=LEN(ReferenceData!$B$99),"",ReferenceData!$B$99),"")</f>
        <v>HSBA LN Equity</v>
      </c>
      <c r="C99" t="str">
        <f>IFERROR(IF(0=LEN(ReferenceData!$C$99),"",ReferenceData!$C$99),"")</f>
        <v>BS017</v>
      </c>
      <c r="D99" t="str">
        <f>IFERROR(IF(0=LEN(ReferenceData!$D$99),"",ReferenceData!$D$99),"")</f>
        <v>BS_CONS_LOAN</v>
      </c>
      <c r="E99" t="str">
        <f>IFERROR(IF(0=LEN(ReferenceData!$E$99),"",ReferenceData!$E$99),"")</f>
        <v>Dynamic</v>
      </c>
      <c r="F99">
        <f ca="1">IFERROR(IF(0=LEN(ReferenceData!$F$99),"",ReferenceData!$F$99),"")</f>
        <v>432143.2022</v>
      </c>
      <c r="G99" t="str">
        <f ca="1">IFERROR(IF(0=LEN(ReferenceData!$G$99),"",ReferenceData!$G$99),"")</f>
        <v/>
      </c>
      <c r="H99">
        <f ca="1">IFERROR(IF(0=LEN(ReferenceData!$H$99),"",ReferenceData!$H$99),"")</f>
        <v>416623.7402</v>
      </c>
      <c r="I99" t="str">
        <f ca="1">IFERROR(IF(0=LEN(ReferenceData!$I$99),"",ReferenceData!$I$99),"")</f>
        <v/>
      </c>
      <c r="J99">
        <f ca="1">IFERROR(IF(0=LEN(ReferenceData!$J$99),"",ReferenceData!$J$99),"")</f>
        <v>404484.81559999997</v>
      </c>
      <c r="K99" t="str">
        <f ca="1">IFERROR(IF(0=LEN(ReferenceData!$K$99),"",ReferenceData!$K$99),"")</f>
        <v/>
      </c>
      <c r="L99">
        <f ca="1">IFERROR(IF(0=LEN(ReferenceData!$L$99),"",ReferenceData!$L$99),"")</f>
        <v>415320.57150000002</v>
      </c>
      <c r="M99" t="str">
        <f ca="1">IFERROR(IF(0=LEN(ReferenceData!$M$99),"",ReferenceData!$M$99),"")</f>
        <v/>
      </c>
      <c r="N99">
        <f ca="1">IFERROR(IF(0=LEN(ReferenceData!$N$99),"",ReferenceData!$N$99),"")</f>
        <v>387341.98489999998</v>
      </c>
      <c r="O99" t="str">
        <f ca="1">IFERROR(IF(0=LEN(ReferenceData!$O$99),"",ReferenceData!$O$99),"")</f>
        <v/>
      </c>
      <c r="P99">
        <f ca="1">IFERROR(IF(0=LEN(ReferenceData!$P$99),"",ReferenceData!$P$99),"")</f>
        <v>442259.8493</v>
      </c>
      <c r="Q99" t="str">
        <f ca="1">IFERROR(IF(0=LEN(ReferenceData!$Q$99),"",ReferenceData!$Q$99),"")</f>
        <v/>
      </c>
      <c r="R99">
        <f ca="1">IFERROR(IF(0=LEN(ReferenceData!$R$99),"",ReferenceData!$R$99),"")</f>
        <v>420109.78389999998</v>
      </c>
      <c r="S99">
        <f ca="1">IFERROR(IF(0=LEN(ReferenceData!$S$99),"",ReferenceData!$S$99),"")</f>
        <v>407983.7525</v>
      </c>
      <c r="T99">
        <f ca="1">IFERROR(IF(0=LEN(ReferenceData!$T$99),"",ReferenceData!$T$99),"")</f>
        <v>407162.6298</v>
      </c>
      <c r="U99">
        <f ca="1">IFERROR(IF(0=LEN(ReferenceData!$U$99),"",ReferenceData!$U$99),"")</f>
        <v>396119.14889999997</v>
      </c>
      <c r="V99">
        <f ca="1">IFERROR(IF(0=LEN(ReferenceData!$V$99),"",ReferenceData!$V$99),"")</f>
        <v>376939.87729999999</v>
      </c>
      <c r="W99">
        <f ca="1">IFERROR(IF(0=LEN(ReferenceData!$W$99),"",ReferenceData!$W$99),"")</f>
        <v>385685.8898</v>
      </c>
      <c r="X99">
        <f ca="1">IFERROR(IF(0=LEN(ReferenceData!$X$99),"",ReferenceData!$X$99),"")</f>
        <v>375508.31630000001</v>
      </c>
      <c r="Y99">
        <f ca="1">IFERROR(IF(0=LEN(ReferenceData!$Y$99),"",ReferenceData!$Y$99),"")</f>
        <v>380103.91029999999</v>
      </c>
      <c r="Z99">
        <f ca="1">IFERROR(IF(0=LEN(ReferenceData!$Z$99),"",ReferenceData!$Z$99),"")</f>
        <v>386740.58240000001</v>
      </c>
      <c r="AA99">
        <f ca="1">IFERROR(IF(0=LEN(ReferenceData!$AA$99),"",ReferenceData!$AA$99),"")</f>
        <v>380898.83519999997</v>
      </c>
      <c r="AB99">
        <f ca="1">IFERROR(IF(0=LEN(ReferenceData!$AB$99),"",ReferenceData!$AB$99),"")</f>
        <v>364777.70929999999</v>
      </c>
      <c r="AC99">
        <f ca="1">IFERROR(IF(0=LEN(ReferenceData!$AC$99),"",ReferenceData!$AC$99),"")</f>
        <v>360749.48759999999</v>
      </c>
      <c r="AD99">
        <f ca="1">IFERROR(IF(0=LEN(ReferenceData!$AD$99),"",ReferenceData!$AD$99),"")</f>
        <v>344338.98009999999</v>
      </c>
      <c r="AE99">
        <f ca="1">IFERROR(IF(0=LEN(ReferenceData!$AE$99),"",ReferenceData!$AE$99),"")</f>
        <v>332329.08559999999</v>
      </c>
      <c r="AF99">
        <f ca="1">IFERROR(IF(0=LEN(ReferenceData!$AF$99),"",ReferenceData!$AF$99),"")</f>
        <v>327932.68819999998</v>
      </c>
      <c r="AG99">
        <f ca="1">IFERROR(IF(0=LEN(ReferenceData!$AG$99),"",ReferenceData!$AG$99),"")</f>
        <v>314981.74739999999</v>
      </c>
      <c r="AH99">
        <f ca="1">IFERROR(IF(0=LEN(ReferenceData!$AH$99),"",ReferenceData!$AH$99),"")</f>
        <v>313160.03989999997</v>
      </c>
      <c r="AI99">
        <f ca="1">IFERROR(IF(0=LEN(ReferenceData!$AI$99),"",ReferenceData!$AI$99),"")</f>
        <v>311087.01179999998</v>
      </c>
      <c r="AJ99">
        <f ca="1">IFERROR(IF(0=LEN(ReferenceData!$AJ$99),"",ReferenceData!$AJ$99),"")</f>
        <v>310978.70850000001</v>
      </c>
      <c r="AK99">
        <f ca="1">IFERROR(IF(0=LEN(ReferenceData!$AK$99),"",ReferenceData!$AK$99),"")</f>
        <v>319950.4534</v>
      </c>
      <c r="AL99">
        <f ca="1">IFERROR(IF(0=LEN(ReferenceData!$AL$99),"",ReferenceData!$AL$99),"")</f>
        <v>322175.02610000002</v>
      </c>
      <c r="AM99">
        <f ca="1">IFERROR(IF(0=LEN(ReferenceData!$AM$99),"",ReferenceData!$AM$99),"")</f>
        <v>316887.24619999999</v>
      </c>
      <c r="AN99">
        <f ca="1">IFERROR(IF(0=LEN(ReferenceData!$AN$99),"",ReferenceData!$AN$99),"")</f>
        <v>324856.859</v>
      </c>
      <c r="AO99">
        <f ca="1">IFERROR(IF(0=LEN(ReferenceData!$AO$99),"",ReferenceData!$AO$99),"")</f>
        <v>324655.12699999998</v>
      </c>
      <c r="AP99">
        <f ca="1">IFERROR(IF(0=LEN(ReferenceData!$AP$99),"",ReferenceData!$AP$99),"")</f>
        <v>344268.36</v>
      </c>
      <c r="AQ99">
        <f ca="1">IFERROR(IF(0=LEN(ReferenceData!$AQ$99),"",ReferenceData!$AQ$99),"")</f>
        <v>335101.94959999999</v>
      </c>
      <c r="AR99">
        <f ca="1">IFERROR(IF(0=LEN(ReferenceData!$AR$99),"",ReferenceData!$AR$99),"")</f>
        <v>345467.58720000001</v>
      </c>
      <c r="AS99">
        <f ca="1">IFERROR(IF(0=LEN(ReferenceData!$AS$99),"",ReferenceData!$AS$99),"")</f>
        <v>356417.78519999998</v>
      </c>
      <c r="AT99">
        <f ca="1">IFERROR(IF(0=LEN(ReferenceData!$AT$99),"",ReferenceData!$AT$99),"")</f>
        <v>325251.23969999998</v>
      </c>
      <c r="AU99">
        <f ca="1">IFERROR(IF(0=LEN(ReferenceData!$AU$99),"",ReferenceData!$AU$99),"")</f>
        <v>319030.01030000002</v>
      </c>
      <c r="AV99">
        <f ca="1">IFERROR(IF(0=LEN(ReferenceData!$AV$99),"",ReferenceData!$AV$99),"")</f>
        <v>303690.28490000003</v>
      </c>
      <c r="AW99">
        <f ca="1">IFERROR(IF(0=LEN(ReferenceData!$AW$99),"",ReferenceData!$AW$99),"")</f>
        <v>297560.2672</v>
      </c>
      <c r="AX99">
        <f ca="1">IFERROR(IF(0=LEN(ReferenceData!$AX$99),"",ReferenceData!$AX$99),"")</f>
        <v>297866.41529999999</v>
      </c>
      <c r="AY99">
        <f ca="1">IFERROR(IF(0=LEN(ReferenceData!$AY$99),"",ReferenceData!$AY$99),"")</f>
        <v>301365.75270000001</v>
      </c>
      <c r="AZ99">
        <f ca="1">IFERROR(IF(0=LEN(ReferenceData!$AZ$99),"",ReferenceData!$AZ$99),"")</f>
        <v>303351.78779999999</v>
      </c>
      <c r="BA99">
        <f ca="1">IFERROR(IF(0=LEN(ReferenceData!$BA$99),"",ReferenceData!$BA$99),"")</f>
        <v>309238.63020000001</v>
      </c>
      <c r="BB99">
        <f ca="1">IFERROR(IF(0=LEN(ReferenceData!$BB$99),"",ReferenceData!$BB$99),"")</f>
        <v>314535.87939999998</v>
      </c>
      <c r="BC99">
        <f ca="1">IFERROR(IF(0=LEN(ReferenceData!$BC$99),"",ReferenceData!$BC$99),"")</f>
        <v>317490.68030000001</v>
      </c>
      <c r="BD99">
        <f ca="1">IFERROR(IF(0=LEN(ReferenceData!$BD$99),"",ReferenceData!$BD$99),"")</f>
        <v>316814.48109999998</v>
      </c>
      <c r="BE99">
        <f ca="1">IFERROR(IF(0=LEN(ReferenceData!$BE$99),"",ReferenceData!$BE$99),"")</f>
        <v>301299.1299</v>
      </c>
      <c r="BF99">
        <f ca="1">IFERROR(IF(0=LEN(ReferenceData!$BF$99),"",ReferenceData!$BF$99),"")</f>
        <v>303722.9938</v>
      </c>
      <c r="BG99">
        <f ca="1">IFERROR(IF(0=LEN(ReferenceData!$BG$99),"",ReferenceData!$BG$99),"")</f>
        <v>294285.07699999999</v>
      </c>
      <c r="BH99">
        <f ca="1">IFERROR(IF(0=LEN(ReferenceData!$BH$99),"",ReferenceData!$BH$99),"")</f>
        <v>302791.17849999998</v>
      </c>
      <c r="BI99">
        <f ca="1">IFERROR(IF(0=LEN(ReferenceData!$BI$99),"",ReferenceData!$BI$99),"")</f>
        <v>304553.20649999997</v>
      </c>
      <c r="BJ99">
        <f ca="1">IFERROR(IF(0=LEN(ReferenceData!$BJ$99),"",ReferenceData!$BJ$99),"")</f>
        <v>318210.38459999999</v>
      </c>
      <c r="BK99" t="str">
        <f ca="1">IFERROR(IF(0=LEN(ReferenceData!$BK$99),"",ReferenceData!$BK$99),"")</f>
        <v/>
      </c>
      <c r="BL99">
        <f ca="1">IFERROR(IF(0=LEN(ReferenceData!$BL$99),"",ReferenceData!$BL$99),"")</f>
        <v>334545.15789999999</v>
      </c>
      <c r="BM99" t="str">
        <f ca="1">IFERROR(IF(0=LEN(ReferenceData!$BM$99),"",ReferenceData!$BM$99),"")</f>
        <v/>
      </c>
    </row>
    <row r="100" spans="1:65" x14ac:dyDescent="0.25">
      <c r="A100" t="str">
        <f>IFERROR(IF(0=LEN(ReferenceData!$A$100),"",ReferenceData!$A$100),"")</f>
        <v xml:space="preserve">    ING Groep NV</v>
      </c>
      <c r="B100" t="str">
        <f>IFERROR(IF(0=LEN(ReferenceData!$B$100),"",ReferenceData!$B$100),"")</f>
        <v>INGA NA Equity</v>
      </c>
      <c r="C100" t="str">
        <f>IFERROR(IF(0=LEN(ReferenceData!$C$100),"",ReferenceData!$C$100),"")</f>
        <v>BS017</v>
      </c>
      <c r="D100" t="str">
        <f>IFERROR(IF(0=LEN(ReferenceData!$D$100),"",ReferenceData!$D$100),"")</f>
        <v>BS_CONS_LOAN</v>
      </c>
      <c r="E100" t="str">
        <f>IFERROR(IF(0=LEN(ReferenceData!$E$100),"",ReferenceData!$E$100),"")</f>
        <v>Dynamic</v>
      </c>
      <c r="F100">
        <f ca="1">IFERROR(IF(0=LEN(ReferenceData!$F$100),"",ReferenceData!$F$100),"")</f>
        <v>382013</v>
      </c>
      <c r="G100" t="str">
        <f ca="1">IFERROR(IF(0=LEN(ReferenceData!$G$100),"",ReferenceData!$G$100),"")</f>
        <v/>
      </c>
      <c r="H100">
        <f ca="1">IFERROR(IF(0=LEN(ReferenceData!$H$100),"",ReferenceData!$H$100),"")</f>
        <v>368306</v>
      </c>
      <c r="I100" t="str">
        <f ca="1">IFERROR(IF(0=LEN(ReferenceData!$I$100),"",ReferenceData!$I$100),"")</f>
        <v/>
      </c>
      <c r="J100">
        <f ca="1">IFERROR(IF(0=LEN(ReferenceData!$J$100),"",ReferenceData!$J$100),"")</f>
        <v>361167</v>
      </c>
      <c r="K100" t="str">
        <f ca="1">IFERROR(IF(0=LEN(ReferenceData!$K$100),"",ReferenceData!$K$100),"")</f>
        <v/>
      </c>
      <c r="L100">
        <f ca="1">IFERROR(IF(0=LEN(ReferenceData!$L$100),"",ReferenceData!$L$100),"")</f>
        <v>351811</v>
      </c>
      <c r="M100" t="str">
        <f ca="1">IFERROR(IF(0=LEN(ReferenceData!$M$100),"",ReferenceData!$M$100),"")</f>
        <v/>
      </c>
      <c r="N100">
        <f ca="1">IFERROR(IF(0=LEN(ReferenceData!$N$100),"",ReferenceData!$N$100),"")</f>
        <v>349644</v>
      </c>
      <c r="O100" t="str">
        <f ca="1">IFERROR(IF(0=LEN(ReferenceData!$O$100),"",ReferenceData!$O$100),"")</f>
        <v/>
      </c>
      <c r="P100">
        <f ca="1">IFERROR(IF(0=LEN(ReferenceData!$P$100),"",ReferenceData!$P$100),"")</f>
        <v>352237</v>
      </c>
      <c r="Q100" t="str">
        <f ca="1">IFERROR(IF(0=LEN(ReferenceData!$Q$100),"",ReferenceData!$Q$100),"")</f>
        <v/>
      </c>
      <c r="R100">
        <f ca="1">IFERROR(IF(0=LEN(ReferenceData!$R$100),"",ReferenceData!$R$100),"")</f>
        <v>394238</v>
      </c>
      <c r="S100" t="str">
        <f ca="1">IFERROR(IF(0=LEN(ReferenceData!$S$100),"",ReferenceData!$S$100),"")</f>
        <v/>
      </c>
      <c r="T100">
        <f ca="1">IFERROR(IF(0=LEN(ReferenceData!$T$100),"",ReferenceData!$T$100),"")</f>
        <v>387085</v>
      </c>
      <c r="U100" t="str">
        <f ca="1">IFERROR(IF(0=LEN(ReferenceData!$U$100),"",ReferenceData!$U$100),"")</f>
        <v/>
      </c>
      <c r="V100">
        <f ca="1">IFERROR(IF(0=LEN(ReferenceData!$V$100),"",ReferenceData!$V$100),"")</f>
        <v>384131</v>
      </c>
      <c r="W100" t="str">
        <f ca="1">IFERROR(IF(0=LEN(ReferenceData!$W$100),"",ReferenceData!$W$100),"")</f>
        <v/>
      </c>
      <c r="X100">
        <f ca="1">IFERROR(IF(0=LEN(ReferenceData!$X$100),"",ReferenceData!$X$100),"")</f>
        <v>381905</v>
      </c>
      <c r="Y100" t="str">
        <f ca="1">IFERROR(IF(0=LEN(ReferenceData!$Y$100),"",ReferenceData!$Y$100),"")</f>
        <v/>
      </c>
      <c r="Z100">
        <f ca="1">IFERROR(IF(0=LEN(ReferenceData!$Z$100),"",ReferenceData!$Z$100),"")</f>
        <v>380512</v>
      </c>
      <c r="AA100" t="str">
        <f ca="1">IFERROR(IF(0=LEN(ReferenceData!$AA$100),"",ReferenceData!$AA$100),"")</f>
        <v/>
      </c>
      <c r="AB100">
        <f ca="1">IFERROR(IF(0=LEN(ReferenceData!$AB$100),"",ReferenceData!$AB$100),"")</f>
        <v>372368</v>
      </c>
      <c r="AC100" t="str">
        <f ca="1">IFERROR(IF(0=LEN(ReferenceData!$AC$100),"",ReferenceData!$AC$100),"")</f>
        <v/>
      </c>
      <c r="AD100">
        <f ca="1">IFERROR(IF(0=LEN(ReferenceData!$AD$100),"",ReferenceData!$AD$100),"")</f>
        <v>364789</v>
      </c>
      <c r="AE100" t="str">
        <f ca="1">IFERROR(IF(0=LEN(ReferenceData!$AE$100),"",ReferenceData!$AE$100),"")</f>
        <v/>
      </c>
      <c r="AF100">
        <f ca="1">IFERROR(IF(0=LEN(ReferenceData!$AF$100),"",ReferenceData!$AF$100),"")</f>
        <v>356581</v>
      </c>
      <c r="AG100" t="str">
        <f ca="1">IFERROR(IF(0=LEN(ReferenceData!$AG$100),"",ReferenceData!$AG$100),"")</f>
        <v/>
      </c>
      <c r="AH100">
        <f ca="1">IFERROR(IF(0=LEN(ReferenceData!$AH$100),"",ReferenceData!$AH$100),"")</f>
        <v>349821</v>
      </c>
      <c r="AI100" t="str">
        <f ca="1">IFERROR(IF(0=LEN(ReferenceData!$AI$100),"",ReferenceData!$AI$100),"")</f>
        <v/>
      </c>
      <c r="AJ100">
        <f ca="1">IFERROR(IF(0=LEN(ReferenceData!$AJ$100),"",ReferenceData!$AJ$100),"")</f>
        <v>344033</v>
      </c>
      <c r="AK100" t="str">
        <f ca="1">IFERROR(IF(0=LEN(ReferenceData!$AK$100),"",ReferenceData!$AK$100),"")</f>
        <v/>
      </c>
      <c r="AL100">
        <f ca="1">IFERROR(IF(0=LEN(ReferenceData!$AL$100),"",ReferenceData!$AL$100),"")</f>
        <v>341728</v>
      </c>
      <c r="AM100" t="str">
        <f ca="1">IFERROR(IF(0=LEN(ReferenceData!$AM$100),"",ReferenceData!$AM$100),"")</f>
        <v/>
      </c>
      <c r="AN100">
        <f ca="1">IFERROR(IF(0=LEN(ReferenceData!$AN$100),"",ReferenceData!$AN$100),"")</f>
        <v>322196</v>
      </c>
      <c r="AO100" t="str">
        <f ca="1">IFERROR(IF(0=LEN(ReferenceData!$AO$100),"",ReferenceData!$AO$100),"")</f>
        <v/>
      </c>
      <c r="AP100">
        <f ca="1">IFERROR(IF(0=LEN(ReferenceData!$AP$100),"",ReferenceData!$AP$100),"")</f>
        <v>331300</v>
      </c>
      <c r="AQ100">
        <f ca="1">IFERROR(IF(0=LEN(ReferenceData!$AQ$100),"",ReferenceData!$AQ$100),"")</f>
        <v>319508</v>
      </c>
      <c r="AR100">
        <f ca="1">IFERROR(IF(0=LEN(ReferenceData!$AR$100),"",ReferenceData!$AR$100),"")</f>
        <v>317452</v>
      </c>
      <c r="AS100">
        <f ca="1">IFERROR(IF(0=LEN(ReferenceData!$AS$100),"",ReferenceData!$AS$100),"")</f>
        <v>319995</v>
      </c>
      <c r="AT100">
        <f ca="1">IFERROR(IF(0=LEN(ReferenceData!$AT$100),"",ReferenceData!$AT$100),"")</f>
        <v>320393</v>
      </c>
      <c r="AU100">
        <f ca="1">IFERROR(IF(0=LEN(ReferenceData!$AU$100),"",ReferenceData!$AU$100),"")</f>
        <v>317719</v>
      </c>
      <c r="AV100">
        <f ca="1">IFERROR(IF(0=LEN(ReferenceData!$AV$100),"",ReferenceData!$AV$100),"")</f>
        <v>318336</v>
      </c>
      <c r="AW100">
        <f ca="1">IFERROR(IF(0=LEN(ReferenceData!$AW$100),"",ReferenceData!$AW$100),"")</f>
        <v>315280</v>
      </c>
      <c r="AX100">
        <f ca="1">IFERROR(IF(0=LEN(ReferenceData!$AX$100),"",ReferenceData!$AX$100),"")</f>
        <v>334051</v>
      </c>
      <c r="AY100">
        <f ca="1">IFERROR(IF(0=LEN(ReferenceData!$AY$100),"",ReferenceData!$AY$100),"")</f>
        <v>325476</v>
      </c>
      <c r="AZ100">
        <f ca="1">IFERROR(IF(0=LEN(ReferenceData!$AZ$100),"",ReferenceData!$AZ$100),"")</f>
        <v>330044</v>
      </c>
      <c r="BA100">
        <f ca="1">IFERROR(IF(0=LEN(ReferenceData!$BA$100),"",ReferenceData!$BA$100),"")</f>
        <v>332553</v>
      </c>
      <c r="BB100" t="str">
        <f ca="1">IFERROR(IF(0=LEN(ReferenceData!$BB$100),"",ReferenceData!$BB$100),"")</f>
        <v/>
      </c>
      <c r="BC100">
        <f ca="1">IFERROR(IF(0=LEN(ReferenceData!$BC$100),"",ReferenceData!$BC$100),"")</f>
        <v>339028</v>
      </c>
      <c r="BD100" t="str">
        <f ca="1">IFERROR(IF(0=LEN(ReferenceData!$BD$100),"",ReferenceData!$BD$100),"")</f>
        <v/>
      </c>
      <c r="BE100">
        <f ca="1">IFERROR(IF(0=LEN(ReferenceData!$BE$100),"",ReferenceData!$BE$100),"")</f>
        <v>349377</v>
      </c>
      <c r="BF100">
        <f ca="1">IFERROR(IF(0=LEN(ReferenceData!$BF$100),"",ReferenceData!$BF$100),"")</f>
        <v>367329</v>
      </c>
      <c r="BG100">
        <f ca="1">IFERROR(IF(0=LEN(ReferenceData!$BG$100),"",ReferenceData!$BG$100),"")</f>
        <v>347102</v>
      </c>
      <c r="BH100">
        <f ca="1">IFERROR(IF(0=LEN(ReferenceData!$BH$100),"",ReferenceData!$BH$100),"")</f>
        <v>339981</v>
      </c>
      <c r="BI100">
        <f ca="1">IFERROR(IF(0=LEN(ReferenceData!$BI$100),"",ReferenceData!$BI$100),"")</f>
        <v>378620</v>
      </c>
      <c r="BJ100">
        <f ca="1">IFERROR(IF(0=LEN(ReferenceData!$BJ$100),"",ReferenceData!$BJ$100),"")</f>
        <v>370245</v>
      </c>
      <c r="BK100">
        <f ca="1">IFERROR(IF(0=LEN(ReferenceData!$BK$100),"",ReferenceData!$BK$100),"")</f>
        <v>367947</v>
      </c>
      <c r="BL100">
        <f ca="1">IFERROR(IF(0=LEN(ReferenceData!$BL$100),"",ReferenceData!$BL$100),"")</f>
        <v>366826</v>
      </c>
      <c r="BM100" t="str">
        <f ca="1">IFERROR(IF(0=LEN(ReferenceData!$BM$100),"",ReferenceData!$BM$100),"")</f>
        <v/>
      </c>
    </row>
    <row r="101" spans="1:65" x14ac:dyDescent="0.25">
      <c r="A101" t="str">
        <f>IFERROR(IF(0=LEN(ReferenceData!$A$101),"",ReferenceData!$A$101),"")</f>
        <v xml:space="preserve">    Intesa Sanpaolo SpA</v>
      </c>
      <c r="B101" t="str">
        <f>IFERROR(IF(0=LEN(ReferenceData!$B$101),"",ReferenceData!$B$101),"")</f>
        <v>ISP IM Equity</v>
      </c>
      <c r="C101" t="str">
        <f>IFERROR(IF(0=LEN(ReferenceData!$C$101),"",ReferenceData!$C$101),"")</f>
        <v>BS017</v>
      </c>
      <c r="D101" t="str">
        <f>IFERROR(IF(0=LEN(ReferenceData!$D$101),"",ReferenceData!$D$101),"")</f>
        <v>BS_CONS_LOAN</v>
      </c>
      <c r="E101" t="str">
        <f>IFERROR(IF(0=LEN(ReferenceData!$E$101),"",ReferenceData!$E$101),"")</f>
        <v>Dynamic</v>
      </c>
      <c r="F101" t="str">
        <f ca="1">IFERROR(IF(0=LEN(ReferenceData!$F$101),"",ReferenceData!$F$101),"")</f>
        <v/>
      </c>
      <c r="G101">
        <f ca="1">IFERROR(IF(0=LEN(ReferenceData!$G$101),"",ReferenceData!$G$101),"")</f>
        <v>237982</v>
      </c>
      <c r="H101">
        <f ca="1">IFERROR(IF(0=LEN(ReferenceData!$H$101),"",ReferenceData!$H$101),"")</f>
        <v>239877</v>
      </c>
      <c r="I101">
        <f ca="1">IFERROR(IF(0=LEN(ReferenceData!$I$101),"",ReferenceData!$I$101),"")</f>
        <v>242666</v>
      </c>
      <c r="J101">
        <f ca="1">IFERROR(IF(0=LEN(ReferenceData!$J$101),"",ReferenceData!$J$101),"")</f>
        <v>250152</v>
      </c>
      <c r="K101">
        <f ca="1">IFERROR(IF(0=LEN(ReferenceData!$K$101),"",ReferenceData!$K$101),"")</f>
        <v>251796</v>
      </c>
      <c r="L101">
        <f ca="1">IFERROR(IF(0=LEN(ReferenceData!$L$101),"",ReferenceData!$L$101),"")</f>
        <v>256167</v>
      </c>
      <c r="M101">
        <f ca="1">IFERROR(IF(0=LEN(ReferenceData!$M$101),"",ReferenceData!$M$101),"")</f>
        <v>263503</v>
      </c>
      <c r="N101">
        <f ca="1">IFERROR(IF(0=LEN(ReferenceData!$N$101),"",ReferenceData!$N$101),"")</f>
        <v>268751</v>
      </c>
      <c r="O101">
        <f ca="1">IFERROR(IF(0=LEN(ReferenceData!$O$101),"",ReferenceData!$O$101),"")</f>
        <v>269662</v>
      </c>
      <c r="P101">
        <f ca="1">IFERROR(IF(0=LEN(ReferenceData!$P$101),"",ReferenceData!$P$101),"")</f>
        <v>270994</v>
      </c>
      <c r="Q101">
        <f ca="1">IFERROR(IF(0=LEN(ReferenceData!$Q$101),"",ReferenceData!$Q$101),"")</f>
        <v>268788</v>
      </c>
      <c r="R101">
        <f ca="1">IFERROR(IF(0=LEN(ReferenceData!$R$101),"",ReferenceData!$R$101),"")</f>
        <v>272667</v>
      </c>
      <c r="S101">
        <f ca="1">IFERROR(IF(0=LEN(ReferenceData!$S$101),"",ReferenceData!$S$101),"")</f>
        <v>272484</v>
      </c>
      <c r="T101">
        <f ca="1">IFERROR(IF(0=LEN(ReferenceData!$T$101),"",ReferenceData!$T$101),"")</f>
        <v>271774</v>
      </c>
      <c r="U101">
        <f ca="1">IFERROR(IF(0=LEN(ReferenceData!$U$101),"",ReferenceData!$U$101),"")</f>
        <v>274220</v>
      </c>
      <c r="V101">
        <f ca="1">IFERROR(IF(0=LEN(ReferenceData!$V$101),"",ReferenceData!$V$101),"")</f>
        <v>269275</v>
      </c>
      <c r="W101">
        <f ca="1">IFERROR(IF(0=LEN(ReferenceData!$W$101),"",ReferenceData!$W$101),"")</f>
        <v>284475</v>
      </c>
      <c r="X101">
        <f ca="1">IFERROR(IF(0=LEN(ReferenceData!$X$101),"",ReferenceData!$X$101),"")</f>
        <v>211127</v>
      </c>
      <c r="Y101">
        <f ca="1">IFERROR(IF(0=LEN(ReferenceData!$Y$101),"",ReferenceData!$Y$101),"")</f>
        <v>200369</v>
      </c>
      <c r="Z101">
        <f ca="1">IFERROR(IF(0=LEN(ReferenceData!$Z$101),"",ReferenceData!$Z$101),"")</f>
        <v>197095</v>
      </c>
      <c r="AA101">
        <f ca="1">IFERROR(IF(0=LEN(ReferenceData!$AA$101),"",ReferenceData!$AA$101),"")</f>
        <v>197361</v>
      </c>
      <c r="AB101">
        <f ca="1">IFERROR(IF(0=LEN(ReferenceData!$AB$101),"",ReferenceData!$AB$101),"")</f>
        <v>195609</v>
      </c>
      <c r="AC101">
        <f ca="1">IFERROR(IF(0=LEN(ReferenceData!$AC$101),"",ReferenceData!$AC$101),"")</f>
        <v>197709</v>
      </c>
      <c r="AD101">
        <f ca="1">IFERROR(IF(0=LEN(ReferenceData!$AD$101),"",ReferenceData!$AD$101),"")</f>
        <v>198748</v>
      </c>
      <c r="AE101">
        <f ca="1">IFERROR(IF(0=LEN(ReferenceData!$AE$101),"",ReferenceData!$AE$101),"")</f>
        <v>195841</v>
      </c>
      <c r="AF101">
        <f ca="1">IFERROR(IF(0=LEN(ReferenceData!$AF$101),"",ReferenceData!$AF$101),"")</f>
        <v>196141</v>
      </c>
      <c r="AG101">
        <f ca="1">IFERROR(IF(0=LEN(ReferenceData!$AG$101),"",ReferenceData!$AG$101),"")</f>
        <v>196571</v>
      </c>
      <c r="AH101">
        <f ca="1">IFERROR(IF(0=LEN(ReferenceData!$AH$101),"",ReferenceData!$AH$101),"")</f>
        <v>195245</v>
      </c>
      <c r="AI101">
        <f ca="1">IFERROR(IF(0=LEN(ReferenceData!$AI$101),"",ReferenceData!$AI$101),"")</f>
        <v>191880</v>
      </c>
      <c r="AJ101">
        <f ca="1">IFERROR(IF(0=LEN(ReferenceData!$AJ$101),"",ReferenceData!$AJ$101),"")</f>
        <v>188906</v>
      </c>
      <c r="AK101" t="str">
        <f ca="1">IFERROR(IF(0=LEN(ReferenceData!$AK$101),"",ReferenceData!$AK$101),"")</f>
        <v/>
      </c>
      <c r="AL101">
        <f ca="1">IFERROR(IF(0=LEN(ReferenceData!$AL$101),"",ReferenceData!$AL$101),"")</f>
        <v>204576</v>
      </c>
      <c r="AM101" t="str">
        <f ca="1">IFERROR(IF(0=LEN(ReferenceData!$AM$101),"",ReferenceData!$AM$101),"")</f>
        <v/>
      </c>
      <c r="AN101" t="str">
        <f ca="1">IFERROR(IF(0=LEN(ReferenceData!$AN$101),"",ReferenceData!$AN$101),"")</f>
        <v/>
      </c>
      <c r="AO101" t="str">
        <f ca="1">IFERROR(IF(0=LEN(ReferenceData!$AO$101),"",ReferenceData!$AO$101),"")</f>
        <v/>
      </c>
      <c r="AP101">
        <f ca="1">IFERROR(IF(0=LEN(ReferenceData!$AP$101),"",ReferenceData!$AP$101),"")</f>
        <v>203034</v>
      </c>
      <c r="AQ101" t="str">
        <f ca="1">IFERROR(IF(0=LEN(ReferenceData!$AQ$101),"",ReferenceData!$AQ$101),"")</f>
        <v/>
      </c>
      <c r="AR101" t="str">
        <f ca="1">IFERROR(IF(0=LEN(ReferenceData!$AR$101),"",ReferenceData!$AR$101),"")</f>
        <v/>
      </c>
      <c r="AS101" t="str">
        <f ca="1">IFERROR(IF(0=LEN(ReferenceData!$AS$101),"",ReferenceData!$AS$101),"")</f>
        <v/>
      </c>
      <c r="AT101" t="str">
        <f ca="1">IFERROR(IF(0=LEN(ReferenceData!$AT$101),"",ReferenceData!$AT$101),"")</f>
        <v/>
      </c>
      <c r="AU101" t="str">
        <f ca="1">IFERROR(IF(0=LEN(ReferenceData!$AU$101),"",ReferenceData!$AU$101),"")</f>
        <v/>
      </c>
      <c r="AV101" t="str">
        <f ca="1">IFERROR(IF(0=LEN(ReferenceData!$AV$101),"",ReferenceData!$AV$101),"")</f>
        <v/>
      </c>
      <c r="AW101" t="str">
        <f ca="1">IFERROR(IF(0=LEN(ReferenceData!$AW$101),"",ReferenceData!$AW$101),"")</f>
        <v/>
      </c>
      <c r="AX101" t="str">
        <f ca="1">IFERROR(IF(0=LEN(ReferenceData!$AX$101),"",ReferenceData!$AX$101),"")</f>
        <v/>
      </c>
      <c r="AY101" t="str">
        <f ca="1">IFERROR(IF(0=LEN(ReferenceData!$AY$101),"",ReferenceData!$AY$101),"")</f>
        <v/>
      </c>
      <c r="AZ101" t="str">
        <f ca="1">IFERROR(IF(0=LEN(ReferenceData!$AZ$101),"",ReferenceData!$AZ$101),"")</f>
        <v/>
      </c>
      <c r="BA101" t="str">
        <f ca="1">IFERROR(IF(0=LEN(ReferenceData!$BA$101),"",ReferenceData!$BA$101),"")</f>
        <v/>
      </c>
      <c r="BB101" t="str">
        <f ca="1">IFERROR(IF(0=LEN(ReferenceData!$BB$101),"",ReferenceData!$BB$101),"")</f>
        <v/>
      </c>
      <c r="BC101" t="str">
        <f ca="1">IFERROR(IF(0=LEN(ReferenceData!$BC$101),"",ReferenceData!$BC$101),"")</f>
        <v/>
      </c>
      <c r="BD101" t="str">
        <f ca="1">IFERROR(IF(0=LEN(ReferenceData!$BD$101),"",ReferenceData!$BD$101),"")</f>
        <v/>
      </c>
      <c r="BE101" t="str">
        <f ca="1">IFERROR(IF(0=LEN(ReferenceData!$BE$101),"",ReferenceData!$BE$101),"")</f>
        <v/>
      </c>
      <c r="BF101" t="str">
        <f ca="1">IFERROR(IF(0=LEN(ReferenceData!$BF$101),"",ReferenceData!$BF$101),"")</f>
        <v/>
      </c>
      <c r="BG101" t="str">
        <f ca="1">IFERROR(IF(0=LEN(ReferenceData!$BG$101),"",ReferenceData!$BG$101),"")</f>
        <v/>
      </c>
      <c r="BH101" t="str">
        <f ca="1">IFERROR(IF(0=LEN(ReferenceData!$BH$101),"",ReferenceData!$BH$101),"")</f>
        <v/>
      </c>
      <c r="BI101" t="str">
        <f ca="1">IFERROR(IF(0=LEN(ReferenceData!$BI$101),"",ReferenceData!$BI$101),"")</f>
        <v/>
      </c>
      <c r="BJ101" t="str">
        <f ca="1">IFERROR(IF(0=LEN(ReferenceData!$BJ$101),"",ReferenceData!$BJ$101),"")</f>
        <v/>
      </c>
      <c r="BK101" t="str">
        <f ca="1">IFERROR(IF(0=LEN(ReferenceData!$BK$101),"",ReferenceData!$BK$101),"")</f>
        <v/>
      </c>
      <c r="BL101" t="str">
        <f ca="1">IFERROR(IF(0=LEN(ReferenceData!$BL$101),"",ReferenceData!$BL$101),"")</f>
        <v/>
      </c>
      <c r="BM101" t="str">
        <f ca="1">IFERROR(IF(0=LEN(ReferenceData!$BM$101),"",ReferenceData!$BM$101),"")</f>
        <v/>
      </c>
    </row>
    <row r="102" spans="1:65" x14ac:dyDescent="0.25">
      <c r="A102" t="str">
        <f>IFERROR(IF(0=LEN(ReferenceData!$A$102),"",ReferenceData!$A$102),"")</f>
        <v xml:space="preserve">    Jyske Bank A/S</v>
      </c>
      <c r="B102" t="str">
        <f>IFERROR(IF(0=LEN(ReferenceData!$B$102),"",ReferenceData!$B$102),"")</f>
        <v>JYSK DC Equity</v>
      </c>
      <c r="C102" t="str">
        <f>IFERROR(IF(0=LEN(ReferenceData!$C$102),"",ReferenceData!$C$102),"")</f>
        <v>BS017</v>
      </c>
      <c r="D102" t="str">
        <f>IFERROR(IF(0=LEN(ReferenceData!$D$102),"",ReferenceData!$D$102),"")</f>
        <v>BS_CONS_LOAN</v>
      </c>
      <c r="E102" t="str">
        <f>IFERROR(IF(0=LEN(ReferenceData!$E$102),"",ReferenceData!$E$102),"")</f>
        <v>Dynamic</v>
      </c>
      <c r="F102" t="str">
        <f ca="1">IFERROR(IF(0=LEN(ReferenceData!$F$102),"",ReferenceData!$F$102),"")</f>
        <v/>
      </c>
      <c r="G102">
        <f ca="1">IFERROR(IF(0=LEN(ReferenceData!$G$102),"",ReferenceData!$G$102),"")</f>
        <v>52289.092579999997</v>
      </c>
      <c r="H102">
        <f ca="1">IFERROR(IF(0=LEN(ReferenceData!$H$102),"",ReferenceData!$H$102),"")</f>
        <v>51225.084629999998</v>
      </c>
      <c r="I102" t="str">
        <f ca="1">IFERROR(IF(0=LEN(ReferenceData!$I$102),"",ReferenceData!$I$102),"")</f>
        <v/>
      </c>
      <c r="J102" t="str">
        <f ca="1">IFERROR(IF(0=LEN(ReferenceData!$J$102),"",ReferenceData!$J$102),"")</f>
        <v/>
      </c>
      <c r="K102">
        <f ca="1">IFERROR(IF(0=LEN(ReferenceData!$K$102),"",ReferenceData!$K$102),"")</f>
        <v>49155.037620000003</v>
      </c>
      <c r="L102">
        <f ca="1">IFERROR(IF(0=LEN(ReferenceData!$L$102),"",ReferenceData!$L$102),"")</f>
        <v>49377.358500000002</v>
      </c>
      <c r="M102" t="str">
        <f ca="1">IFERROR(IF(0=LEN(ReferenceData!$M$102),"",ReferenceData!$M$102),"")</f>
        <v/>
      </c>
      <c r="N102" t="str">
        <f ca="1">IFERROR(IF(0=LEN(ReferenceData!$N$102),"",ReferenceData!$N$102),"")</f>
        <v/>
      </c>
      <c r="O102" t="str">
        <f ca="1">IFERROR(IF(0=LEN(ReferenceData!$O$102),"",ReferenceData!$O$102),"")</f>
        <v/>
      </c>
      <c r="P102" t="str">
        <f ca="1">IFERROR(IF(0=LEN(ReferenceData!$P$102),"",ReferenceData!$P$102),"")</f>
        <v/>
      </c>
      <c r="Q102" t="str">
        <f ca="1">IFERROR(IF(0=LEN(ReferenceData!$Q$102),"",ReferenceData!$Q$102),"")</f>
        <v/>
      </c>
      <c r="R102" t="str">
        <f ca="1">IFERROR(IF(0=LEN(ReferenceData!$R$102),"",ReferenceData!$R$102),"")</f>
        <v/>
      </c>
      <c r="S102" t="str">
        <f ca="1">IFERROR(IF(0=LEN(ReferenceData!$S$102),"",ReferenceData!$S$102),"")</f>
        <v/>
      </c>
      <c r="T102" t="str">
        <f ca="1">IFERROR(IF(0=LEN(ReferenceData!$T$102),"",ReferenceData!$T$102),"")</f>
        <v/>
      </c>
      <c r="U102" t="str">
        <f ca="1">IFERROR(IF(0=LEN(ReferenceData!$U$102),"",ReferenceData!$U$102),"")</f>
        <v/>
      </c>
      <c r="V102" t="str">
        <f ca="1">IFERROR(IF(0=LEN(ReferenceData!$V$102),"",ReferenceData!$V$102),"")</f>
        <v/>
      </c>
      <c r="W102" t="str">
        <f ca="1">IFERROR(IF(0=LEN(ReferenceData!$W$102),"",ReferenceData!$W$102),"")</f>
        <v/>
      </c>
      <c r="X102" t="str">
        <f ca="1">IFERROR(IF(0=LEN(ReferenceData!$X$102),"",ReferenceData!$X$102),"")</f>
        <v/>
      </c>
      <c r="Y102" t="str">
        <f ca="1">IFERROR(IF(0=LEN(ReferenceData!$Y$102),"",ReferenceData!$Y$102),"")</f>
        <v/>
      </c>
      <c r="Z102" t="str">
        <f ca="1">IFERROR(IF(0=LEN(ReferenceData!$Z$102),"",ReferenceData!$Z$102),"")</f>
        <v/>
      </c>
      <c r="AA102" t="str">
        <f ca="1">IFERROR(IF(0=LEN(ReferenceData!$AA$102),"",ReferenceData!$AA$102),"")</f>
        <v/>
      </c>
      <c r="AB102" t="str">
        <f ca="1">IFERROR(IF(0=LEN(ReferenceData!$AB$102),"",ReferenceData!$AB$102),"")</f>
        <v/>
      </c>
      <c r="AC102" t="str">
        <f ca="1">IFERROR(IF(0=LEN(ReferenceData!$AC$102),"",ReferenceData!$AC$102),"")</f>
        <v/>
      </c>
      <c r="AD102" t="str">
        <f ca="1">IFERROR(IF(0=LEN(ReferenceData!$AD$102),"",ReferenceData!$AD$102),"")</f>
        <v/>
      </c>
      <c r="AE102" t="str">
        <f ca="1">IFERROR(IF(0=LEN(ReferenceData!$AE$102),"",ReferenceData!$AE$102),"")</f>
        <v/>
      </c>
      <c r="AF102" t="str">
        <f ca="1">IFERROR(IF(0=LEN(ReferenceData!$AF$102),"",ReferenceData!$AF$102),"")</f>
        <v/>
      </c>
      <c r="AG102" t="str">
        <f ca="1">IFERROR(IF(0=LEN(ReferenceData!$AG$102),"",ReferenceData!$AG$102),"")</f>
        <v/>
      </c>
      <c r="AH102" t="str">
        <f ca="1">IFERROR(IF(0=LEN(ReferenceData!$AH$102),"",ReferenceData!$AH$102),"")</f>
        <v/>
      </c>
      <c r="AI102" t="str">
        <f ca="1">IFERROR(IF(0=LEN(ReferenceData!$AI$102),"",ReferenceData!$AI$102),"")</f>
        <v/>
      </c>
      <c r="AJ102" t="str">
        <f ca="1">IFERROR(IF(0=LEN(ReferenceData!$AJ$102),"",ReferenceData!$AJ$102),"")</f>
        <v/>
      </c>
      <c r="AK102" t="str">
        <f ca="1">IFERROR(IF(0=LEN(ReferenceData!$AK$102),"",ReferenceData!$AK$102),"")</f>
        <v/>
      </c>
      <c r="AL102" t="str">
        <f ca="1">IFERROR(IF(0=LEN(ReferenceData!$AL$102),"",ReferenceData!$AL$102),"")</f>
        <v/>
      </c>
      <c r="AM102" t="str">
        <f ca="1">IFERROR(IF(0=LEN(ReferenceData!$AM$102),"",ReferenceData!$AM$102),"")</f>
        <v/>
      </c>
      <c r="AN102" t="str">
        <f ca="1">IFERROR(IF(0=LEN(ReferenceData!$AN$102),"",ReferenceData!$AN$102),"")</f>
        <v/>
      </c>
      <c r="AO102" t="str">
        <f ca="1">IFERROR(IF(0=LEN(ReferenceData!$AO$102),"",ReferenceData!$AO$102),"")</f>
        <v/>
      </c>
      <c r="AP102" t="str">
        <f ca="1">IFERROR(IF(0=LEN(ReferenceData!$AP$102),"",ReferenceData!$AP$102),"")</f>
        <v/>
      </c>
      <c r="AQ102" t="str">
        <f ca="1">IFERROR(IF(0=LEN(ReferenceData!$AQ$102),"",ReferenceData!$AQ$102),"")</f>
        <v/>
      </c>
      <c r="AR102" t="str">
        <f ca="1">IFERROR(IF(0=LEN(ReferenceData!$AR$102),"",ReferenceData!$AR$102),"")</f>
        <v/>
      </c>
      <c r="AS102" t="str">
        <f ca="1">IFERROR(IF(0=LEN(ReferenceData!$AS$102),"",ReferenceData!$AS$102),"")</f>
        <v/>
      </c>
      <c r="AT102" t="str">
        <f ca="1">IFERROR(IF(0=LEN(ReferenceData!$AT$102),"",ReferenceData!$AT$102),"")</f>
        <v/>
      </c>
      <c r="AU102" t="str">
        <f ca="1">IFERROR(IF(0=LEN(ReferenceData!$AU$102),"",ReferenceData!$AU$102),"")</f>
        <v/>
      </c>
      <c r="AV102" t="str">
        <f ca="1">IFERROR(IF(0=LEN(ReferenceData!$AV$102),"",ReferenceData!$AV$102),"")</f>
        <v/>
      </c>
      <c r="AW102" t="str">
        <f ca="1">IFERROR(IF(0=LEN(ReferenceData!$AW$102),"",ReferenceData!$AW$102),"")</f>
        <v/>
      </c>
      <c r="AX102" t="str">
        <f ca="1">IFERROR(IF(0=LEN(ReferenceData!$AX$102),"",ReferenceData!$AX$102),"")</f>
        <v/>
      </c>
      <c r="AY102" t="str">
        <f ca="1">IFERROR(IF(0=LEN(ReferenceData!$AY$102),"",ReferenceData!$AY$102),"")</f>
        <v/>
      </c>
      <c r="AZ102" t="str">
        <f ca="1">IFERROR(IF(0=LEN(ReferenceData!$AZ$102),"",ReferenceData!$AZ$102),"")</f>
        <v/>
      </c>
      <c r="BA102" t="str">
        <f ca="1">IFERROR(IF(0=LEN(ReferenceData!$BA$102),"",ReferenceData!$BA$102),"")</f>
        <v/>
      </c>
      <c r="BB102" t="str">
        <f ca="1">IFERROR(IF(0=LEN(ReferenceData!$BB$102),"",ReferenceData!$BB$102),"")</f>
        <v/>
      </c>
      <c r="BC102" t="str">
        <f ca="1">IFERROR(IF(0=LEN(ReferenceData!$BC$102),"",ReferenceData!$BC$102),"")</f>
        <v/>
      </c>
      <c r="BD102" t="str">
        <f ca="1">IFERROR(IF(0=LEN(ReferenceData!$BD$102),"",ReferenceData!$BD$102),"")</f>
        <v/>
      </c>
      <c r="BE102" t="str">
        <f ca="1">IFERROR(IF(0=LEN(ReferenceData!$BE$102),"",ReferenceData!$BE$102),"")</f>
        <v/>
      </c>
      <c r="BF102" t="str">
        <f ca="1">IFERROR(IF(0=LEN(ReferenceData!$BF$102),"",ReferenceData!$BF$102),"")</f>
        <v/>
      </c>
      <c r="BG102" t="str">
        <f ca="1">IFERROR(IF(0=LEN(ReferenceData!$BG$102),"",ReferenceData!$BG$102),"")</f>
        <v/>
      </c>
      <c r="BH102" t="str">
        <f ca="1">IFERROR(IF(0=LEN(ReferenceData!$BH$102),"",ReferenceData!$BH$102),"")</f>
        <v/>
      </c>
      <c r="BI102" t="str">
        <f ca="1">IFERROR(IF(0=LEN(ReferenceData!$BI$102),"",ReferenceData!$BI$102),"")</f>
        <v/>
      </c>
      <c r="BJ102" t="str">
        <f ca="1">IFERROR(IF(0=LEN(ReferenceData!$BJ$102),"",ReferenceData!$BJ$102),"")</f>
        <v/>
      </c>
      <c r="BK102" t="str">
        <f ca="1">IFERROR(IF(0=LEN(ReferenceData!$BK$102),"",ReferenceData!$BK$102),"")</f>
        <v/>
      </c>
      <c r="BL102" t="str">
        <f ca="1">IFERROR(IF(0=LEN(ReferenceData!$BL$102),"",ReferenceData!$BL$102),"")</f>
        <v/>
      </c>
      <c r="BM102" t="str">
        <f ca="1">IFERROR(IF(0=LEN(ReferenceData!$BM$102),"",ReferenceData!$BM$102),"")</f>
        <v/>
      </c>
    </row>
    <row r="103" spans="1:65" x14ac:dyDescent="0.25">
      <c r="A103" t="str">
        <f>IFERROR(IF(0=LEN(ReferenceData!$A$103),"",ReferenceData!$A$103),"")</f>
        <v xml:space="preserve">    KBC Group NV</v>
      </c>
      <c r="B103" t="str">
        <f>IFERROR(IF(0=LEN(ReferenceData!$B$103),"",ReferenceData!$B$103),"")</f>
        <v>KBC BB Equity</v>
      </c>
      <c r="C103" t="str">
        <f>IFERROR(IF(0=LEN(ReferenceData!$C$103),"",ReferenceData!$C$103),"")</f>
        <v>BS017</v>
      </c>
      <c r="D103" t="str">
        <f>IFERROR(IF(0=LEN(ReferenceData!$D$103),"",ReferenceData!$D$103),"")</f>
        <v>BS_CONS_LOAN</v>
      </c>
      <c r="E103" t="str">
        <f>IFERROR(IF(0=LEN(ReferenceData!$E$103),"",ReferenceData!$E$103),"")</f>
        <v>Dynamic</v>
      </c>
      <c r="F103">
        <f ca="1">IFERROR(IF(0=LEN(ReferenceData!$F$103),"",ReferenceData!$F$103),"")</f>
        <v>86953</v>
      </c>
      <c r="G103">
        <f ca="1">IFERROR(IF(0=LEN(ReferenceData!$G$103),"",ReferenceData!$G$103),"")</f>
        <v>85332</v>
      </c>
      <c r="H103">
        <f ca="1">IFERROR(IF(0=LEN(ReferenceData!$H$103),"",ReferenceData!$H$103),"")</f>
        <v>85652</v>
      </c>
      <c r="I103">
        <f ca="1">IFERROR(IF(0=LEN(ReferenceData!$I$103),"",ReferenceData!$I$103),"")</f>
        <v>84290</v>
      </c>
      <c r="J103">
        <f ca="1">IFERROR(IF(0=LEN(ReferenceData!$J$103),"",ReferenceData!$J$103),"")</f>
        <v>84538</v>
      </c>
      <c r="K103">
        <f ca="1">IFERROR(IF(0=LEN(ReferenceData!$K$103),"",ReferenceData!$K$103),"")</f>
        <v>83920</v>
      </c>
      <c r="L103">
        <f ca="1">IFERROR(IF(0=LEN(ReferenceData!$L$103),"",ReferenceData!$L$103),"")</f>
        <v>84161</v>
      </c>
      <c r="M103">
        <f ca="1">IFERROR(IF(0=LEN(ReferenceData!$M$103),"",ReferenceData!$M$103),"")</f>
        <v>83548</v>
      </c>
      <c r="N103">
        <f ca="1">IFERROR(IF(0=LEN(ReferenceData!$N$103),"",ReferenceData!$N$103),"")</f>
        <v>82505</v>
      </c>
      <c r="O103">
        <f ca="1">IFERROR(IF(0=LEN(ReferenceData!$O$103),"",ReferenceData!$O$103),"")</f>
        <v>80963</v>
      </c>
      <c r="P103">
        <f ca="1">IFERROR(IF(0=LEN(ReferenceData!$P$103),"",ReferenceData!$P$103),"")</f>
        <v>78533</v>
      </c>
      <c r="Q103">
        <f ca="1">IFERROR(IF(0=LEN(ReferenceData!$Q$103),"",ReferenceData!$Q$103),"")</f>
        <v>77027</v>
      </c>
      <c r="R103">
        <f ca="1">IFERROR(IF(0=LEN(ReferenceData!$R$103),"",ReferenceData!$R$103),"")</f>
        <v>75046</v>
      </c>
      <c r="S103">
        <f ca="1">IFERROR(IF(0=LEN(ReferenceData!$S$103),"",ReferenceData!$S$103),"")</f>
        <v>73423</v>
      </c>
      <c r="T103">
        <f ca="1">IFERROR(IF(0=LEN(ReferenceData!$T$103),"",ReferenceData!$T$103),"")</f>
        <v>82327</v>
      </c>
      <c r="U103">
        <f ca="1">IFERROR(IF(0=LEN(ReferenceData!$U$103),"",ReferenceData!$U$103),"")</f>
        <v>80027</v>
      </c>
      <c r="V103">
        <f ca="1">IFERROR(IF(0=LEN(ReferenceData!$V$103),"",ReferenceData!$V$103),"")</f>
        <v>79003</v>
      </c>
      <c r="W103">
        <f ca="1">IFERROR(IF(0=LEN(ReferenceData!$W$103),"",ReferenceData!$W$103),"")</f>
        <v>75768</v>
      </c>
      <c r="X103">
        <f ca="1">IFERROR(IF(0=LEN(ReferenceData!$X$103),"",ReferenceData!$X$103),"")</f>
        <v>74824</v>
      </c>
      <c r="Y103">
        <f ca="1">IFERROR(IF(0=LEN(ReferenceData!$Y$103),"",ReferenceData!$Y$103),"")</f>
        <v>73624</v>
      </c>
      <c r="Z103">
        <f ca="1">IFERROR(IF(0=LEN(ReferenceData!$Z$103),"",ReferenceData!$Z$103),"")</f>
        <v>74979</v>
      </c>
      <c r="AA103">
        <f ca="1">IFERROR(IF(0=LEN(ReferenceData!$AA$103),"",ReferenceData!$AA$103),"")</f>
        <v>73687</v>
      </c>
      <c r="AB103">
        <f ca="1">IFERROR(IF(0=LEN(ReferenceData!$AB$103),"",ReferenceData!$AB$103),"")</f>
        <v>73537</v>
      </c>
      <c r="AC103">
        <f ca="1">IFERROR(IF(0=LEN(ReferenceData!$AC$103),"",ReferenceData!$AC$103),"")</f>
        <v>69963</v>
      </c>
      <c r="AD103">
        <f ca="1">IFERROR(IF(0=LEN(ReferenceData!$AD$103),"",ReferenceData!$AD$103),"")</f>
        <v>69483</v>
      </c>
      <c r="AE103">
        <f ca="1">IFERROR(IF(0=LEN(ReferenceData!$AE$103),"",ReferenceData!$AE$103),"")</f>
        <v>69122</v>
      </c>
      <c r="AF103">
        <f ca="1">IFERROR(IF(0=LEN(ReferenceData!$AF$103),"",ReferenceData!$AF$103),"")</f>
        <v>69507</v>
      </c>
      <c r="AG103">
        <f ca="1">IFERROR(IF(0=LEN(ReferenceData!$AG$103),"",ReferenceData!$AG$103),"")</f>
        <v>68570</v>
      </c>
      <c r="AH103">
        <f ca="1">IFERROR(IF(0=LEN(ReferenceData!$AH$103),"",ReferenceData!$AH$103),"")</f>
        <v>68444</v>
      </c>
      <c r="AI103">
        <f ca="1">IFERROR(IF(0=LEN(ReferenceData!$AI$103),"",ReferenceData!$AI$103),"")</f>
        <v>66836</v>
      </c>
      <c r="AJ103">
        <f ca="1">IFERROR(IF(0=LEN(ReferenceData!$AJ$103),"",ReferenceData!$AJ$103),"")</f>
        <v>66277</v>
      </c>
      <c r="AK103">
        <f ca="1">IFERROR(IF(0=LEN(ReferenceData!$AK$103),"",ReferenceData!$AK$103),"")</f>
        <v>64206</v>
      </c>
      <c r="AL103">
        <f ca="1">IFERROR(IF(0=LEN(ReferenceData!$AL$103),"",ReferenceData!$AL$103),"")</f>
        <v>64036</v>
      </c>
      <c r="AM103">
        <f ca="1">IFERROR(IF(0=LEN(ReferenceData!$AM$103),"",ReferenceData!$AM$103),"")</f>
        <v>63457</v>
      </c>
      <c r="AN103">
        <f ca="1">IFERROR(IF(0=LEN(ReferenceData!$AN$103),"",ReferenceData!$AN$103),"")</f>
        <v>62953</v>
      </c>
      <c r="AO103">
        <f ca="1">IFERROR(IF(0=LEN(ReferenceData!$AO$103),"",ReferenceData!$AO$103),"")</f>
        <v>61797</v>
      </c>
      <c r="AP103">
        <f ca="1">IFERROR(IF(0=LEN(ReferenceData!$AP$103),"",ReferenceData!$AP$103),"")</f>
        <v>61707</v>
      </c>
      <c r="AQ103">
        <f ca="1">IFERROR(IF(0=LEN(ReferenceData!$AQ$103),"",ReferenceData!$AQ$103),"")</f>
        <v>61086</v>
      </c>
      <c r="AR103">
        <f ca="1">IFERROR(IF(0=LEN(ReferenceData!$AR$103),"",ReferenceData!$AR$103),"")</f>
        <v>60450</v>
      </c>
      <c r="AS103">
        <f ca="1">IFERROR(IF(0=LEN(ReferenceData!$AS$103),"",ReferenceData!$AS$103),"")</f>
        <v>59399</v>
      </c>
      <c r="AT103">
        <f ca="1">IFERROR(IF(0=LEN(ReferenceData!$AT$103),"",ReferenceData!$AT$103),"")</f>
        <v>59184</v>
      </c>
      <c r="AU103">
        <f ca="1">IFERROR(IF(0=LEN(ReferenceData!$AU$103),"",ReferenceData!$AU$103),"")</f>
        <v>58219</v>
      </c>
      <c r="AV103">
        <f ca="1">IFERROR(IF(0=LEN(ReferenceData!$AV$103),"",ReferenceData!$AV$103),"")</f>
        <v>58303</v>
      </c>
      <c r="AW103">
        <f ca="1">IFERROR(IF(0=LEN(ReferenceData!$AW$103),"",ReferenceData!$AW$103),"")</f>
        <v>55382</v>
      </c>
      <c r="AX103">
        <f ca="1">IFERROR(IF(0=LEN(ReferenceData!$AX$103),"",ReferenceData!$AX$103),"")</f>
        <v>55510</v>
      </c>
      <c r="AY103">
        <f ca="1">IFERROR(IF(0=LEN(ReferenceData!$AY$103),"",ReferenceData!$AY$103),"")</f>
        <v>58355</v>
      </c>
      <c r="AZ103">
        <f ca="1">IFERROR(IF(0=LEN(ReferenceData!$AZ$103),"",ReferenceData!$AZ$103),"")</f>
        <v>57583</v>
      </c>
      <c r="BA103">
        <f ca="1">IFERROR(IF(0=LEN(ReferenceData!$BA$103),"",ReferenceData!$BA$103),"")</f>
        <v>57262</v>
      </c>
      <c r="BB103">
        <f ca="1">IFERROR(IF(0=LEN(ReferenceData!$BB$103),"",ReferenceData!$BB$103),"")</f>
        <v>57173</v>
      </c>
      <c r="BC103">
        <f ca="1">IFERROR(IF(0=LEN(ReferenceData!$BC$103),"",ReferenceData!$BC$103),"")</f>
        <v>56938</v>
      </c>
      <c r="BD103">
        <f ca="1">IFERROR(IF(0=LEN(ReferenceData!$BD$103),"",ReferenceData!$BD$103),"")</f>
        <v>56309</v>
      </c>
      <c r="BE103">
        <f ca="1">IFERROR(IF(0=LEN(ReferenceData!$BE$103),"",ReferenceData!$BE$103),"")</f>
        <v>57192</v>
      </c>
      <c r="BF103">
        <f ca="1">IFERROR(IF(0=LEN(ReferenceData!$BF$103),"",ReferenceData!$BF$103),"")</f>
        <v>61300</v>
      </c>
      <c r="BG103">
        <f ca="1">IFERROR(IF(0=LEN(ReferenceData!$BG$103),"",ReferenceData!$BG$103),"")</f>
        <v>60933</v>
      </c>
      <c r="BH103">
        <f ca="1">IFERROR(IF(0=LEN(ReferenceData!$BH$103),"",ReferenceData!$BH$103),"")</f>
        <v>60678</v>
      </c>
      <c r="BI103">
        <f ca="1">IFERROR(IF(0=LEN(ReferenceData!$BI$103),"",ReferenceData!$BI$103),"")</f>
        <v>59444</v>
      </c>
      <c r="BJ103">
        <f ca="1">IFERROR(IF(0=LEN(ReferenceData!$BJ$103),"",ReferenceData!$BJ$103),"")</f>
        <v>65591</v>
      </c>
      <c r="BK103">
        <f ca="1">IFERROR(IF(0=LEN(ReferenceData!$BK$103),"",ReferenceData!$BK$103),"")</f>
        <v>64914</v>
      </c>
      <c r="BL103">
        <f ca="1">IFERROR(IF(0=LEN(ReferenceData!$BL$103),"",ReferenceData!$BL$103),"")</f>
        <v>64035</v>
      </c>
      <c r="BM103" t="str">
        <f ca="1">IFERROR(IF(0=LEN(ReferenceData!$BM$103),"",ReferenceData!$BM$103),"")</f>
        <v/>
      </c>
    </row>
    <row r="104" spans="1:65" x14ac:dyDescent="0.25">
      <c r="A104" t="str">
        <f>IFERROR(IF(0=LEN(ReferenceData!$A$104),"",ReferenceData!$A$104),"")</f>
        <v xml:space="preserve">    Komercni Banka AS</v>
      </c>
      <c r="B104" t="str">
        <f>IFERROR(IF(0=LEN(ReferenceData!$B$104),"",ReferenceData!$B$104),"")</f>
        <v>KOMB CP Equity</v>
      </c>
      <c r="C104" t="str">
        <f>IFERROR(IF(0=LEN(ReferenceData!$C$104),"",ReferenceData!$C$104),"")</f>
        <v>BS017</v>
      </c>
      <c r="D104" t="str">
        <f>IFERROR(IF(0=LEN(ReferenceData!$D$104),"",ReferenceData!$D$104),"")</f>
        <v>BS_CONS_LOAN</v>
      </c>
      <c r="E104" t="str">
        <f>IFERROR(IF(0=LEN(ReferenceData!$E$104),"",ReferenceData!$E$104),"")</f>
        <v>Dynamic</v>
      </c>
      <c r="F104">
        <f ca="1">IFERROR(IF(0=LEN(ReferenceData!$F$104),"",ReferenceData!$F$104),"")</f>
        <v>16803.608100000001</v>
      </c>
      <c r="G104">
        <f ca="1">IFERROR(IF(0=LEN(ReferenceData!$G$104),"",ReferenceData!$G$104),"")</f>
        <v>16645.16172</v>
      </c>
      <c r="H104">
        <f ca="1">IFERROR(IF(0=LEN(ReferenceData!$H$104),"",ReferenceData!$H$104),"")</f>
        <v>17201.14687</v>
      </c>
      <c r="I104">
        <f ca="1">IFERROR(IF(0=LEN(ReferenceData!$I$104),"",ReferenceData!$I$104),"")</f>
        <v>16262.405909999999</v>
      </c>
      <c r="J104">
        <f ca="1">IFERROR(IF(0=LEN(ReferenceData!$J$104),"",ReferenceData!$J$104),"")</f>
        <v>17100.034729999999</v>
      </c>
      <c r="K104">
        <f ca="1">IFERROR(IF(0=LEN(ReferenceData!$K$104),"",ReferenceData!$K$104),"")</f>
        <v>16460.564640000001</v>
      </c>
      <c r="L104">
        <f ca="1">IFERROR(IF(0=LEN(ReferenceData!$L$104),"",ReferenceData!$L$104),"")</f>
        <v>17377.444660000001</v>
      </c>
      <c r="M104">
        <f ca="1">IFERROR(IF(0=LEN(ReferenceData!$M$104),"",ReferenceData!$M$104),"")</f>
        <v>16710.083920000001</v>
      </c>
      <c r="N104">
        <f ca="1">IFERROR(IF(0=LEN(ReferenceData!$N$104),"",ReferenceData!$N$104),"")</f>
        <v>16776.46113</v>
      </c>
      <c r="O104">
        <f ca="1">IFERROR(IF(0=LEN(ReferenceData!$O$104),"",ReferenceData!$O$104),"")</f>
        <v>15685.834220000001</v>
      </c>
      <c r="P104">
        <f ca="1">IFERROR(IF(0=LEN(ReferenceData!$P$104),"",ReferenceData!$P$104),"")</f>
        <v>16116.590899999999</v>
      </c>
      <c r="Q104">
        <f ca="1">IFERROR(IF(0=LEN(ReferenceData!$Q$104),"",ReferenceData!$Q$104),"")</f>
        <v>15431.572910000001</v>
      </c>
      <c r="R104">
        <f ca="1">IFERROR(IF(0=LEN(ReferenceData!$R$104),"",ReferenceData!$R$104),"")</f>
        <v>15642.430689999999</v>
      </c>
      <c r="S104">
        <f ca="1">IFERROR(IF(0=LEN(ReferenceData!$S$104),"",ReferenceData!$S$104),"")</f>
        <v>14348.73933</v>
      </c>
      <c r="T104">
        <f ca="1">IFERROR(IF(0=LEN(ReferenceData!$T$104),"",ReferenceData!$T$104),"")</f>
        <v>14594.23504</v>
      </c>
      <c r="U104">
        <f ca="1">IFERROR(IF(0=LEN(ReferenceData!$U$104),"",ReferenceData!$U$104),"")</f>
        <v>13532.058950000001</v>
      </c>
      <c r="V104">
        <f ca="1">IFERROR(IF(0=LEN(ReferenceData!$V$104),"",ReferenceData!$V$104),"")</f>
        <v>13680.304</v>
      </c>
      <c r="W104">
        <f ca="1">IFERROR(IF(0=LEN(ReferenceData!$W$104),"",ReferenceData!$W$104),"")</f>
        <v>12680.6034</v>
      </c>
      <c r="X104">
        <f ca="1">IFERROR(IF(0=LEN(ReferenceData!$X$104),"",ReferenceData!$X$104),"")</f>
        <v>12965.75411</v>
      </c>
      <c r="Y104">
        <f ca="1">IFERROR(IF(0=LEN(ReferenceData!$Y$104),"",ReferenceData!$Y$104),"")</f>
        <v>12021.926890000001</v>
      </c>
      <c r="Z104">
        <f ca="1">IFERROR(IF(0=LEN(ReferenceData!$Z$104),"",ReferenceData!$Z$104),"")</f>
        <v>13453.993979999999</v>
      </c>
      <c r="AA104">
        <f ca="1">IFERROR(IF(0=LEN(ReferenceData!$AA$104),"",ReferenceData!$AA$104),"")</f>
        <v>12434.284949999999</v>
      </c>
      <c r="AB104">
        <f ca="1">IFERROR(IF(0=LEN(ReferenceData!$AB$104),"",ReferenceData!$AB$104),"")</f>
        <v>13120.28176</v>
      </c>
      <c r="AC104">
        <f ca="1">IFERROR(IF(0=LEN(ReferenceData!$AC$104),"",ReferenceData!$AC$104),"")</f>
        <v>12183.78501</v>
      </c>
      <c r="AD104">
        <f ca="1">IFERROR(IF(0=LEN(ReferenceData!$AD$104),"",ReferenceData!$AD$104),"")</f>
        <v>12623.6276</v>
      </c>
      <c r="AE104">
        <f ca="1">IFERROR(IF(0=LEN(ReferenceData!$AE$104),"",ReferenceData!$AE$104),"")</f>
        <v>12071.56243</v>
      </c>
      <c r="AF104">
        <f ca="1">IFERROR(IF(0=LEN(ReferenceData!$AF$104),"",ReferenceData!$AF$104),"")</f>
        <v>12228.69751</v>
      </c>
      <c r="AG104">
        <f ca="1">IFERROR(IF(0=LEN(ReferenceData!$AG$104),"",ReferenceData!$AG$104),"")</f>
        <v>11964.796249999999</v>
      </c>
      <c r="AH104">
        <f ca="1">IFERROR(IF(0=LEN(ReferenceData!$AH$104),"",ReferenceData!$AH$104),"")</f>
        <v>11465.195540000001</v>
      </c>
      <c r="AI104">
        <f ca="1">IFERROR(IF(0=LEN(ReferenceData!$AI$104),"",ReferenceData!$AI$104),"")</f>
        <v>11357.165360000001</v>
      </c>
      <c r="AJ104">
        <f ca="1">IFERROR(IF(0=LEN(ReferenceData!$AJ$104),"",ReferenceData!$AJ$104),"")</f>
        <v>10862.967329999999</v>
      </c>
      <c r="AK104">
        <f ca="1">IFERROR(IF(0=LEN(ReferenceData!$AK$104),"",ReferenceData!$AK$104),"")</f>
        <v>10558.560439999999</v>
      </c>
      <c r="AL104">
        <f ca="1">IFERROR(IF(0=LEN(ReferenceData!$AL$104),"",ReferenceData!$AL$104),"")</f>
        <v>11320.80467</v>
      </c>
      <c r="AM104">
        <f ca="1">IFERROR(IF(0=LEN(ReferenceData!$AM$104),"",ReferenceData!$AM$104),"")</f>
        <v>10143.257610000001</v>
      </c>
      <c r="AN104">
        <f ca="1">IFERROR(IF(0=LEN(ReferenceData!$AN$104),"",ReferenceData!$AN$104),"")</f>
        <v>10738.576499999999</v>
      </c>
      <c r="AO104">
        <f ca="1">IFERROR(IF(0=LEN(ReferenceData!$AO$104),"",ReferenceData!$AO$104),"")</f>
        <v>9501.3971239999992</v>
      </c>
      <c r="AP104">
        <f ca="1">IFERROR(IF(0=LEN(ReferenceData!$AP$104),"",ReferenceData!$AP$104),"")</f>
        <v>10460.87413</v>
      </c>
      <c r="AQ104">
        <f ca="1">IFERROR(IF(0=LEN(ReferenceData!$AQ$104),"",ReferenceData!$AQ$104),"")</f>
        <v>9029.7116040000001</v>
      </c>
      <c r="AR104">
        <f ca="1">IFERROR(IF(0=LEN(ReferenceData!$AR$104),"",ReferenceData!$AR$104),"")</f>
        <v>9919.0626979999997</v>
      </c>
      <c r="AS104">
        <f ca="1">IFERROR(IF(0=LEN(ReferenceData!$AS$104),"",ReferenceData!$AS$104),"")</f>
        <v>8439.6457410000003</v>
      </c>
      <c r="AT104">
        <f ca="1">IFERROR(IF(0=LEN(ReferenceData!$AT$104),"",ReferenceData!$AT$104),"")</f>
        <v>9424.490554</v>
      </c>
      <c r="AU104" t="str">
        <f ca="1">IFERROR(IF(0=LEN(ReferenceData!$AU$104),"",ReferenceData!$AU$104),"")</f>
        <v/>
      </c>
      <c r="AV104">
        <f ca="1">IFERROR(IF(0=LEN(ReferenceData!$AV$104),"",ReferenceData!$AV$104),"")</f>
        <v>9302.6189300000005</v>
      </c>
      <c r="AW104">
        <f ca="1">IFERROR(IF(0=LEN(ReferenceData!$AW$104),"",ReferenceData!$AW$104),"")</f>
        <v>7967.631077</v>
      </c>
      <c r="AX104">
        <f ca="1">IFERROR(IF(0=LEN(ReferenceData!$AX$104),"",ReferenceData!$AX$104),"")</f>
        <v>9276.3973530000003</v>
      </c>
      <c r="AY104" t="str">
        <f ca="1">IFERROR(IF(0=LEN(ReferenceData!$AY$104),"",ReferenceData!$AY$104),"")</f>
        <v/>
      </c>
      <c r="AZ104" t="str">
        <f ca="1">IFERROR(IF(0=LEN(ReferenceData!$AZ$104),"",ReferenceData!$AZ$104),"")</f>
        <v/>
      </c>
      <c r="BA104" t="str">
        <f ca="1">IFERROR(IF(0=LEN(ReferenceData!$BA$104),"",ReferenceData!$BA$104),"")</f>
        <v/>
      </c>
      <c r="BB104">
        <f ca="1">IFERROR(IF(0=LEN(ReferenceData!$BB$104),"",ReferenceData!$BB$104),"")</f>
        <v>9721.4726009999995</v>
      </c>
      <c r="BC104" t="str">
        <f ca="1">IFERROR(IF(0=LEN(ReferenceData!$BC$104),"",ReferenceData!$BC$104),"")</f>
        <v/>
      </c>
      <c r="BD104" t="str">
        <f ca="1">IFERROR(IF(0=LEN(ReferenceData!$BD$104),"",ReferenceData!$BD$104),"")</f>
        <v/>
      </c>
      <c r="BE104" t="str">
        <f ca="1">IFERROR(IF(0=LEN(ReferenceData!$BE$104),"",ReferenceData!$BE$104),"")</f>
        <v/>
      </c>
      <c r="BF104" t="str">
        <f ca="1">IFERROR(IF(0=LEN(ReferenceData!$BF$104),"",ReferenceData!$BF$104),"")</f>
        <v/>
      </c>
      <c r="BG104" t="str">
        <f ca="1">IFERROR(IF(0=LEN(ReferenceData!$BG$104),"",ReferenceData!$BG$104),"")</f>
        <v/>
      </c>
      <c r="BH104" t="str">
        <f ca="1">IFERROR(IF(0=LEN(ReferenceData!$BH$104),"",ReferenceData!$BH$104),"")</f>
        <v/>
      </c>
      <c r="BI104" t="str">
        <f ca="1">IFERROR(IF(0=LEN(ReferenceData!$BI$104),"",ReferenceData!$BI$104),"")</f>
        <v/>
      </c>
      <c r="BJ104" t="str">
        <f ca="1">IFERROR(IF(0=LEN(ReferenceData!$BJ$104),"",ReferenceData!$BJ$104),"")</f>
        <v/>
      </c>
      <c r="BK104" t="str">
        <f ca="1">IFERROR(IF(0=LEN(ReferenceData!$BK$104),"",ReferenceData!$BK$104),"")</f>
        <v/>
      </c>
      <c r="BL104" t="str">
        <f ca="1">IFERROR(IF(0=LEN(ReferenceData!$BL$104),"",ReferenceData!$BL$104),"")</f>
        <v/>
      </c>
      <c r="BM104" t="str">
        <f ca="1">IFERROR(IF(0=LEN(ReferenceData!$BM$104),"",ReferenceData!$BM$104),"")</f>
        <v/>
      </c>
    </row>
    <row r="105" spans="1:65" x14ac:dyDescent="0.25">
      <c r="A105" t="str">
        <f>IFERROR(IF(0=LEN(ReferenceData!$A$105),"",ReferenceData!$A$105),"")</f>
        <v xml:space="preserve">    Lloyds Banking Group PLC</v>
      </c>
      <c r="B105" t="str">
        <f>IFERROR(IF(0=LEN(ReferenceData!$B$105),"",ReferenceData!$B$105),"")</f>
        <v>LLOY LN Equity</v>
      </c>
      <c r="C105" t="str">
        <f>IFERROR(IF(0=LEN(ReferenceData!$C$105),"",ReferenceData!$C$105),"")</f>
        <v>BS017</v>
      </c>
      <c r="D105" t="str">
        <f>IFERROR(IF(0=LEN(ReferenceData!$D$105),"",ReferenceData!$D$105),"")</f>
        <v>BS_CONS_LOAN</v>
      </c>
      <c r="E105" t="str">
        <f>IFERROR(IF(0=LEN(ReferenceData!$E$105),"",ReferenceData!$E$105),"")</f>
        <v>Dynamic</v>
      </c>
      <c r="F105">
        <f ca="1">IFERROR(IF(0=LEN(ReferenceData!$F$105),"",ReferenceData!$F$105),"")</f>
        <v>437925.4829</v>
      </c>
      <c r="G105">
        <f ca="1">IFERROR(IF(0=LEN(ReferenceData!$G$105),"",ReferenceData!$G$105),"")</f>
        <v>414637.29849999998</v>
      </c>
      <c r="H105" t="str">
        <f ca="1">IFERROR(IF(0=LEN(ReferenceData!$H$105),"",ReferenceData!$H$105),"")</f>
        <v/>
      </c>
      <c r="I105" t="str">
        <f ca="1">IFERROR(IF(0=LEN(ReferenceData!$I$105),"",ReferenceData!$I$105),"")</f>
        <v/>
      </c>
      <c r="J105">
        <f ca="1">IFERROR(IF(0=LEN(ReferenceData!$J$105),"",ReferenceData!$J$105),"")</f>
        <v>405618.61430000002</v>
      </c>
      <c r="K105">
        <f ca="1">IFERROR(IF(0=LEN(ReferenceData!$K$105),"",ReferenceData!$K$105),"")</f>
        <v>391832.4472</v>
      </c>
      <c r="L105" t="str">
        <f ca="1">IFERROR(IF(0=LEN(ReferenceData!$L$105),"",ReferenceData!$L$105),"")</f>
        <v/>
      </c>
      <c r="M105" t="str">
        <f ca="1">IFERROR(IF(0=LEN(ReferenceData!$M$105),"",ReferenceData!$M$105),"")</f>
        <v/>
      </c>
      <c r="N105">
        <f ca="1">IFERROR(IF(0=LEN(ReferenceData!$N$105),"",ReferenceData!$N$105),"")</f>
        <v>398262.636</v>
      </c>
      <c r="O105" t="str">
        <f ca="1">IFERROR(IF(0=LEN(ReferenceData!$O$105),"",ReferenceData!$O$105),"")</f>
        <v/>
      </c>
      <c r="P105" t="str">
        <f ca="1">IFERROR(IF(0=LEN(ReferenceData!$P$105),"",ReferenceData!$P$105),"")</f>
        <v/>
      </c>
      <c r="Q105" t="str">
        <f ca="1">IFERROR(IF(0=LEN(ReferenceData!$Q$105),"",ReferenceData!$Q$105),"")</f>
        <v/>
      </c>
      <c r="R105">
        <f ca="1">IFERROR(IF(0=LEN(ReferenceData!$R$105),"",ReferenceData!$R$105),"")</f>
        <v>411741.68979999999</v>
      </c>
      <c r="S105" t="str">
        <f ca="1">IFERROR(IF(0=LEN(ReferenceData!$S$105),"",ReferenceData!$S$105),"")</f>
        <v/>
      </c>
      <c r="T105" t="str">
        <f ca="1">IFERROR(IF(0=LEN(ReferenceData!$T$105),"",ReferenceData!$T$105),"")</f>
        <v/>
      </c>
      <c r="U105" t="str">
        <f ca="1">IFERROR(IF(0=LEN(ReferenceData!$U$105),"",ReferenceData!$U$105),"")</f>
        <v/>
      </c>
      <c r="V105">
        <f ca="1">IFERROR(IF(0=LEN(ReferenceData!$V$105),"",ReferenceData!$V$105),"")</f>
        <v>374204.89689999999</v>
      </c>
      <c r="W105" t="str">
        <f ca="1">IFERROR(IF(0=LEN(ReferenceData!$W$105),"",ReferenceData!$W$105),"")</f>
        <v/>
      </c>
      <c r="X105" t="str">
        <f ca="1">IFERROR(IF(0=LEN(ReferenceData!$X$105),"",ReferenceData!$X$105),"")</f>
        <v/>
      </c>
      <c r="Y105" t="str">
        <f ca="1">IFERROR(IF(0=LEN(ReferenceData!$Y$105),"",ReferenceData!$Y$105),"")</f>
        <v/>
      </c>
      <c r="Z105">
        <f ca="1">IFERROR(IF(0=LEN(ReferenceData!$Z$105),"",ReferenceData!$Z$105),"")</f>
        <v>390172.44349999999</v>
      </c>
      <c r="AA105" t="str">
        <f ca="1">IFERROR(IF(0=LEN(ReferenceData!$AA$105),"",ReferenceData!$AA$105),"")</f>
        <v/>
      </c>
      <c r="AB105" t="str">
        <f ca="1">IFERROR(IF(0=LEN(ReferenceData!$AB$105),"",ReferenceData!$AB$105),"")</f>
        <v/>
      </c>
      <c r="AC105" t="str">
        <f ca="1">IFERROR(IF(0=LEN(ReferenceData!$AC$105),"",ReferenceData!$AC$105),"")</f>
        <v/>
      </c>
      <c r="AD105">
        <f ca="1">IFERROR(IF(0=LEN(ReferenceData!$AD$105),"",ReferenceData!$AD$105),"")</f>
        <v>452334.9719</v>
      </c>
      <c r="AE105" t="str">
        <f ca="1">IFERROR(IF(0=LEN(ReferenceData!$AE$105),"",ReferenceData!$AE$105),"")</f>
        <v/>
      </c>
      <c r="AF105">
        <f ca="1">IFERROR(IF(0=LEN(ReferenceData!$AF$105),"",ReferenceData!$AF$105),"")</f>
        <v>443807.42660000001</v>
      </c>
      <c r="AG105" t="str">
        <f ca="1">IFERROR(IF(0=LEN(ReferenceData!$AG$105),"",ReferenceData!$AG$105),"")</f>
        <v/>
      </c>
      <c r="AH105">
        <f ca="1">IFERROR(IF(0=LEN(ReferenceData!$AH$105),"",ReferenceData!$AH$105),"")</f>
        <v>439207.14289999998</v>
      </c>
      <c r="AI105" t="str">
        <f ca="1">IFERROR(IF(0=LEN(ReferenceData!$AI$105),"",ReferenceData!$AI$105),"")</f>
        <v/>
      </c>
      <c r="AJ105">
        <f ca="1">IFERROR(IF(0=LEN(ReferenceData!$AJ$105),"",ReferenceData!$AJ$105),"")</f>
        <v>440678.62540000002</v>
      </c>
      <c r="AK105" t="str">
        <f ca="1">IFERROR(IF(0=LEN(ReferenceData!$AK$105),"",ReferenceData!$AK$105),"")</f>
        <v/>
      </c>
      <c r="AL105">
        <f ca="1">IFERROR(IF(0=LEN(ReferenceData!$AL$105),"",ReferenceData!$AL$105),"")</f>
        <v>443848.80820000003</v>
      </c>
      <c r="AM105" t="str">
        <f ca="1">IFERROR(IF(0=LEN(ReferenceData!$AM$105),"",ReferenceData!$AM$105),"")</f>
        <v/>
      </c>
      <c r="AN105">
        <f ca="1">IFERROR(IF(0=LEN(ReferenceData!$AN$105),"",ReferenceData!$AN$105),"")</f>
        <v>448522.6251</v>
      </c>
      <c r="AO105" t="str">
        <f ca="1">IFERROR(IF(0=LEN(ReferenceData!$AO$105),"",ReferenceData!$AO$105),"")</f>
        <v/>
      </c>
      <c r="AP105">
        <f ca="1">IFERROR(IF(0=LEN(ReferenceData!$AP$105),"",ReferenceData!$AP$105),"")</f>
        <v>514037.06920000003</v>
      </c>
      <c r="AQ105" t="str">
        <f ca="1">IFERROR(IF(0=LEN(ReferenceData!$AQ$105),"",ReferenceData!$AQ$105),"")</f>
        <v/>
      </c>
      <c r="AR105">
        <f ca="1">IFERROR(IF(0=LEN(ReferenceData!$AR$105),"",ReferenceData!$AR$105),"")</f>
        <v>526469.55980000005</v>
      </c>
      <c r="AS105" t="str">
        <f ca="1">IFERROR(IF(0=LEN(ReferenceData!$AS$105),"",ReferenceData!$AS$105),"")</f>
        <v/>
      </c>
      <c r="AT105">
        <f ca="1">IFERROR(IF(0=LEN(ReferenceData!$AT$105),"",ReferenceData!$AT$105),"")</f>
        <v>520281.78210000001</v>
      </c>
      <c r="AU105" t="str">
        <f ca="1">IFERROR(IF(0=LEN(ReferenceData!$AU$105),"",ReferenceData!$AU$105),"")</f>
        <v/>
      </c>
      <c r="AV105">
        <f ca="1">IFERROR(IF(0=LEN(ReferenceData!$AV$105),"",ReferenceData!$AV$105),"")</f>
        <v>507732.02120000002</v>
      </c>
      <c r="AW105" t="str">
        <f ca="1">IFERROR(IF(0=LEN(ReferenceData!$AW$105),"",ReferenceData!$AW$105),"")</f>
        <v/>
      </c>
      <c r="AX105">
        <f ca="1">IFERROR(IF(0=LEN(ReferenceData!$AX$105),"",ReferenceData!$AX$105),"")</f>
        <v>487779.73690000002</v>
      </c>
      <c r="AY105" t="str">
        <f ca="1">IFERROR(IF(0=LEN(ReferenceData!$AY$105),"",ReferenceData!$AY$105),"")</f>
        <v/>
      </c>
      <c r="AZ105">
        <f ca="1">IFERROR(IF(0=LEN(ReferenceData!$AZ$105),"",ReferenceData!$AZ$105),"")</f>
        <v>478496.22220000002</v>
      </c>
      <c r="BA105" t="str">
        <f ca="1">IFERROR(IF(0=LEN(ReferenceData!$BA$105),"",ReferenceData!$BA$105),"")</f>
        <v/>
      </c>
      <c r="BB105">
        <f ca="1">IFERROR(IF(0=LEN(ReferenceData!$BB$105),"",ReferenceData!$BB$105),"")</f>
        <v>512970.03860000003</v>
      </c>
      <c r="BC105" t="str">
        <f ca="1">IFERROR(IF(0=LEN(ReferenceData!$BC$105),"",ReferenceData!$BC$105),"")</f>
        <v/>
      </c>
      <c r="BD105">
        <f ca="1">IFERROR(IF(0=LEN(ReferenceData!$BD$105),"",ReferenceData!$BD$105),"")</f>
        <v>524090.67979999998</v>
      </c>
      <c r="BE105" t="str">
        <f ca="1">IFERROR(IF(0=LEN(ReferenceData!$BE$105),"",ReferenceData!$BE$105),"")</f>
        <v/>
      </c>
      <c r="BF105">
        <f ca="1">IFERROR(IF(0=LEN(ReferenceData!$BF$105),"",ReferenceData!$BF$105),"")</f>
        <v>531525.50109999999</v>
      </c>
      <c r="BG105" t="str">
        <f ca="1">IFERROR(IF(0=LEN(ReferenceData!$BG$105),"",ReferenceData!$BG$105),"")</f>
        <v/>
      </c>
      <c r="BH105">
        <f ca="1">IFERROR(IF(0=LEN(ReferenceData!$BH$105),"",ReferenceData!$BH$105),"")</f>
        <v>506782.63429999998</v>
      </c>
      <c r="BI105" t="str">
        <f ca="1">IFERROR(IF(0=LEN(ReferenceData!$BI$105),"",ReferenceData!$BI$105),"")</f>
        <v/>
      </c>
      <c r="BJ105">
        <f ca="1">IFERROR(IF(0=LEN(ReferenceData!$BJ$105),"",ReferenceData!$BJ$105),"")</f>
        <v>530158.1557</v>
      </c>
      <c r="BK105" t="str">
        <f ca="1">IFERROR(IF(0=LEN(ReferenceData!$BK$105),"",ReferenceData!$BK$105),"")</f>
        <v/>
      </c>
      <c r="BL105">
        <f ca="1">IFERROR(IF(0=LEN(ReferenceData!$BL$105),"",ReferenceData!$BL$105),"")</f>
        <v>566947.17879999999</v>
      </c>
      <c r="BM105" t="str">
        <f ca="1">IFERROR(IF(0=LEN(ReferenceData!$BM$105),"",ReferenceData!$BM$105),"")</f>
        <v/>
      </c>
    </row>
    <row r="106" spans="1:65" x14ac:dyDescent="0.25">
      <c r="A106" t="str">
        <f>IFERROR(IF(0=LEN(ReferenceData!$A$106),"",ReferenceData!$A$106),"")</f>
        <v xml:space="preserve">    Mediobanca Banca di Credito Finanziario SpA</v>
      </c>
      <c r="B106" t="str">
        <f>IFERROR(IF(0=LEN(ReferenceData!$B$106),"",ReferenceData!$B$106),"")</f>
        <v>MB IM Equity</v>
      </c>
      <c r="C106" t="str">
        <f>IFERROR(IF(0=LEN(ReferenceData!$C$106),"",ReferenceData!$C$106),"")</f>
        <v>BS017</v>
      </c>
      <c r="D106" t="str">
        <f>IFERROR(IF(0=LEN(ReferenceData!$D$106),"",ReferenceData!$D$106),"")</f>
        <v>BS_CONS_LOAN</v>
      </c>
      <c r="E106" t="str">
        <f>IFERROR(IF(0=LEN(ReferenceData!$E$106),"",ReferenceData!$E$106),"")</f>
        <v>Dynamic</v>
      </c>
      <c r="F106">
        <f ca="1">IFERROR(IF(0=LEN(ReferenceData!$F$106),"",ReferenceData!$F$106),"")</f>
        <v>45349.3</v>
      </c>
      <c r="G106">
        <f ca="1">IFERROR(IF(0=LEN(ReferenceData!$G$106),"",ReferenceData!$G$106),"")</f>
        <v>44362.400000000001</v>
      </c>
      <c r="H106">
        <f ca="1">IFERROR(IF(0=LEN(ReferenceData!$H$106),"",ReferenceData!$H$106),"")</f>
        <v>40140.69</v>
      </c>
      <c r="I106">
        <f ca="1">IFERROR(IF(0=LEN(ReferenceData!$I$106),"",ReferenceData!$I$106),"")</f>
        <v>43791.6</v>
      </c>
      <c r="J106">
        <f ca="1">IFERROR(IF(0=LEN(ReferenceData!$J$106),"",ReferenceData!$J$106),"")</f>
        <v>39793.906000000003</v>
      </c>
      <c r="K106">
        <f ca="1">IFERROR(IF(0=LEN(ReferenceData!$K$106),"",ReferenceData!$K$106),"")</f>
        <v>42722.8</v>
      </c>
      <c r="L106">
        <f ca="1">IFERROR(IF(0=LEN(ReferenceData!$L$106),"",ReferenceData!$L$106),"")</f>
        <v>40932.682999999997</v>
      </c>
      <c r="M106">
        <f ca="1">IFERROR(IF(0=LEN(ReferenceData!$M$106),"",ReferenceData!$M$106),"")</f>
        <v>44443.8</v>
      </c>
      <c r="N106">
        <f ca="1">IFERROR(IF(0=LEN(ReferenceData!$N$106),"",ReferenceData!$N$106),"")</f>
        <v>42017.57</v>
      </c>
      <c r="O106">
        <f ca="1">IFERROR(IF(0=LEN(ReferenceData!$O$106),"",ReferenceData!$O$106),"")</f>
        <v>43664.1</v>
      </c>
      <c r="P106">
        <f ca="1">IFERROR(IF(0=LEN(ReferenceData!$P$106),"",ReferenceData!$P$106),"")</f>
        <v>40637.919999999998</v>
      </c>
      <c r="Q106">
        <f ca="1">IFERROR(IF(0=LEN(ReferenceData!$Q$106),"",ReferenceData!$Q$106),"")</f>
        <v>42819.1</v>
      </c>
      <c r="R106">
        <f ca="1">IFERROR(IF(0=LEN(ReferenceData!$R$106),"",ReferenceData!$R$106),"")</f>
        <v>39230.392</v>
      </c>
      <c r="S106">
        <f ca="1">IFERROR(IF(0=LEN(ReferenceData!$S$106),"",ReferenceData!$S$106),"")</f>
        <v>41061</v>
      </c>
      <c r="T106">
        <f ca="1">IFERROR(IF(0=LEN(ReferenceData!$T$106),"",ReferenceData!$T$106),"")</f>
        <v>38009.317999999999</v>
      </c>
      <c r="U106">
        <f ca="1">IFERROR(IF(0=LEN(ReferenceData!$U$106),"",ReferenceData!$U$106),"")</f>
        <v>39986</v>
      </c>
      <c r="V106">
        <f ca="1">IFERROR(IF(0=LEN(ReferenceData!$V$106),"",ReferenceData!$V$106),"")</f>
        <v>37870.699999999997</v>
      </c>
      <c r="W106">
        <f ca="1">IFERROR(IF(0=LEN(ReferenceData!$W$106),"",ReferenceData!$W$106),"")</f>
        <v>39769.699999999997</v>
      </c>
      <c r="X106">
        <f ca="1">IFERROR(IF(0=LEN(ReferenceData!$X$106),"",ReferenceData!$X$106),"")</f>
        <v>38040.108</v>
      </c>
      <c r="Y106">
        <f ca="1">IFERROR(IF(0=LEN(ReferenceData!$Y$106),"",ReferenceData!$Y$106),"")</f>
        <v>40257.199999999997</v>
      </c>
      <c r="Z106">
        <f ca="1">IFERROR(IF(0=LEN(ReferenceData!$Z$106),"",ReferenceData!$Z$106),"")</f>
        <v>36991.440000000002</v>
      </c>
      <c r="AA106">
        <f ca="1">IFERROR(IF(0=LEN(ReferenceData!$AA$106),"",ReferenceData!$AA$106),"")</f>
        <v>38215.1</v>
      </c>
      <c r="AB106">
        <f ca="1">IFERROR(IF(0=LEN(ReferenceData!$AB$106),"",ReferenceData!$AB$106),"")</f>
        <v>35529.212</v>
      </c>
      <c r="AC106">
        <f ca="1">IFERROR(IF(0=LEN(ReferenceData!$AC$106),"",ReferenceData!$AC$106),"")</f>
        <v>24000</v>
      </c>
      <c r="AD106">
        <f ca="1">IFERROR(IF(0=LEN(ReferenceData!$AD$106),"",ReferenceData!$AD$106),"")</f>
        <v>33764.150999999998</v>
      </c>
      <c r="AE106">
        <f ca="1">IFERROR(IF(0=LEN(ReferenceData!$AE$106),"",ReferenceData!$AE$106),"")</f>
        <v>35802.699999999997</v>
      </c>
      <c r="AF106">
        <f ca="1">IFERROR(IF(0=LEN(ReferenceData!$AF$106),"",ReferenceData!$AF$106),"")</f>
        <v>32667.260999999999</v>
      </c>
      <c r="AG106">
        <f ca="1">IFERROR(IF(0=LEN(ReferenceData!$AG$106),"",ReferenceData!$AG$106),"")</f>
        <v>22400</v>
      </c>
      <c r="AH106">
        <f ca="1">IFERROR(IF(0=LEN(ReferenceData!$AH$106),"",ReferenceData!$AH$106),"")</f>
        <v>31540.767</v>
      </c>
      <c r="AI106">
        <f ca="1">IFERROR(IF(0=LEN(ReferenceData!$AI$106),"",ReferenceData!$AI$106),"")</f>
        <v>32723.200000000001</v>
      </c>
      <c r="AJ106">
        <f ca="1">IFERROR(IF(0=LEN(ReferenceData!$AJ$106),"",ReferenceData!$AJ$106),"")</f>
        <v>30385.257000000001</v>
      </c>
      <c r="AK106">
        <f ca="1">IFERROR(IF(0=LEN(ReferenceData!$AK$106),"",ReferenceData!$AK$106),"")</f>
        <v>20200</v>
      </c>
      <c r="AL106">
        <f ca="1">IFERROR(IF(0=LEN(ReferenceData!$AL$106),"",ReferenceData!$AL$106),"")</f>
        <v>30418.713</v>
      </c>
      <c r="AM106">
        <f ca="1">IFERROR(IF(0=LEN(ReferenceData!$AM$106),"",ReferenceData!$AM$106),"")</f>
        <v>32246.5</v>
      </c>
      <c r="AN106">
        <f ca="1">IFERROR(IF(0=LEN(ReferenceData!$AN$106),"",ReferenceData!$AN$106),"")</f>
        <v>27575.806</v>
      </c>
      <c r="AO106">
        <f ca="1">IFERROR(IF(0=LEN(ReferenceData!$AO$106),"",ReferenceData!$AO$106),"")</f>
        <v>17600</v>
      </c>
      <c r="AP106">
        <f ca="1">IFERROR(IF(0=LEN(ReferenceData!$AP$106),"",ReferenceData!$AP$106),"")</f>
        <v>28144.955000000002</v>
      </c>
      <c r="AQ106">
        <f ca="1">IFERROR(IF(0=LEN(ReferenceData!$AQ$106),"",ReferenceData!$AQ$106),"")</f>
        <v>16700</v>
      </c>
      <c r="AR106">
        <f ca="1">IFERROR(IF(0=LEN(ReferenceData!$AR$106),"",ReferenceData!$AR$106),"")</f>
        <v>28426.673999999999</v>
      </c>
      <c r="AS106" t="str">
        <f ca="1">IFERROR(IF(0=LEN(ReferenceData!$AS$106),"",ReferenceData!$AS$106),"")</f>
        <v/>
      </c>
      <c r="AT106">
        <f ca="1">IFERROR(IF(0=LEN(ReferenceData!$AT$106),"",ReferenceData!$AT$106),"")</f>
        <v>27649.039000000001</v>
      </c>
      <c r="AU106" t="str">
        <f ca="1">IFERROR(IF(0=LEN(ReferenceData!$AU$106),"",ReferenceData!$AU$106),"")</f>
        <v/>
      </c>
      <c r="AV106">
        <f ca="1">IFERROR(IF(0=LEN(ReferenceData!$AV$106),"",ReferenceData!$AV$106),"")</f>
        <v>26595.769</v>
      </c>
      <c r="AW106" t="str">
        <f ca="1">IFERROR(IF(0=LEN(ReferenceData!$AW$106),"",ReferenceData!$AW$106),"")</f>
        <v/>
      </c>
      <c r="AX106">
        <f ca="1">IFERROR(IF(0=LEN(ReferenceData!$AX$106),"",ReferenceData!$AX$106),"")</f>
        <v>28330.089</v>
      </c>
      <c r="AY106" t="str">
        <f ca="1">IFERROR(IF(0=LEN(ReferenceData!$AY$106),"",ReferenceData!$AY$106),"")</f>
        <v/>
      </c>
      <c r="AZ106">
        <f ca="1">IFERROR(IF(0=LEN(ReferenceData!$AZ$106),"",ReferenceData!$AZ$106),"")</f>
        <v>28345.609</v>
      </c>
      <c r="BA106" t="str">
        <f ca="1">IFERROR(IF(0=LEN(ReferenceData!$BA$106),"",ReferenceData!$BA$106),"")</f>
        <v/>
      </c>
      <c r="BB106">
        <f ca="1">IFERROR(IF(0=LEN(ReferenceData!$BB$106),"",ReferenceData!$BB$106),"")</f>
        <v>28545.517</v>
      </c>
      <c r="BC106" t="str">
        <f ca="1">IFERROR(IF(0=LEN(ReferenceData!$BC$106),"",ReferenceData!$BC$106),"")</f>
        <v/>
      </c>
      <c r="BD106">
        <f ca="1">IFERROR(IF(0=LEN(ReferenceData!$BD$106),"",ReferenceData!$BD$106),"")</f>
        <v>30347.234</v>
      </c>
      <c r="BE106" t="str">
        <f ca="1">IFERROR(IF(0=LEN(ReferenceData!$BE$106),"",ReferenceData!$BE$106),"")</f>
        <v/>
      </c>
      <c r="BF106">
        <f ca="1">IFERROR(IF(0=LEN(ReferenceData!$BF$106),"",ReferenceData!$BF$106),"")</f>
        <v>30883.421999999999</v>
      </c>
      <c r="BG106" t="str">
        <f ca="1">IFERROR(IF(0=LEN(ReferenceData!$BG$106),"",ReferenceData!$BG$106),"")</f>
        <v/>
      </c>
      <c r="BH106" t="str">
        <f ca="1">IFERROR(IF(0=LEN(ReferenceData!$BH$106),"",ReferenceData!$BH$106),"")</f>
        <v/>
      </c>
      <c r="BI106" t="str">
        <f ca="1">IFERROR(IF(0=LEN(ReferenceData!$BI$106),"",ReferenceData!$BI$106),"")</f>
        <v/>
      </c>
      <c r="BJ106" t="str">
        <f ca="1">IFERROR(IF(0=LEN(ReferenceData!$BJ$106),"",ReferenceData!$BJ$106),"")</f>
        <v/>
      </c>
      <c r="BK106" t="str">
        <f ca="1">IFERROR(IF(0=LEN(ReferenceData!$BK$106),"",ReferenceData!$BK$106),"")</f>
        <v/>
      </c>
      <c r="BL106" t="str">
        <f ca="1">IFERROR(IF(0=LEN(ReferenceData!$BL$106),"",ReferenceData!$BL$106),"")</f>
        <v/>
      </c>
      <c r="BM106" t="str">
        <f ca="1">IFERROR(IF(0=LEN(ReferenceData!$BM$106),"",ReferenceData!$BM$106),"")</f>
        <v/>
      </c>
    </row>
    <row r="107" spans="1:65" x14ac:dyDescent="0.25">
      <c r="A107" t="str">
        <f>IFERROR(IF(0=LEN(ReferenceData!$A$107),"",ReferenceData!$A$107),"")</f>
        <v xml:space="preserve">    NatWest Group PLC</v>
      </c>
      <c r="B107" t="str">
        <f>IFERROR(IF(0=LEN(ReferenceData!$B$107),"",ReferenceData!$B$107),"")</f>
        <v>NWG LN Equity</v>
      </c>
      <c r="C107" t="str">
        <f>IFERROR(IF(0=LEN(ReferenceData!$C$107),"",ReferenceData!$C$107),"")</f>
        <v>BS017</v>
      </c>
      <c r="D107" t="str">
        <f>IFERROR(IF(0=LEN(ReferenceData!$D$107),"",ReferenceData!$D$107),"")</f>
        <v>BS_CONS_LOAN</v>
      </c>
      <c r="E107" t="str">
        <f>IFERROR(IF(0=LEN(ReferenceData!$E$107),"",ReferenceData!$E$107),"")</f>
        <v>Dynamic</v>
      </c>
      <c r="F107" t="str">
        <f ca="1">IFERROR(IF(0=LEN(ReferenceData!$F$107),"",ReferenceData!$F$107),"")</f>
        <v/>
      </c>
      <c r="G107" t="str">
        <f ca="1">IFERROR(IF(0=LEN(ReferenceData!$G$107),"",ReferenceData!$G$107),"")</f>
        <v/>
      </c>
      <c r="H107" t="str">
        <f ca="1">IFERROR(IF(0=LEN(ReferenceData!$H$107),"",ReferenceData!$H$107),"")</f>
        <v/>
      </c>
      <c r="I107" t="str">
        <f ca="1">IFERROR(IF(0=LEN(ReferenceData!$I$107),"",ReferenceData!$I$107),"")</f>
        <v/>
      </c>
      <c r="J107" t="str">
        <f ca="1">IFERROR(IF(0=LEN(ReferenceData!$J$107),"",ReferenceData!$J$107),"")</f>
        <v/>
      </c>
      <c r="K107" t="str">
        <f ca="1">IFERROR(IF(0=LEN(ReferenceData!$K$107),"",ReferenceData!$K$107),"")</f>
        <v/>
      </c>
      <c r="L107" t="str">
        <f ca="1">IFERROR(IF(0=LEN(ReferenceData!$L$107),"",ReferenceData!$L$107),"")</f>
        <v/>
      </c>
      <c r="M107" t="str">
        <f ca="1">IFERROR(IF(0=LEN(ReferenceData!$M$107),"",ReferenceData!$M$107),"")</f>
        <v/>
      </c>
      <c r="N107" t="str">
        <f ca="1">IFERROR(IF(0=LEN(ReferenceData!$N$107),"",ReferenceData!$N$107),"")</f>
        <v/>
      </c>
      <c r="O107" t="str">
        <f ca="1">IFERROR(IF(0=LEN(ReferenceData!$O$107),"",ReferenceData!$O$107),"")</f>
        <v/>
      </c>
      <c r="P107" t="str">
        <f ca="1">IFERROR(IF(0=LEN(ReferenceData!$P$107),"",ReferenceData!$P$107),"")</f>
        <v/>
      </c>
      <c r="Q107" t="str">
        <f ca="1">IFERROR(IF(0=LEN(ReferenceData!$Q$107),"",ReferenceData!$Q$107),"")</f>
        <v/>
      </c>
      <c r="R107" t="str">
        <f ca="1">IFERROR(IF(0=LEN(ReferenceData!$R$107),"",ReferenceData!$R$107),"")</f>
        <v/>
      </c>
      <c r="S107" t="str">
        <f ca="1">IFERROR(IF(0=LEN(ReferenceData!$S$107),"",ReferenceData!$S$107),"")</f>
        <v/>
      </c>
      <c r="T107" t="str">
        <f ca="1">IFERROR(IF(0=LEN(ReferenceData!$T$107),"",ReferenceData!$T$107),"")</f>
        <v/>
      </c>
      <c r="U107" t="str">
        <f ca="1">IFERROR(IF(0=LEN(ReferenceData!$U$107),"",ReferenceData!$U$107),"")</f>
        <v/>
      </c>
      <c r="V107" t="str">
        <f ca="1">IFERROR(IF(0=LEN(ReferenceData!$V$107),"",ReferenceData!$V$107),"")</f>
        <v/>
      </c>
      <c r="W107" t="str">
        <f ca="1">IFERROR(IF(0=LEN(ReferenceData!$W$107),"",ReferenceData!$W$107),"")</f>
        <v/>
      </c>
      <c r="X107" t="str">
        <f ca="1">IFERROR(IF(0=LEN(ReferenceData!$X$107),"",ReferenceData!$X$107),"")</f>
        <v/>
      </c>
      <c r="Y107" t="str">
        <f ca="1">IFERROR(IF(0=LEN(ReferenceData!$Y$107),"",ReferenceData!$Y$107),"")</f>
        <v/>
      </c>
      <c r="Z107" t="str">
        <f ca="1">IFERROR(IF(0=LEN(ReferenceData!$Z$107),"",ReferenceData!$Z$107),"")</f>
        <v/>
      </c>
      <c r="AA107" t="str">
        <f ca="1">IFERROR(IF(0=LEN(ReferenceData!$AA$107),"",ReferenceData!$AA$107),"")</f>
        <v/>
      </c>
      <c r="AB107" t="str">
        <f ca="1">IFERROR(IF(0=LEN(ReferenceData!$AB$107),"",ReferenceData!$AB$107),"")</f>
        <v/>
      </c>
      <c r="AC107" t="str">
        <f ca="1">IFERROR(IF(0=LEN(ReferenceData!$AC$107),"",ReferenceData!$AC$107),"")</f>
        <v/>
      </c>
      <c r="AD107" t="str">
        <f ca="1">IFERROR(IF(0=LEN(ReferenceData!$AD$107),"",ReferenceData!$AD$107),"")</f>
        <v/>
      </c>
      <c r="AE107" t="str">
        <f ca="1">IFERROR(IF(0=LEN(ReferenceData!$AE$107),"",ReferenceData!$AE$107),"")</f>
        <v/>
      </c>
      <c r="AF107" t="str">
        <f ca="1">IFERROR(IF(0=LEN(ReferenceData!$AF$107),"",ReferenceData!$AF$107),"")</f>
        <v/>
      </c>
      <c r="AG107" t="str">
        <f ca="1">IFERROR(IF(0=LEN(ReferenceData!$AG$107),"",ReferenceData!$AG$107),"")</f>
        <v/>
      </c>
      <c r="AH107" t="str">
        <f ca="1">IFERROR(IF(0=LEN(ReferenceData!$AH$107),"",ReferenceData!$AH$107),"")</f>
        <v/>
      </c>
      <c r="AI107" t="str">
        <f ca="1">IFERROR(IF(0=LEN(ReferenceData!$AI$107),"",ReferenceData!$AI$107),"")</f>
        <v/>
      </c>
      <c r="AJ107" t="str">
        <f ca="1">IFERROR(IF(0=LEN(ReferenceData!$AJ$107),"",ReferenceData!$AJ$107),"")</f>
        <v/>
      </c>
      <c r="AK107" t="str">
        <f ca="1">IFERROR(IF(0=LEN(ReferenceData!$AK$107),"",ReferenceData!$AK$107),"")</f>
        <v/>
      </c>
      <c r="AL107" t="str">
        <f ca="1">IFERROR(IF(0=LEN(ReferenceData!$AL$107),"",ReferenceData!$AL$107),"")</f>
        <v/>
      </c>
      <c r="AM107" t="str">
        <f ca="1">IFERROR(IF(0=LEN(ReferenceData!$AM$107),"",ReferenceData!$AM$107),"")</f>
        <v/>
      </c>
      <c r="AN107" t="str">
        <f ca="1">IFERROR(IF(0=LEN(ReferenceData!$AN$107),"",ReferenceData!$AN$107),"")</f>
        <v/>
      </c>
      <c r="AO107" t="str">
        <f ca="1">IFERROR(IF(0=LEN(ReferenceData!$AO$107),"",ReferenceData!$AO$107),"")</f>
        <v/>
      </c>
      <c r="AP107" t="str">
        <f ca="1">IFERROR(IF(0=LEN(ReferenceData!$AP$107),"",ReferenceData!$AP$107),"")</f>
        <v/>
      </c>
      <c r="AQ107" t="str">
        <f ca="1">IFERROR(IF(0=LEN(ReferenceData!$AQ$107),"",ReferenceData!$AQ$107),"")</f>
        <v/>
      </c>
      <c r="AR107" t="str">
        <f ca="1">IFERROR(IF(0=LEN(ReferenceData!$AR$107),"",ReferenceData!$AR$107),"")</f>
        <v/>
      </c>
      <c r="AS107" t="str">
        <f ca="1">IFERROR(IF(0=LEN(ReferenceData!$AS$107),"",ReferenceData!$AS$107),"")</f>
        <v/>
      </c>
      <c r="AT107" t="str">
        <f ca="1">IFERROR(IF(0=LEN(ReferenceData!$AT$107),"",ReferenceData!$AT$107),"")</f>
        <v/>
      </c>
      <c r="AU107" t="str">
        <f ca="1">IFERROR(IF(0=LEN(ReferenceData!$AU$107),"",ReferenceData!$AU$107),"")</f>
        <v/>
      </c>
      <c r="AV107" t="str">
        <f ca="1">IFERROR(IF(0=LEN(ReferenceData!$AV$107),"",ReferenceData!$AV$107),"")</f>
        <v/>
      </c>
      <c r="AW107" t="str">
        <f ca="1">IFERROR(IF(0=LEN(ReferenceData!$AW$107),"",ReferenceData!$AW$107),"")</f>
        <v/>
      </c>
      <c r="AX107">
        <f ca="1">IFERROR(IF(0=LEN(ReferenceData!$AX$107),"",ReferenceData!$AX$107),"")</f>
        <v>211926.82329999999</v>
      </c>
      <c r="AY107">
        <f ca="1">IFERROR(IF(0=LEN(ReferenceData!$AY$107),"",ReferenceData!$AY$107),"")</f>
        <v>210893.2776</v>
      </c>
      <c r="AZ107" t="str">
        <f ca="1">IFERROR(IF(0=LEN(ReferenceData!$AZ$107),"",ReferenceData!$AZ$107),"")</f>
        <v/>
      </c>
      <c r="BA107" t="str">
        <f ca="1">IFERROR(IF(0=LEN(ReferenceData!$BA$107),"",ReferenceData!$BA$107),"")</f>
        <v/>
      </c>
      <c r="BB107" t="str">
        <f ca="1">IFERROR(IF(0=LEN(ReferenceData!$BB$107),"",ReferenceData!$BB$107),"")</f>
        <v/>
      </c>
      <c r="BC107" t="str">
        <f ca="1">IFERROR(IF(0=LEN(ReferenceData!$BC$107),"",ReferenceData!$BC$107),"")</f>
        <v/>
      </c>
      <c r="BD107" t="str">
        <f ca="1">IFERROR(IF(0=LEN(ReferenceData!$BD$107),"",ReferenceData!$BD$107),"")</f>
        <v/>
      </c>
      <c r="BE107">
        <f ca="1">IFERROR(IF(0=LEN(ReferenceData!$BE$107),"",ReferenceData!$BE$107),"")</f>
        <v>210776.0612</v>
      </c>
      <c r="BF107">
        <f ca="1">IFERROR(IF(0=LEN(ReferenceData!$BF$107),"",ReferenceData!$BF$107),"")</f>
        <v>210896.073</v>
      </c>
      <c r="BG107">
        <f ca="1">IFERROR(IF(0=LEN(ReferenceData!$BG$107),"",ReferenceData!$BG$107),"")</f>
        <v>214343.50930000001</v>
      </c>
      <c r="BH107">
        <f ca="1">IFERROR(IF(0=LEN(ReferenceData!$BH$107),"",ReferenceData!$BH$107),"")</f>
        <v>205252.32629999999</v>
      </c>
      <c r="BI107">
        <f ca="1">IFERROR(IF(0=LEN(ReferenceData!$BI$107),"",ReferenceData!$BI$107),"")</f>
        <v>208800.30220000001</v>
      </c>
      <c r="BJ107">
        <f ca="1">IFERROR(IF(0=LEN(ReferenceData!$BJ$107),"",ReferenceData!$BJ$107),"")</f>
        <v>214598.462</v>
      </c>
      <c r="BK107">
        <f ca="1">IFERROR(IF(0=LEN(ReferenceData!$BK$107),"",ReferenceData!$BK$107),"")</f>
        <v>212616.6931</v>
      </c>
      <c r="BL107" t="str">
        <f ca="1">IFERROR(IF(0=LEN(ReferenceData!$BL$107),"",ReferenceData!$BL$107),"")</f>
        <v/>
      </c>
      <c r="BM107" t="str">
        <f ca="1">IFERROR(IF(0=LEN(ReferenceData!$BM$107),"",ReferenceData!$BM$107),"")</f>
        <v/>
      </c>
    </row>
    <row r="108" spans="1:65" x14ac:dyDescent="0.25">
      <c r="A108" t="str">
        <f>IFERROR(IF(0=LEN(ReferenceData!$A$108),"",ReferenceData!$A$108),"")</f>
        <v xml:space="preserve">    Nordea Bank Abp</v>
      </c>
      <c r="B108" t="str">
        <f>IFERROR(IF(0=LEN(ReferenceData!$B$108),"",ReferenceData!$B$108),"")</f>
        <v>NDA FH Equity</v>
      </c>
      <c r="C108" t="str">
        <f>IFERROR(IF(0=LEN(ReferenceData!$C$108),"",ReferenceData!$C$108),"")</f>
        <v>BS017</v>
      </c>
      <c r="D108" t="str">
        <f>IFERROR(IF(0=LEN(ReferenceData!$D$108),"",ReferenceData!$D$108),"")</f>
        <v>BS_CONS_LOAN</v>
      </c>
      <c r="E108" t="str">
        <f>IFERROR(IF(0=LEN(ReferenceData!$E$108),"",ReferenceData!$E$108),"")</f>
        <v>Dynamic</v>
      </c>
      <c r="F108">
        <f ca="1">IFERROR(IF(0=LEN(ReferenceData!$F$108),"",ReferenceData!$F$108),"")</f>
        <v>151237</v>
      </c>
      <c r="G108">
        <f ca="1">IFERROR(IF(0=LEN(ReferenceData!$G$108),"",ReferenceData!$G$108),"")</f>
        <v>143294</v>
      </c>
      <c r="H108">
        <f ca="1">IFERROR(IF(0=LEN(ReferenceData!$H$108),"",ReferenceData!$H$108),"")</f>
        <v>143533</v>
      </c>
      <c r="I108">
        <f ca="1">IFERROR(IF(0=LEN(ReferenceData!$I$108),"",ReferenceData!$I$108),"")</f>
        <v>141629</v>
      </c>
      <c r="J108">
        <f ca="1">IFERROR(IF(0=LEN(ReferenceData!$J$108),"",ReferenceData!$J$108),"")</f>
        <v>145555</v>
      </c>
      <c r="K108">
        <f ca="1">IFERROR(IF(0=LEN(ReferenceData!$K$108),"",ReferenceData!$K$108),"")</f>
        <v>143574</v>
      </c>
      <c r="L108">
        <f ca="1">IFERROR(IF(0=LEN(ReferenceData!$L$108),"",ReferenceData!$L$108),"")</f>
        <v>140950</v>
      </c>
      <c r="M108">
        <f ca="1">IFERROR(IF(0=LEN(ReferenceData!$M$108),"",ReferenceData!$M$108),"")</f>
        <v>143970</v>
      </c>
      <c r="N108">
        <f ca="1">IFERROR(IF(0=LEN(ReferenceData!$N$108),"",ReferenceData!$N$108),"")</f>
        <v>147233</v>
      </c>
      <c r="O108">
        <f ca="1">IFERROR(IF(0=LEN(ReferenceData!$O$108),"",ReferenceData!$O$108),"")</f>
        <v>148486</v>
      </c>
      <c r="P108">
        <f ca="1">IFERROR(IF(0=LEN(ReferenceData!$P$108),"",ReferenceData!$P$108),"")</f>
        <v>148893</v>
      </c>
      <c r="Q108" t="str">
        <f ca="1">IFERROR(IF(0=LEN(ReferenceData!$Q$108),"",ReferenceData!$Q$108),"")</f>
        <v/>
      </c>
      <c r="R108">
        <f ca="1">IFERROR(IF(0=LEN(ReferenceData!$R$108),"",ReferenceData!$R$108),"")</f>
        <v>148995</v>
      </c>
      <c r="S108">
        <f ca="1">IFERROR(IF(0=LEN(ReferenceData!$S$108),"",ReferenceData!$S$108),"")</f>
        <v>147847</v>
      </c>
      <c r="T108">
        <f ca="1">IFERROR(IF(0=LEN(ReferenceData!$T$108),"",ReferenceData!$T$108),"")</f>
        <v>183000</v>
      </c>
      <c r="U108">
        <f ca="1">IFERROR(IF(0=LEN(ReferenceData!$U$108),"",ReferenceData!$U$108),"")</f>
        <v>142785</v>
      </c>
      <c r="V108">
        <f ca="1">IFERROR(IF(0=LEN(ReferenceData!$V$108),"",ReferenceData!$V$108),"")</f>
        <v>175556</v>
      </c>
      <c r="W108">
        <f ca="1">IFERROR(IF(0=LEN(ReferenceData!$W$108),"",ReferenceData!$W$108),"")</f>
        <v>134613</v>
      </c>
      <c r="X108">
        <f ca="1">IFERROR(IF(0=LEN(ReferenceData!$X$108),"",ReferenceData!$X$108),"")</f>
        <v>167000</v>
      </c>
      <c r="Y108">
        <f ca="1">IFERROR(IF(0=LEN(ReferenceData!$Y$108),"",ReferenceData!$Y$108),"")</f>
        <v>160000</v>
      </c>
      <c r="Z108">
        <f ca="1">IFERROR(IF(0=LEN(ReferenceData!$Z$108),"",ReferenceData!$Z$108),"")</f>
        <v>167165</v>
      </c>
      <c r="AA108">
        <f ca="1">IFERROR(IF(0=LEN(ReferenceData!$AA$108),"",ReferenceData!$AA$108),"")</f>
        <v>165000</v>
      </c>
      <c r="AB108">
        <f ca="1">IFERROR(IF(0=LEN(ReferenceData!$AB$108),"",ReferenceData!$AB$108),"")</f>
        <v>165000</v>
      </c>
      <c r="AC108">
        <f ca="1">IFERROR(IF(0=LEN(ReferenceData!$AC$108),"",ReferenceData!$AC$108),"")</f>
        <v>163000</v>
      </c>
      <c r="AD108">
        <f ca="1">IFERROR(IF(0=LEN(ReferenceData!$AD$108),"",ReferenceData!$AD$108),"")</f>
        <v>157029</v>
      </c>
      <c r="AE108">
        <f ca="1">IFERROR(IF(0=LEN(ReferenceData!$AE$108),"",ReferenceData!$AE$108),"")</f>
        <v>161000</v>
      </c>
      <c r="AF108">
        <f ca="1">IFERROR(IF(0=LEN(ReferenceData!$AF$108),"",ReferenceData!$AF$108),"")</f>
        <v>156000</v>
      </c>
      <c r="AG108">
        <f ca="1">IFERROR(IF(0=LEN(ReferenceData!$AG$108),"",ReferenceData!$AG$108),"")</f>
        <v>156000</v>
      </c>
      <c r="AH108">
        <f ca="1">IFERROR(IF(0=LEN(ReferenceData!$AH$108),"",ReferenceData!$AH$108),"")</f>
        <v>158584</v>
      </c>
      <c r="AI108">
        <f ca="1">IFERROR(IF(0=LEN(ReferenceData!$AI$108),"",ReferenceData!$AI$108),"")</f>
        <v>162000</v>
      </c>
      <c r="AJ108">
        <f ca="1">IFERROR(IF(0=LEN(ReferenceData!$AJ$108),"",ReferenceData!$AJ$108),"")</f>
        <v>163000</v>
      </c>
      <c r="AK108">
        <f ca="1">IFERROR(IF(0=LEN(ReferenceData!$AK$108),"",ReferenceData!$AK$108),"")</f>
        <v>161000</v>
      </c>
      <c r="AL108">
        <f ca="1">IFERROR(IF(0=LEN(ReferenceData!$AL$108),"",ReferenceData!$AL$108),"")</f>
        <v>161100</v>
      </c>
      <c r="AM108">
        <f ca="1">IFERROR(IF(0=LEN(ReferenceData!$AM$108),"",ReferenceData!$AM$108),"")</f>
        <v>159000</v>
      </c>
      <c r="AN108">
        <f ca="1">IFERROR(IF(0=LEN(ReferenceData!$AN$108),"",ReferenceData!$AN$108),"")</f>
        <v>162000</v>
      </c>
      <c r="AO108">
        <f ca="1">IFERROR(IF(0=LEN(ReferenceData!$AO$108),"",ReferenceData!$AO$108),"")</f>
        <v>161000</v>
      </c>
      <c r="AP108">
        <f ca="1">IFERROR(IF(0=LEN(ReferenceData!$AP$108),"",ReferenceData!$AP$108),"")</f>
        <v>158151</v>
      </c>
      <c r="AQ108">
        <f ca="1">IFERROR(IF(0=LEN(ReferenceData!$AQ$108),"",ReferenceData!$AQ$108),"")</f>
        <v>155000</v>
      </c>
      <c r="AR108">
        <f ca="1">IFERROR(IF(0=LEN(ReferenceData!$AR$108),"",ReferenceData!$AR$108),"")</f>
        <v>158000</v>
      </c>
      <c r="AS108">
        <f ca="1">IFERROR(IF(0=LEN(ReferenceData!$AS$108),"",ReferenceData!$AS$108),"")</f>
        <v>157000</v>
      </c>
      <c r="AT108" t="str">
        <f ca="1">IFERROR(IF(0=LEN(ReferenceData!$AT$108),"",ReferenceData!$AT$108),"")</f>
        <v/>
      </c>
      <c r="AU108" t="str">
        <f ca="1">IFERROR(IF(0=LEN(ReferenceData!$AU$108),"",ReferenceData!$AU$108),"")</f>
        <v/>
      </c>
      <c r="AV108" t="str">
        <f ca="1">IFERROR(IF(0=LEN(ReferenceData!$AV$108),"",ReferenceData!$AV$108),"")</f>
        <v/>
      </c>
      <c r="AW108" t="str">
        <f ca="1">IFERROR(IF(0=LEN(ReferenceData!$AW$108),"",ReferenceData!$AW$108),"")</f>
        <v/>
      </c>
      <c r="AX108" t="str">
        <f ca="1">IFERROR(IF(0=LEN(ReferenceData!$AX$108),"",ReferenceData!$AX$108),"")</f>
        <v/>
      </c>
      <c r="AY108" t="str">
        <f ca="1">IFERROR(IF(0=LEN(ReferenceData!$AY$108),"",ReferenceData!$AY$108),"")</f>
        <v/>
      </c>
      <c r="AZ108" t="str">
        <f ca="1">IFERROR(IF(0=LEN(ReferenceData!$AZ$108),"",ReferenceData!$AZ$108),"")</f>
        <v/>
      </c>
      <c r="BA108" t="str">
        <f ca="1">IFERROR(IF(0=LEN(ReferenceData!$BA$108),"",ReferenceData!$BA$108),"")</f>
        <v/>
      </c>
      <c r="BB108" t="str">
        <f ca="1">IFERROR(IF(0=LEN(ReferenceData!$BB$108),"",ReferenceData!$BB$108),"")</f>
        <v/>
      </c>
      <c r="BC108" t="str">
        <f ca="1">IFERROR(IF(0=LEN(ReferenceData!$BC$108),"",ReferenceData!$BC$108),"")</f>
        <v/>
      </c>
      <c r="BD108" t="str">
        <f ca="1">IFERROR(IF(0=LEN(ReferenceData!$BD$108),"",ReferenceData!$BD$108),"")</f>
        <v/>
      </c>
      <c r="BE108" t="str">
        <f ca="1">IFERROR(IF(0=LEN(ReferenceData!$BE$108),"",ReferenceData!$BE$108),"")</f>
        <v/>
      </c>
      <c r="BF108" t="str">
        <f ca="1">IFERROR(IF(0=LEN(ReferenceData!$BF$108),"",ReferenceData!$BF$108),"")</f>
        <v/>
      </c>
      <c r="BG108" t="str">
        <f ca="1">IFERROR(IF(0=LEN(ReferenceData!$BG$108),"",ReferenceData!$BG$108),"")</f>
        <v/>
      </c>
      <c r="BH108" t="str">
        <f ca="1">IFERROR(IF(0=LEN(ReferenceData!$BH$108),"",ReferenceData!$BH$108),"")</f>
        <v/>
      </c>
      <c r="BI108" t="str">
        <f ca="1">IFERROR(IF(0=LEN(ReferenceData!$BI$108),"",ReferenceData!$BI$108),"")</f>
        <v/>
      </c>
      <c r="BJ108" t="str">
        <f ca="1">IFERROR(IF(0=LEN(ReferenceData!$BJ$108),"",ReferenceData!$BJ$108),"")</f>
        <v/>
      </c>
      <c r="BK108" t="str">
        <f ca="1">IFERROR(IF(0=LEN(ReferenceData!$BK$108),"",ReferenceData!$BK$108),"")</f>
        <v/>
      </c>
      <c r="BL108" t="str">
        <f ca="1">IFERROR(IF(0=LEN(ReferenceData!$BL$108),"",ReferenceData!$BL$108),"")</f>
        <v/>
      </c>
      <c r="BM108" t="str">
        <f ca="1">IFERROR(IF(0=LEN(ReferenceData!$BM$108),"",ReferenceData!$BM$108),"")</f>
        <v/>
      </c>
    </row>
    <row r="109" spans="1:65" x14ac:dyDescent="0.25">
      <c r="A109" t="str">
        <f>IFERROR(IF(0=LEN(ReferenceData!$A$109),"",ReferenceData!$A$109),"")</f>
        <v xml:space="preserve">    Raiffeisen Bank International AG</v>
      </c>
      <c r="B109" t="str">
        <f>IFERROR(IF(0=LEN(ReferenceData!$B$109),"",ReferenceData!$B$109),"")</f>
        <v>RBI AV Equity</v>
      </c>
      <c r="C109" t="str">
        <f>IFERROR(IF(0=LEN(ReferenceData!$C$109),"",ReferenceData!$C$109),"")</f>
        <v>BS017</v>
      </c>
      <c r="D109" t="str">
        <f>IFERROR(IF(0=LEN(ReferenceData!$D$109),"",ReferenceData!$D$109),"")</f>
        <v>BS_CONS_LOAN</v>
      </c>
      <c r="E109" t="str">
        <f>IFERROR(IF(0=LEN(ReferenceData!$E$109),"",ReferenceData!$E$109),"")</f>
        <v>Dynamic</v>
      </c>
      <c r="F109">
        <f ca="1">IFERROR(IF(0=LEN(ReferenceData!$F$109),"",ReferenceData!$F$109),"")</f>
        <v>39594</v>
      </c>
      <c r="G109">
        <f ca="1">IFERROR(IF(0=LEN(ReferenceData!$G$109),"",ReferenceData!$G$109),"")</f>
        <v>40980</v>
      </c>
      <c r="H109">
        <f ca="1">IFERROR(IF(0=LEN(ReferenceData!$H$109),"",ReferenceData!$H$109),"")</f>
        <v>41108</v>
      </c>
      <c r="I109">
        <f ca="1">IFERROR(IF(0=LEN(ReferenceData!$I$109),"",ReferenceData!$I$109),"")</f>
        <v>40500</v>
      </c>
      <c r="J109">
        <f ca="1">IFERROR(IF(0=LEN(ReferenceData!$J$109),"",ReferenceData!$J$109),"")</f>
        <v>40799</v>
      </c>
      <c r="K109">
        <f ca="1">IFERROR(IF(0=LEN(ReferenceData!$K$109),"",ReferenceData!$K$109),"")</f>
        <v>41030</v>
      </c>
      <c r="L109">
        <f ca="1">IFERROR(IF(0=LEN(ReferenceData!$L$109),"",ReferenceData!$L$109),"")</f>
        <v>41684</v>
      </c>
      <c r="M109">
        <f ca="1">IFERROR(IF(0=LEN(ReferenceData!$M$109),"",ReferenceData!$M$109),"")</f>
        <v>42051</v>
      </c>
      <c r="N109">
        <f ca="1">IFERROR(IF(0=LEN(ReferenceData!$N$109),"",ReferenceData!$N$109),"")</f>
        <v>42063</v>
      </c>
      <c r="O109">
        <f ca="1">IFERROR(IF(0=LEN(ReferenceData!$O$109),"",ReferenceData!$O$109),"")</f>
        <v>43341</v>
      </c>
      <c r="P109">
        <f ca="1">IFERROR(IF(0=LEN(ReferenceData!$P$109),"",ReferenceData!$P$109),"")</f>
        <v>42824</v>
      </c>
      <c r="Q109">
        <f ca="1">IFERROR(IF(0=LEN(ReferenceData!$Q$109),"",ReferenceData!$Q$109),"")</f>
        <v>39508</v>
      </c>
      <c r="R109">
        <f ca="1">IFERROR(IF(0=LEN(ReferenceData!$R$109),"",ReferenceData!$R$109),"")</f>
        <v>39184</v>
      </c>
      <c r="S109">
        <f ca="1">IFERROR(IF(0=LEN(ReferenceData!$S$109),"",ReferenceData!$S$109),"")</f>
        <v>39821</v>
      </c>
      <c r="T109">
        <f ca="1">IFERROR(IF(0=LEN(ReferenceData!$T$109),"",ReferenceData!$T$109),"")</f>
        <v>37175</v>
      </c>
      <c r="U109">
        <f ca="1">IFERROR(IF(0=LEN(ReferenceData!$U$109),"",ReferenceData!$U$109),"")</f>
        <v>35947</v>
      </c>
      <c r="V109">
        <f ca="1">IFERROR(IF(0=LEN(ReferenceData!$V$109),"",ReferenceData!$V$109),"")</f>
        <v>35528.065000000002</v>
      </c>
      <c r="W109">
        <f ca="1">IFERROR(IF(0=LEN(ReferenceData!$W$109),"",ReferenceData!$W$109),"")</f>
        <v>34825</v>
      </c>
      <c r="X109">
        <f ca="1">IFERROR(IF(0=LEN(ReferenceData!$X$109),"",ReferenceData!$X$109),"")</f>
        <v>35088</v>
      </c>
      <c r="Y109">
        <f ca="1">IFERROR(IF(0=LEN(ReferenceData!$Y$109),"",ReferenceData!$Y$109),"")</f>
        <v>34719</v>
      </c>
      <c r="Z109">
        <f ca="1">IFERROR(IF(0=LEN(ReferenceData!$Z$109),"",ReferenceData!$Z$109),"")</f>
        <v>35681.906000000003</v>
      </c>
      <c r="AA109">
        <f ca="1">IFERROR(IF(0=LEN(ReferenceData!$AA$109),"",ReferenceData!$AA$109),"")</f>
        <v>34942</v>
      </c>
      <c r="AB109">
        <f ca="1">IFERROR(IF(0=LEN(ReferenceData!$AB$109),"",ReferenceData!$AB$109),"")</f>
        <v>34042</v>
      </c>
      <c r="AC109">
        <f ca="1">IFERROR(IF(0=LEN(ReferenceData!$AC$109),"",ReferenceData!$AC$109),"")</f>
        <v>32911</v>
      </c>
      <c r="AD109">
        <f ca="1">IFERROR(IF(0=LEN(ReferenceData!$AD$109),"",ReferenceData!$AD$109),"")</f>
        <v>32119.728999999999</v>
      </c>
      <c r="AE109">
        <f ca="1">IFERROR(IF(0=LEN(ReferenceData!$AE$109),"",ReferenceData!$AE$109),"")</f>
        <v>31946</v>
      </c>
      <c r="AF109">
        <f ca="1">IFERROR(IF(0=LEN(ReferenceData!$AF$109),"",ReferenceData!$AF$109),"")</f>
        <v>31237</v>
      </c>
      <c r="AG109">
        <f ca="1">IFERROR(IF(0=LEN(ReferenceData!$AG$109),"",ReferenceData!$AG$109),"")</f>
        <v>31831</v>
      </c>
      <c r="AH109">
        <f ca="1">IFERROR(IF(0=LEN(ReferenceData!$AH$109),"",ReferenceData!$AH$109),"")</f>
        <v>30215.096000000001</v>
      </c>
      <c r="AI109">
        <f ca="1">IFERROR(IF(0=LEN(ReferenceData!$AI$109),"",ReferenceData!$AI$109),"")</f>
        <v>30714</v>
      </c>
      <c r="AJ109">
        <f ca="1">IFERROR(IF(0=LEN(ReferenceData!$AJ$109),"",ReferenceData!$AJ$109),"")</f>
        <v>30676</v>
      </c>
      <c r="AK109">
        <f ca="1">IFERROR(IF(0=LEN(ReferenceData!$AK$109),"",ReferenceData!$AK$109),"")</f>
        <v>30375</v>
      </c>
      <c r="AL109">
        <f ca="1">IFERROR(IF(0=LEN(ReferenceData!$AL$109),"",ReferenceData!$AL$109),"")</f>
        <v>23392.811000000002</v>
      </c>
      <c r="AM109">
        <f ca="1">IFERROR(IF(0=LEN(ReferenceData!$AM$109),"",ReferenceData!$AM$109),"")</f>
        <v>22815</v>
      </c>
      <c r="AN109">
        <f ca="1">IFERROR(IF(0=LEN(ReferenceData!$AN$109),"",ReferenceData!$AN$109),"")</f>
        <v>22411</v>
      </c>
      <c r="AO109">
        <f ca="1">IFERROR(IF(0=LEN(ReferenceData!$AO$109),"",ReferenceData!$AO$109),"")</f>
        <v>22040</v>
      </c>
      <c r="AP109">
        <f ca="1">IFERROR(IF(0=LEN(ReferenceData!$AP$109),"",ReferenceData!$AP$109),"")</f>
        <v>21878.404999999999</v>
      </c>
      <c r="AQ109">
        <f ca="1">IFERROR(IF(0=LEN(ReferenceData!$AQ$109),"",ReferenceData!$AQ$109),"")</f>
        <v>22259</v>
      </c>
      <c r="AR109">
        <f ca="1">IFERROR(IF(0=LEN(ReferenceData!$AR$109),"",ReferenceData!$AR$109),"")</f>
        <v>22828</v>
      </c>
      <c r="AS109">
        <f ca="1">IFERROR(IF(0=LEN(ReferenceData!$AS$109),"",ReferenceData!$AS$109),"")</f>
        <v>23144</v>
      </c>
      <c r="AT109">
        <f ca="1">IFERROR(IF(0=LEN(ReferenceData!$AT$109),"",ReferenceData!$AT$109),"")</f>
        <v>22316.947</v>
      </c>
      <c r="AU109">
        <f ca="1">IFERROR(IF(0=LEN(ReferenceData!$AU$109),"",ReferenceData!$AU$109),"")</f>
        <v>23705</v>
      </c>
      <c r="AV109">
        <f ca="1">IFERROR(IF(0=LEN(ReferenceData!$AV$109),"",ReferenceData!$AV$109),"")</f>
        <v>23730</v>
      </c>
      <c r="AW109">
        <f ca="1">IFERROR(IF(0=LEN(ReferenceData!$AW$109),"",ReferenceData!$AW$109),"")</f>
        <v>23346</v>
      </c>
      <c r="AX109">
        <f ca="1">IFERROR(IF(0=LEN(ReferenceData!$AX$109),"",ReferenceData!$AX$109),"")</f>
        <v>23755.814999999999</v>
      </c>
      <c r="AY109">
        <f ca="1">IFERROR(IF(0=LEN(ReferenceData!$AY$109),"",ReferenceData!$AY$109),"")</f>
        <v>24072</v>
      </c>
      <c r="AZ109">
        <f ca="1">IFERROR(IF(0=LEN(ReferenceData!$AZ$109),"",ReferenceData!$AZ$109),"")</f>
        <v>23708</v>
      </c>
      <c r="BA109">
        <f ca="1">IFERROR(IF(0=LEN(ReferenceData!$BA$109),"",ReferenceData!$BA$109),"")</f>
        <v>23506</v>
      </c>
      <c r="BB109">
        <f ca="1">IFERROR(IF(0=LEN(ReferenceData!$BB$109),"",ReferenceData!$BB$109),"")</f>
        <v>23489.032999999999</v>
      </c>
      <c r="BC109">
        <f ca="1">IFERROR(IF(0=LEN(ReferenceData!$BC$109),"",ReferenceData!$BC$109),"")</f>
        <v>23446</v>
      </c>
      <c r="BD109">
        <f ca="1">IFERROR(IF(0=LEN(ReferenceData!$BD$109),"",ReferenceData!$BD$109),"")</f>
        <v>23366</v>
      </c>
      <c r="BE109">
        <f ca="1">IFERROR(IF(0=LEN(ReferenceData!$BE$109),"",ReferenceData!$BE$109),"")</f>
        <v>19061</v>
      </c>
      <c r="BF109">
        <f ca="1">IFERROR(IF(0=LEN(ReferenceData!$BF$109),"",ReferenceData!$BF$109),"")</f>
        <v>19004.397000000001</v>
      </c>
      <c r="BG109">
        <f ca="1">IFERROR(IF(0=LEN(ReferenceData!$BG$109),"",ReferenceData!$BG$109),"")</f>
        <v>19008</v>
      </c>
      <c r="BH109">
        <f ca="1">IFERROR(IF(0=LEN(ReferenceData!$BH$109),"",ReferenceData!$BH$109),"")</f>
        <v>19031</v>
      </c>
      <c r="BI109">
        <f ca="1">IFERROR(IF(0=LEN(ReferenceData!$BI$109),"",ReferenceData!$BI$109),"")</f>
        <v>18464</v>
      </c>
      <c r="BJ109">
        <f ca="1">IFERROR(IF(0=LEN(ReferenceData!$BJ$109),"",ReferenceData!$BJ$109),"")</f>
        <v>18548.814999999999</v>
      </c>
      <c r="BK109">
        <f ca="1">IFERROR(IF(0=LEN(ReferenceData!$BK$109),"",ReferenceData!$BK$109),"")</f>
        <v>18209</v>
      </c>
      <c r="BL109">
        <f ca="1">IFERROR(IF(0=LEN(ReferenceData!$BL$109),"",ReferenceData!$BL$109),"")</f>
        <v>18336</v>
      </c>
      <c r="BM109" t="str">
        <f ca="1">IFERROR(IF(0=LEN(ReferenceData!$BM$109),"",ReferenceData!$BM$109),"")</f>
        <v/>
      </c>
    </row>
    <row r="110" spans="1:65" x14ac:dyDescent="0.25">
      <c r="A110" t="str">
        <f>IFERROR(IF(0=LEN(ReferenceData!$A$110),"",ReferenceData!$A$110),"")</f>
        <v xml:space="preserve">    Skandinaviska Enskilda Banken AB</v>
      </c>
      <c r="B110" t="str">
        <f>IFERROR(IF(0=LEN(ReferenceData!$B$110),"",ReferenceData!$B$110),"")</f>
        <v>SEBA SS Equity</v>
      </c>
      <c r="C110" t="str">
        <f>IFERROR(IF(0=LEN(ReferenceData!$C$110),"",ReferenceData!$C$110),"")</f>
        <v>BS017</v>
      </c>
      <c r="D110" t="str">
        <f>IFERROR(IF(0=LEN(ReferenceData!$D$110),"",ReferenceData!$D$110),"")</f>
        <v>BS_CONS_LOAN</v>
      </c>
      <c r="E110" t="str">
        <f>IFERROR(IF(0=LEN(ReferenceData!$E$110),"",ReferenceData!$E$110),"")</f>
        <v>Dynamic</v>
      </c>
      <c r="F110" t="str">
        <f ca="1">IFERROR(IF(0=LEN(ReferenceData!$F$110),"",ReferenceData!$F$110),"")</f>
        <v/>
      </c>
      <c r="G110" t="str">
        <f ca="1">IFERROR(IF(0=LEN(ReferenceData!$G$110),"",ReferenceData!$G$110),"")</f>
        <v/>
      </c>
      <c r="H110" t="str">
        <f ca="1">IFERROR(IF(0=LEN(ReferenceData!$H$110),"",ReferenceData!$H$110),"")</f>
        <v/>
      </c>
      <c r="I110" t="str">
        <f ca="1">IFERROR(IF(0=LEN(ReferenceData!$I$110),"",ReferenceData!$I$110),"")</f>
        <v/>
      </c>
      <c r="J110" t="str">
        <f ca="1">IFERROR(IF(0=LEN(ReferenceData!$J$110),"",ReferenceData!$J$110),"")</f>
        <v/>
      </c>
      <c r="K110" t="str">
        <f ca="1">IFERROR(IF(0=LEN(ReferenceData!$K$110),"",ReferenceData!$K$110),"")</f>
        <v/>
      </c>
      <c r="L110" t="str">
        <f ca="1">IFERROR(IF(0=LEN(ReferenceData!$L$110),"",ReferenceData!$L$110),"")</f>
        <v/>
      </c>
      <c r="M110" t="str">
        <f ca="1">IFERROR(IF(0=LEN(ReferenceData!$M$110),"",ReferenceData!$M$110),"")</f>
        <v/>
      </c>
      <c r="N110" t="str">
        <f ca="1">IFERROR(IF(0=LEN(ReferenceData!$N$110),"",ReferenceData!$N$110),"")</f>
        <v/>
      </c>
      <c r="O110" t="str">
        <f ca="1">IFERROR(IF(0=LEN(ReferenceData!$O$110),"",ReferenceData!$O$110),"")</f>
        <v/>
      </c>
      <c r="P110" t="str">
        <f ca="1">IFERROR(IF(0=LEN(ReferenceData!$P$110),"",ReferenceData!$P$110),"")</f>
        <v/>
      </c>
      <c r="Q110" t="str">
        <f ca="1">IFERROR(IF(0=LEN(ReferenceData!$Q$110),"",ReferenceData!$Q$110),"")</f>
        <v/>
      </c>
      <c r="R110" t="str">
        <f ca="1">IFERROR(IF(0=LEN(ReferenceData!$R$110),"",ReferenceData!$R$110),"")</f>
        <v/>
      </c>
      <c r="S110" t="str">
        <f ca="1">IFERROR(IF(0=LEN(ReferenceData!$S$110),"",ReferenceData!$S$110),"")</f>
        <v/>
      </c>
      <c r="T110" t="str">
        <f ca="1">IFERROR(IF(0=LEN(ReferenceData!$T$110),"",ReferenceData!$T$110),"")</f>
        <v/>
      </c>
      <c r="U110" t="str">
        <f ca="1">IFERROR(IF(0=LEN(ReferenceData!$U$110),"",ReferenceData!$U$110),"")</f>
        <v/>
      </c>
      <c r="V110" t="str">
        <f ca="1">IFERROR(IF(0=LEN(ReferenceData!$V$110),"",ReferenceData!$V$110),"")</f>
        <v/>
      </c>
      <c r="W110" t="str">
        <f ca="1">IFERROR(IF(0=LEN(ReferenceData!$W$110),"",ReferenceData!$W$110),"")</f>
        <v/>
      </c>
      <c r="X110" t="str">
        <f ca="1">IFERROR(IF(0=LEN(ReferenceData!$X$110),"",ReferenceData!$X$110),"")</f>
        <v/>
      </c>
      <c r="Y110" t="str">
        <f ca="1">IFERROR(IF(0=LEN(ReferenceData!$Y$110),"",ReferenceData!$Y$110),"")</f>
        <v/>
      </c>
      <c r="Z110" t="str">
        <f ca="1">IFERROR(IF(0=LEN(ReferenceData!$Z$110),"",ReferenceData!$Z$110),"")</f>
        <v/>
      </c>
      <c r="AA110" t="str">
        <f ca="1">IFERROR(IF(0=LEN(ReferenceData!$AA$110),"",ReferenceData!$AA$110),"")</f>
        <v/>
      </c>
      <c r="AB110" t="str">
        <f ca="1">IFERROR(IF(0=LEN(ReferenceData!$AB$110),"",ReferenceData!$AB$110),"")</f>
        <v/>
      </c>
      <c r="AC110" t="str">
        <f ca="1">IFERROR(IF(0=LEN(ReferenceData!$AC$110),"",ReferenceData!$AC$110),"")</f>
        <v/>
      </c>
      <c r="AD110" t="str">
        <f ca="1">IFERROR(IF(0=LEN(ReferenceData!$AD$110),"",ReferenceData!$AD$110),"")</f>
        <v/>
      </c>
      <c r="AE110" t="str">
        <f ca="1">IFERROR(IF(0=LEN(ReferenceData!$AE$110),"",ReferenceData!$AE$110),"")</f>
        <v/>
      </c>
      <c r="AF110" t="str">
        <f ca="1">IFERROR(IF(0=LEN(ReferenceData!$AF$110),"",ReferenceData!$AF$110),"")</f>
        <v/>
      </c>
      <c r="AG110" t="str">
        <f ca="1">IFERROR(IF(0=LEN(ReferenceData!$AG$110),"",ReferenceData!$AG$110),"")</f>
        <v/>
      </c>
      <c r="AH110" t="str">
        <f ca="1">IFERROR(IF(0=LEN(ReferenceData!$AH$110),"",ReferenceData!$AH$110),"")</f>
        <v/>
      </c>
      <c r="AI110" t="str">
        <f ca="1">IFERROR(IF(0=LEN(ReferenceData!$AI$110),"",ReferenceData!$AI$110),"")</f>
        <v/>
      </c>
      <c r="AJ110" t="str">
        <f ca="1">IFERROR(IF(0=LEN(ReferenceData!$AJ$110),"",ReferenceData!$AJ$110),"")</f>
        <v/>
      </c>
      <c r="AK110" t="str">
        <f ca="1">IFERROR(IF(0=LEN(ReferenceData!$AK$110),"",ReferenceData!$AK$110),"")</f>
        <v/>
      </c>
      <c r="AL110" t="str">
        <f ca="1">IFERROR(IF(0=LEN(ReferenceData!$AL$110),"",ReferenceData!$AL$110),"")</f>
        <v/>
      </c>
      <c r="AM110" t="str">
        <f ca="1">IFERROR(IF(0=LEN(ReferenceData!$AM$110),"",ReferenceData!$AM$110),"")</f>
        <v/>
      </c>
      <c r="AN110" t="str">
        <f ca="1">IFERROR(IF(0=LEN(ReferenceData!$AN$110),"",ReferenceData!$AN$110),"")</f>
        <v/>
      </c>
      <c r="AO110" t="str">
        <f ca="1">IFERROR(IF(0=LEN(ReferenceData!$AO$110),"",ReferenceData!$AO$110),"")</f>
        <v/>
      </c>
      <c r="AP110" t="str">
        <f ca="1">IFERROR(IF(0=LEN(ReferenceData!$AP$110),"",ReferenceData!$AP$110),"")</f>
        <v/>
      </c>
      <c r="AQ110" t="str">
        <f ca="1">IFERROR(IF(0=LEN(ReferenceData!$AQ$110),"",ReferenceData!$AQ$110),"")</f>
        <v/>
      </c>
      <c r="AR110" t="str">
        <f ca="1">IFERROR(IF(0=LEN(ReferenceData!$AR$110),"",ReferenceData!$AR$110),"")</f>
        <v/>
      </c>
      <c r="AS110" t="str">
        <f ca="1">IFERROR(IF(0=LEN(ReferenceData!$AS$110),"",ReferenceData!$AS$110),"")</f>
        <v/>
      </c>
      <c r="AT110" t="str">
        <f ca="1">IFERROR(IF(0=LEN(ReferenceData!$AT$110),"",ReferenceData!$AT$110),"")</f>
        <v/>
      </c>
      <c r="AU110" t="str">
        <f ca="1">IFERROR(IF(0=LEN(ReferenceData!$AU$110),"",ReferenceData!$AU$110),"")</f>
        <v/>
      </c>
      <c r="AV110" t="str">
        <f ca="1">IFERROR(IF(0=LEN(ReferenceData!$AV$110),"",ReferenceData!$AV$110),"")</f>
        <v/>
      </c>
      <c r="AW110" t="str">
        <f ca="1">IFERROR(IF(0=LEN(ReferenceData!$AW$110),"",ReferenceData!$AW$110),"")</f>
        <v/>
      </c>
      <c r="AX110" t="str">
        <f ca="1">IFERROR(IF(0=LEN(ReferenceData!$AX$110),"",ReferenceData!$AX$110),"")</f>
        <v/>
      </c>
      <c r="AY110" t="str">
        <f ca="1">IFERROR(IF(0=LEN(ReferenceData!$AY$110),"",ReferenceData!$AY$110),"")</f>
        <v/>
      </c>
      <c r="AZ110" t="str">
        <f ca="1">IFERROR(IF(0=LEN(ReferenceData!$AZ$110),"",ReferenceData!$AZ$110),"")</f>
        <v/>
      </c>
      <c r="BA110" t="str">
        <f ca="1">IFERROR(IF(0=LEN(ReferenceData!$BA$110),"",ReferenceData!$BA$110),"")</f>
        <v/>
      </c>
      <c r="BB110" t="str">
        <f ca="1">IFERROR(IF(0=LEN(ReferenceData!$BB$110),"",ReferenceData!$BB$110),"")</f>
        <v/>
      </c>
      <c r="BC110" t="str">
        <f ca="1">IFERROR(IF(0=LEN(ReferenceData!$BC$110),"",ReferenceData!$BC$110),"")</f>
        <v/>
      </c>
      <c r="BD110" t="str">
        <f ca="1">IFERROR(IF(0=LEN(ReferenceData!$BD$110),"",ReferenceData!$BD$110),"")</f>
        <v/>
      </c>
      <c r="BE110" t="str">
        <f ca="1">IFERROR(IF(0=LEN(ReferenceData!$BE$110),"",ReferenceData!$BE$110),"")</f>
        <v/>
      </c>
      <c r="BF110" t="str">
        <f ca="1">IFERROR(IF(0=LEN(ReferenceData!$BF$110),"",ReferenceData!$BF$110),"")</f>
        <v/>
      </c>
      <c r="BG110" t="str">
        <f ca="1">IFERROR(IF(0=LEN(ReferenceData!$BG$110),"",ReferenceData!$BG$110),"")</f>
        <v/>
      </c>
      <c r="BH110" t="str">
        <f ca="1">IFERROR(IF(0=LEN(ReferenceData!$BH$110),"",ReferenceData!$BH$110),"")</f>
        <v/>
      </c>
      <c r="BI110" t="str">
        <f ca="1">IFERROR(IF(0=LEN(ReferenceData!$BI$110),"",ReferenceData!$BI$110),"")</f>
        <v/>
      </c>
      <c r="BJ110" t="str">
        <f ca="1">IFERROR(IF(0=LEN(ReferenceData!$BJ$110),"",ReferenceData!$BJ$110),"")</f>
        <v/>
      </c>
      <c r="BK110" t="str">
        <f ca="1">IFERROR(IF(0=LEN(ReferenceData!$BK$110),"",ReferenceData!$BK$110),"")</f>
        <v/>
      </c>
      <c r="BL110" t="str">
        <f ca="1">IFERROR(IF(0=LEN(ReferenceData!$BL$110),"",ReferenceData!$BL$110),"")</f>
        <v/>
      </c>
      <c r="BM110" t="str">
        <f ca="1">IFERROR(IF(0=LEN(ReferenceData!$BM$110),"",ReferenceData!$BM$110),"")</f>
        <v/>
      </c>
    </row>
    <row r="111" spans="1:65" x14ac:dyDescent="0.25">
      <c r="A111" t="str">
        <f>IFERROR(IF(0=LEN(ReferenceData!$A$111),"",ReferenceData!$A$111),"")</f>
        <v xml:space="preserve">    Svenska Handelsbanken AB</v>
      </c>
      <c r="B111" t="str">
        <f>IFERROR(IF(0=LEN(ReferenceData!$B$111),"",ReferenceData!$B$111),"")</f>
        <v>SHBA SS Equity</v>
      </c>
      <c r="C111" t="str">
        <f>IFERROR(IF(0=LEN(ReferenceData!$C$111),"",ReferenceData!$C$111),"")</f>
        <v>BS017</v>
      </c>
      <c r="D111" t="str">
        <f>IFERROR(IF(0=LEN(ReferenceData!$D$111),"",ReferenceData!$D$111),"")</f>
        <v>BS_CONS_LOAN</v>
      </c>
      <c r="E111" t="str">
        <f>IFERROR(IF(0=LEN(ReferenceData!$E$111),"",ReferenceData!$E$111),"")</f>
        <v>Dynamic</v>
      </c>
      <c r="F111">
        <f ca="1">IFERROR(IF(0=LEN(ReferenceData!$F$111),"",ReferenceData!$F$111),"")</f>
        <v>102295.4791</v>
      </c>
      <c r="G111">
        <f ca="1">IFERROR(IF(0=LEN(ReferenceData!$G$111),"",ReferenceData!$G$111),"")</f>
        <v>103053.22659999999</v>
      </c>
      <c r="H111">
        <f ca="1">IFERROR(IF(0=LEN(ReferenceData!$H$111),"",ReferenceData!$H$111),"")</f>
        <v>102563.60030000001</v>
      </c>
      <c r="I111">
        <f ca="1">IFERROR(IF(0=LEN(ReferenceData!$I$111),"",ReferenceData!$I$111),"")</f>
        <v>100878.6096</v>
      </c>
      <c r="J111">
        <f ca="1">IFERROR(IF(0=LEN(ReferenceData!$J$111),"",ReferenceData!$J$111),"")</f>
        <v>103710.0661</v>
      </c>
      <c r="K111">
        <f ca="1">IFERROR(IF(0=LEN(ReferenceData!$K$111),"",ReferenceData!$K$111),"")</f>
        <v>103049.0028</v>
      </c>
      <c r="L111">
        <f ca="1">IFERROR(IF(0=LEN(ReferenceData!$L$111),"",ReferenceData!$L$111),"")</f>
        <v>99274.384579999998</v>
      </c>
      <c r="M111">
        <f ca="1">IFERROR(IF(0=LEN(ReferenceData!$M$111),"",ReferenceData!$M$111),"")</f>
        <v>103166.6208</v>
      </c>
      <c r="N111">
        <f ca="1">IFERROR(IF(0=LEN(ReferenceData!$N$111),"",ReferenceData!$N$111),"")</f>
        <v>104484.1121</v>
      </c>
      <c r="O111">
        <f ca="1">IFERROR(IF(0=LEN(ReferenceData!$O$111),"",ReferenceData!$O$111),"")</f>
        <v>106961.5886</v>
      </c>
      <c r="P111">
        <f ca="1">IFERROR(IF(0=LEN(ReferenceData!$P$111),"",ReferenceData!$P$111),"")</f>
        <v>108384.64169999999</v>
      </c>
      <c r="Q111">
        <f ca="1">IFERROR(IF(0=LEN(ReferenceData!$Q$111),"",ReferenceData!$Q$111),"")</f>
        <v>110611.6107</v>
      </c>
      <c r="R111">
        <f ca="1">IFERROR(IF(0=LEN(ReferenceData!$R$111),"",ReferenceData!$R$111),"")</f>
        <v>110006.7421</v>
      </c>
      <c r="S111">
        <f ca="1">IFERROR(IF(0=LEN(ReferenceData!$S$111),"",ReferenceData!$S$111),"")</f>
        <v>120717.11040000001</v>
      </c>
      <c r="T111">
        <f ca="1">IFERROR(IF(0=LEN(ReferenceData!$T$111),"",ReferenceData!$T$111),"")</f>
        <v>119139.4903</v>
      </c>
      <c r="U111">
        <f ca="1">IFERROR(IF(0=LEN(ReferenceData!$U$111),"",ReferenceData!$U$111),"")</f>
        <v>116770.1839</v>
      </c>
      <c r="V111">
        <f ca="1">IFERROR(IF(0=LEN(ReferenceData!$V$111),"",ReferenceData!$V$111),"")</f>
        <v>116469.58199999999</v>
      </c>
      <c r="W111">
        <f ca="1">IFERROR(IF(0=LEN(ReferenceData!$W$111),"",ReferenceData!$W$111),"")</f>
        <v>111414.6059</v>
      </c>
      <c r="X111">
        <f ca="1">IFERROR(IF(0=LEN(ReferenceData!$X$111),"",ReferenceData!$X$111),"")</f>
        <v>111217.79399999999</v>
      </c>
      <c r="Y111">
        <f ca="1">IFERROR(IF(0=LEN(ReferenceData!$Y$111),"",ReferenceData!$Y$111),"")</f>
        <v>106046.8211</v>
      </c>
      <c r="Z111">
        <f ca="1">IFERROR(IF(0=LEN(ReferenceData!$Z$111),"",ReferenceData!$Z$111),"")</f>
        <v>109816.65300000001</v>
      </c>
      <c r="AA111">
        <f ca="1">IFERROR(IF(0=LEN(ReferenceData!$AA$111),"",ReferenceData!$AA$111),"")</f>
        <v>106914.2132</v>
      </c>
      <c r="AB111">
        <f ca="1">IFERROR(IF(0=LEN(ReferenceData!$AB$111),"",ReferenceData!$AB$111),"")</f>
        <v>107496.3407</v>
      </c>
      <c r="AC111">
        <f ca="1">IFERROR(IF(0=LEN(ReferenceData!$AC$111),"",ReferenceData!$AC$111),"")</f>
        <v>107633.7596</v>
      </c>
      <c r="AD111">
        <f ca="1">IFERROR(IF(0=LEN(ReferenceData!$AD$111),"",ReferenceData!$AD$111),"")</f>
        <v>107975.0634</v>
      </c>
      <c r="AE111">
        <f ca="1">IFERROR(IF(0=LEN(ReferenceData!$AE$111),"",ReferenceData!$AE$111),"")</f>
        <v>106453.0321</v>
      </c>
      <c r="AF111">
        <f ca="1">IFERROR(IF(0=LEN(ReferenceData!$AF$111),"",ReferenceData!$AF$111),"")</f>
        <v>104607.5716</v>
      </c>
      <c r="AG111">
        <f ca="1">IFERROR(IF(0=LEN(ReferenceData!$AG$111),"",ReferenceData!$AG$111),"")</f>
        <v>104325.7988</v>
      </c>
      <c r="AH111">
        <f ca="1">IFERROR(IF(0=LEN(ReferenceData!$AH$111),"",ReferenceData!$AH$111),"")</f>
        <v>105828.2245</v>
      </c>
      <c r="AI111">
        <f ca="1">IFERROR(IF(0=LEN(ReferenceData!$AI$111),"",ReferenceData!$AI$111),"")</f>
        <v>106523.42230000001</v>
      </c>
      <c r="AJ111">
        <f ca="1">IFERROR(IF(0=LEN(ReferenceData!$AJ$111),"",ReferenceData!$AJ$111),"")</f>
        <v>104688.5569</v>
      </c>
      <c r="AK111">
        <f ca="1">IFERROR(IF(0=LEN(ReferenceData!$AK$111),"",ReferenceData!$AK$111),"")</f>
        <v>104054.704</v>
      </c>
      <c r="AL111">
        <f ca="1">IFERROR(IF(0=LEN(ReferenceData!$AL$111),"",ReferenceData!$AL$111),"")</f>
        <v>102533.0987</v>
      </c>
      <c r="AM111">
        <f ca="1">IFERROR(IF(0=LEN(ReferenceData!$AM$111),"",ReferenceData!$AM$111),"")</f>
        <v>100729.2936</v>
      </c>
      <c r="AN111">
        <f ca="1">IFERROR(IF(0=LEN(ReferenceData!$AN$111),"",ReferenceData!$AN$111),"")</f>
        <v>101160.4806</v>
      </c>
      <c r="AO111">
        <f ca="1">IFERROR(IF(0=LEN(ReferenceData!$AO$111),"",ReferenceData!$AO$111),"")</f>
        <v>100350.68180000001</v>
      </c>
      <c r="AP111">
        <f ca="1">IFERROR(IF(0=LEN(ReferenceData!$AP$111),"",ReferenceData!$AP$111),"")</f>
        <v>99320.090289999993</v>
      </c>
      <c r="AQ111" t="str">
        <f ca="1">IFERROR(IF(0=LEN(ReferenceData!$AQ$111),"",ReferenceData!$AQ$111),"")</f>
        <v/>
      </c>
      <c r="AR111" t="str">
        <f ca="1">IFERROR(IF(0=LEN(ReferenceData!$AR$111),"",ReferenceData!$AR$111),"")</f>
        <v/>
      </c>
      <c r="AS111" t="str">
        <f ca="1">IFERROR(IF(0=LEN(ReferenceData!$AS$111),"",ReferenceData!$AS$111),"")</f>
        <v/>
      </c>
      <c r="AT111">
        <f ca="1">IFERROR(IF(0=LEN(ReferenceData!$AT$111),"",ReferenceData!$AT$111),"")</f>
        <v>90322.737869999997</v>
      </c>
      <c r="AU111" t="str">
        <f ca="1">IFERROR(IF(0=LEN(ReferenceData!$AU$111),"",ReferenceData!$AU$111),"")</f>
        <v/>
      </c>
      <c r="AV111" t="str">
        <f ca="1">IFERROR(IF(0=LEN(ReferenceData!$AV$111),"",ReferenceData!$AV$111),"")</f>
        <v/>
      </c>
      <c r="AW111" t="str">
        <f ca="1">IFERROR(IF(0=LEN(ReferenceData!$AW$111),"",ReferenceData!$AW$111),"")</f>
        <v/>
      </c>
      <c r="AX111">
        <f ca="1">IFERROR(IF(0=LEN(ReferenceData!$AX$111),"",ReferenceData!$AX$111),"")</f>
        <v>88988.156390000004</v>
      </c>
      <c r="AY111" t="str">
        <f ca="1">IFERROR(IF(0=LEN(ReferenceData!$AY$111),"",ReferenceData!$AY$111),"")</f>
        <v/>
      </c>
      <c r="AZ111" t="str">
        <f ca="1">IFERROR(IF(0=LEN(ReferenceData!$AZ$111),"",ReferenceData!$AZ$111),"")</f>
        <v/>
      </c>
      <c r="BA111" t="str">
        <f ca="1">IFERROR(IF(0=LEN(ReferenceData!$BA$111),"",ReferenceData!$BA$111),"")</f>
        <v/>
      </c>
      <c r="BB111">
        <f ca="1">IFERROR(IF(0=LEN(ReferenceData!$BB$111),"",ReferenceData!$BB$111),"")</f>
        <v>86616.045750000005</v>
      </c>
      <c r="BC111" t="str">
        <f ca="1">IFERROR(IF(0=LEN(ReferenceData!$BC$111),"",ReferenceData!$BC$111),"")</f>
        <v/>
      </c>
      <c r="BD111" t="str">
        <f ca="1">IFERROR(IF(0=LEN(ReferenceData!$BD$111),"",ReferenceData!$BD$111),"")</f>
        <v/>
      </c>
      <c r="BE111" t="str">
        <f ca="1">IFERROR(IF(0=LEN(ReferenceData!$BE$111),"",ReferenceData!$BE$111),"")</f>
        <v/>
      </c>
      <c r="BF111" t="str">
        <f ca="1">IFERROR(IF(0=LEN(ReferenceData!$BF$111),"",ReferenceData!$BF$111),"")</f>
        <v/>
      </c>
      <c r="BG111" t="str">
        <f ca="1">IFERROR(IF(0=LEN(ReferenceData!$BG$111),"",ReferenceData!$BG$111),"")</f>
        <v/>
      </c>
      <c r="BH111" t="str">
        <f ca="1">IFERROR(IF(0=LEN(ReferenceData!$BH$111),"",ReferenceData!$BH$111),"")</f>
        <v/>
      </c>
      <c r="BI111" t="str">
        <f ca="1">IFERROR(IF(0=LEN(ReferenceData!$BI$111),"",ReferenceData!$BI$111),"")</f>
        <v/>
      </c>
      <c r="BJ111" t="str">
        <f ca="1">IFERROR(IF(0=LEN(ReferenceData!$BJ$111),"",ReferenceData!$BJ$111),"")</f>
        <v/>
      </c>
      <c r="BK111" t="str">
        <f ca="1">IFERROR(IF(0=LEN(ReferenceData!$BK$111),"",ReferenceData!$BK$111),"")</f>
        <v/>
      </c>
      <c r="BL111" t="str">
        <f ca="1">IFERROR(IF(0=LEN(ReferenceData!$BL$111),"",ReferenceData!$BL$111),"")</f>
        <v/>
      </c>
      <c r="BM111" t="str">
        <f ca="1">IFERROR(IF(0=LEN(ReferenceData!$BM$111),"",ReferenceData!$BM$111),"")</f>
        <v/>
      </c>
    </row>
    <row r="112" spans="1:65" x14ac:dyDescent="0.25">
      <c r="A112" t="str">
        <f>IFERROR(IF(0=LEN(ReferenceData!$A$112),"",ReferenceData!$A$112),"")</f>
        <v xml:space="preserve">    Swedbank AB</v>
      </c>
      <c r="B112" t="str">
        <f>IFERROR(IF(0=LEN(ReferenceData!$B$112),"",ReferenceData!$B$112),"")</f>
        <v>SWEDA SS Equity</v>
      </c>
      <c r="C112" t="str">
        <f>IFERROR(IF(0=LEN(ReferenceData!$C$112),"",ReferenceData!$C$112),"")</f>
        <v>BS017</v>
      </c>
      <c r="D112" t="str">
        <f>IFERROR(IF(0=LEN(ReferenceData!$D$112),"",ReferenceData!$D$112),"")</f>
        <v>BS_CONS_LOAN</v>
      </c>
      <c r="E112" t="str">
        <f>IFERROR(IF(0=LEN(ReferenceData!$E$112),"",ReferenceData!$E$112),"")</f>
        <v>Dynamic</v>
      </c>
      <c r="F112" t="str">
        <f ca="1">IFERROR(IF(0=LEN(ReferenceData!$F$112),"",ReferenceData!$F$112),"")</f>
        <v/>
      </c>
      <c r="G112">
        <f ca="1">IFERROR(IF(0=LEN(ReferenceData!$G$112),"",ReferenceData!$G$112),"")</f>
        <v>100391.7837</v>
      </c>
      <c r="H112">
        <f ca="1">IFERROR(IF(0=LEN(ReferenceData!$H$112),"",ReferenceData!$H$112),"")</f>
        <v>99812.265020000006</v>
      </c>
      <c r="I112">
        <f ca="1">IFERROR(IF(0=LEN(ReferenceData!$I$112),"",ReferenceData!$I$112),"")</f>
        <v>98280.885760000005</v>
      </c>
      <c r="J112">
        <f ca="1">IFERROR(IF(0=LEN(ReferenceData!$J$112),"",ReferenceData!$J$112),"")</f>
        <v>106046.6551</v>
      </c>
      <c r="K112">
        <f ca="1">IFERROR(IF(0=LEN(ReferenceData!$K$112),"",ReferenceData!$K$112),"")</f>
        <v>102441.3337</v>
      </c>
      <c r="L112">
        <f ca="1">IFERROR(IF(0=LEN(ReferenceData!$L$112),"",ReferenceData!$L$112),"")</f>
        <v>80614.012770000001</v>
      </c>
      <c r="M112">
        <f ca="1">IFERROR(IF(0=LEN(ReferenceData!$M$112),"",ReferenceData!$M$112),"")</f>
        <v>99841.593349999996</v>
      </c>
      <c r="N112">
        <f ca="1">IFERROR(IF(0=LEN(ReferenceData!$N$112),"",ReferenceData!$N$112),"")</f>
        <v>105657.80379999999</v>
      </c>
      <c r="O112">
        <f ca="1">IFERROR(IF(0=LEN(ReferenceData!$O$112),"",ReferenceData!$O$112),"")</f>
        <v>108089.772</v>
      </c>
      <c r="P112">
        <f ca="1">IFERROR(IF(0=LEN(ReferenceData!$P$112),"",ReferenceData!$P$112),"")</f>
        <v>83741.024210000003</v>
      </c>
      <c r="Q112">
        <f ca="1">IFERROR(IF(0=LEN(ReferenceData!$Q$112),"",ReferenceData!$Q$112),"")</f>
        <v>110537.3722</v>
      </c>
      <c r="R112">
        <f ca="1">IFERROR(IF(0=LEN(ReferenceData!$R$112),"",ReferenceData!$R$112),"")</f>
        <v>110243.67939999999</v>
      </c>
      <c r="S112">
        <f ca="1">IFERROR(IF(0=LEN(ReferenceData!$S$112),"",ReferenceData!$S$112),"")</f>
        <v>110126.5724</v>
      </c>
      <c r="T112">
        <f ca="1">IFERROR(IF(0=LEN(ReferenceData!$T$112),"",ReferenceData!$T$112),"")</f>
        <v>108689.8808</v>
      </c>
      <c r="U112">
        <f ca="1">IFERROR(IF(0=LEN(ReferenceData!$U$112),"",ReferenceData!$U$112),"")</f>
        <v>106174.5364</v>
      </c>
      <c r="V112">
        <f ca="1">IFERROR(IF(0=LEN(ReferenceData!$V$112),"",ReferenceData!$V$112),"")</f>
        <v>107590.1672</v>
      </c>
      <c r="W112">
        <f ca="1">IFERROR(IF(0=LEN(ReferenceData!$W$112),"",ReferenceData!$W$112),"")</f>
        <v>102886.2115</v>
      </c>
      <c r="X112">
        <f ca="1">IFERROR(IF(0=LEN(ReferenceData!$X$112),"",ReferenceData!$X$112),"")</f>
        <v>102230.8768</v>
      </c>
      <c r="Y112">
        <f ca="1">IFERROR(IF(0=LEN(ReferenceData!$Y$112),"",ReferenceData!$Y$112),"")</f>
        <v>97261.508019999994</v>
      </c>
      <c r="Z112">
        <f ca="1">IFERROR(IF(0=LEN(ReferenceData!$Z$112),"",ReferenceData!$Z$112),"")</f>
        <v>100325.0974</v>
      </c>
      <c r="AA112">
        <f ca="1">IFERROR(IF(0=LEN(ReferenceData!$AA$112),"",ReferenceData!$AA$112),"")</f>
        <v>98192.084300000002</v>
      </c>
      <c r="AB112">
        <f ca="1">IFERROR(IF(0=LEN(ReferenceData!$AB$112),"",ReferenceData!$AB$112),"")</f>
        <v>99023.839739999996</v>
      </c>
      <c r="AC112">
        <f ca="1">IFERROR(IF(0=LEN(ReferenceData!$AC$112),"",ReferenceData!$AC$112),"")</f>
        <v>99515.628890000007</v>
      </c>
      <c r="AD112">
        <f ca="1">IFERROR(IF(0=LEN(ReferenceData!$AD$112),"",ReferenceData!$AD$112),"")</f>
        <v>101347.7788</v>
      </c>
      <c r="AE112">
        <f ca="1">IFERROR(IF(0=LEN(ReferenceData!$AE$112),"",ReferenceData!$AE$112),"")</f>
        <v>99120.679080000002</v>
      </c>
      <c r="AF112">
        <f ca="1">IFERROR(IF(0=LEN(ReferenceData!$AF$112),"",ReferenceData!$AF$112),"")</f>
        <v>97012.187479999993</v>
      </c>
      <c r="AG112">
        <f ca="1">IFERROR(IF(0=LEN(ReferenceData!$AG$112),"",ReferenceData!$AG$112),"")</f>
        <v>97072.137499999997</v>
      </c>
      <c r="AH112">
        <f ca="1">IFERROR(IF(0=LEN(ReferenceData!$AH$112),"",ReferenceData!$AH$112),"")</f>
        <v>99806.425829999993</v>
      </c>
      <c r="AI112">
        <f ca="1">IFERROR(IF(0=LEN(ReferenceData!$AI$112),"",ReferenceData!$AI$112),"")</f>
        <v>100335.4452</v>
      </c>
      <c r="AJ112">
        <f ca="1">IFERROR(IF(0=LEN(ReferenceData!$AJ$112),"",ReferenceData!$AJ$112),"")</f>
        <v>99109.420610000001</v>
      </c>
      <c r="AK112">
        <f ca="1">IFERROR(IF(0=LEN(ReferenceData!$AK$112),"",ReferenceData!$AK$112),"")</f>
        <v>98451.703649999996</v>
      </c>
      <c r="AL112">
        <f ca="1">IFERROR(IF(0=LEN(ReferenceData!$AL$112),"",ReferenceData!$AL$112),"")</f>
        <v>97303.351330000005</v>
      </c>
      <c r="AM112">
        <f ca="1">IFERROR(IF(0=LEN(ReferenceData!$AM$112),"",ReferenceData!$AM$112),"")</f>
        <v>94478.604489999998</v>
      </c>
      <c r="AN112">
        <f ca="1">IFERROR(IF(0=LEN(ReferenceData!$AN$112),"",ReferenceData!$AN$112),"")</f>
        <v>95547.896980000005</v>
      </c>
      <c r="AO112">
        <f ca="1">IFERROR(IF(0=LEN(ReferenceData!$AO$112),"",ReferenceData!$AO$112),"")</f>
        <v>95442.504360000006</v>
      </c>
      <c r="AP112">
        <f ca="1">IFERROR(IF(0=LEN(ReferenceData!$AP$112),"",ReferenceData!$AP$112),"")</f>
        <v>94676.132660000003</v>
      </c>
      <c r="AQ112">
        <f ca="1">IFERROR(IF(0=LEN(ReferenceData!$AQ$112),"",ReferenceData!$AQ$112),"")</f>
        <v>92117.336120000007</v>
      </c>
      <c r="AR112">
        <f ca="1">IFERROR(IF(0=LEN(ReferenceData!$AR$112),"",ReferenceData!$AR$112),"")</f>
        <v>92240.114189999993</v>
      </c>
      <c r="AS112">
        <f ca="1">IFERROR(IF(0=LEN(ReferenceData!$AS$112),"",ReferenceData!$AS$112),"")</f>
        <v>90738.698470000003</v>
      </c>
      <c r="AT112">
        <f ca="1">IFERROR(IF(0=LEN(ReferenceData!$AT$112),"",ReferenceData!$AT$112),"")</f>
        <v>88095.147280000005</v>
      </c>
      <c r="AU112">
        <f ca="1">IFERROR(IF(0=LEN(ReferenceData!$AU$112),"",ReferenceData!$AU$112),"")</f>
        <v>89302.66936</v>
      </c>
      <c r="AV112">
        <f ca="1">IFERROR(IF(0=LEN(ReferenceData!$AV$112),"",ReferenceData!$AV$112),"")</f>
        <v>87650.963929999998</v>
      </c>
      <c r="AW112">
        <f ca="1">IFERROR(IF(0=LEN(ReferenceData!$AW$112),"",ReferenceData!$AW$112),"")</f>
        <v>87913.660159999999</v>
      </c>
      <c r="AX112">
        <f ca="1">IFERROR(IF(0=LEN(ReferenceData!$AX$112),"",ReferenceData!$AX$112),"")</f>
        <v>87728.997029999999</v>
      </c>
      <c r="AY112">
        <f ca="1">IFERROR(IF(0=LEN(ReferenceData!$AY$112),"",ReferenceData!$AY$112),"")</f>
        <v>88486.112959999999</v>
      </c>
      <c r="AZ112">
        <f ca="1">IFERROR(IF(0=LEN(ReferenceData!$AZ$112),"",ReferenceData!$AZ$112),"")</f>
        <v>87294.789239999998</v>
      </c>
      <c r="BA112">
        <f ca="1">IFERROR(IF(0=LEN(ReferenceData!$BA$112),"",ReferenceData!$BA$112),"")</f>
        <v>90327.05816</v>
      </c>
      <c r="BB112">
        <f ca="1">IFERROR(IF(0=LEN(ReferenceData!$BB$112),"",ReferenceData!$BB$112),"")</f>
        <v>88258.532049999994</v>
      </c>
      <c r="BC112">
        <f ca="1">IFERROR(IF(0=LEN(ReferenceData!$BC$112),"",ReferenceData!$BC$112),"")</f>
        <v>89394.321649999998</v>
      </c>
      <c r="BD112">
        <f ca="1">IFERROR(IF(0=LEN(ReferenceData!$BD$112),"",ReferenceData!$BD$112),"")</f>
        <v>85999.791759999993</v>
      </c>
      <c r="BE112">
        <f ca="1">IFERROR(IF(0=LEN(ReferenceData!$BE$112),"",ReferenceData!$BE$112),"")</f>
        <v>76088.703219999996</v>
      </c>
      <c r="BF112">
        <f ca="1">IFERROR(IF(0=LEN(ReferenceData!$BF$112),"",ReferenceData!$BF$112),"")</f>
        <v>83244.976920000001</v>
      </c>
      <c r="BG112" t="str">
        <f ca="1">IFERROR(IF(0=LEN(ReferenceData!$BG$112),"",ReferenceData!$BG$112),"")</f>
        <v/>
      </c>
      <c r="BH112" t="str">
        <f ca="1">IFERROR(IF(0=LEN(ReferenceData!$BH$112),"",ReferenceData!$BH$112),"")</f>
        <v/>
      </c>
      <c r="BI112" t="str">
        <f ca="1">IFERROR(IF(0=LEN(ReferenceData!$BI$112),"",ReferenceData!$BI$112),"")</f>
        <v/>
      </c>
      <c r="BJ112">
        <f ca="1">IFERROR(IF(0=LEN(ReferenceData!$BJ$112),"",ReferenceData!$BJ$112),"")</f>
        <v>73496.03138</v>
      </c>
      <c r="BK112" t="str">
        <f ca="1">IFERROR(IF(0=LEN(ReferenceData!$BK$112),"",ReferenceData!$BK$112),"")</f>
        <v/>
      </c>
      <c r="BL112" t="str">
        <f ca="1">IFERROR(IF(0=LEN(ReferenceData!$BL$112),"",ReferenceData!$BL$112),"")</f>
        <v/>
      </c>
      <c r="BM112" t="str">
        <f ca="1">IFERROR(IF(0=LEN(ReferenceData!$BM$112),"",ReferenceData!$BM$112),"")</f>
        <v/>
      </c>
    </row>
    <row r="113" spans="1:65" x14ac:dyDescent="0.25">
      <c r="A113" t="str">
        <f>IFERROR(IF(0=LEN(ReferenceData!$A$113),"",ReferenceData!$A$113),"")</f>
        <v xml:space="preserve">    Societe Generale SA</v>
      </c>
      <c r="B113" t="str">
        <f>IFERROR(IF(0=LEN(ReferenceData!$B$113),"",ReferenceData!$B$113),"")</f>
        <v>GLE FP Equity</v>
      </c>
      <c r="C113" t="str">
        <f>IFERROR(IF(0=LEN(ReferenceData!$C$113),"",ReferenceData!$C$113),"")</f>
        <v>BS017</v>
      </c>
      <c r="D113" t="str">
        <f>IFERROR(IF(0=LEN(ReferenceData!$D$113),"",ReferenceData!$D$113),"")</f>
        <v>BS_CONS_LOAN</v>
      </c>
      <c r="E113" t="str">
        <f>IFERROR(IF(0=LEN(ReferenceData!$E$113),"",ReferenceData!$E$113),"")</f>
        <v>Dynamic</v>
      </c>
      <c r="F113">
        <f ca="1">IFERROR(IF(0=LEN(ReferenceData!$F$113),"",ReferenceData!$F$113),"")</f>
        <v>20383</v>
      </c>
      <c r="G113" t="str">
        <f ca="1">IFERROR(IF(0=LEN(ReferenceData!$G$113),"",ReferenceData!$G$113),"")</f>
        <v/>
      </c>
      <c r="H113">
        <f ca="1">IFERROR(IF(0=LEN(ReferenceData!$H$113),"",ReferenceData!$H$113),"")</f>
        <v>20109</v>
      </c>
      <c r="I113" t="str">
        <f ca="1">IFERROR(IF(0=LEN(ReferenceData!$I$113),"",ReferenceData!$I$113),"")</f>
        <v/>
      </c>
      <c r="J113">
        <f ca="1">IFERROR(IF(0=LEN(ReferenceData!$J$113),"",ReferenceData!$J$113),"")</f>
        <v>21629</v>
      </c>
      <c r="K113" t="str">
        <f ca="1">IFERROR(IF(0=LEN(ReferenceData!$K$113),"",ReferenceData!$K$113),"")</f>
        <v/>
      </c>
      <c r="L113">
        <f ca="1">IFERROR(IF(0=LEN(ReferenceData!$L$113),"",ReferenceData!$L$113),"")</f>
        <v>23366</v>
      </c>
      <c r="M113" t="str">
        <f ca="1">IFERROR(IF(0=LEN(ReferenceData!$M$113),"",ReferenceData!$M$113),"")</f>
        <v/>
      </c>
      <c r="N113">
        <f ca="1">IFERROR(IF(0=LEN(ReferenceData!$N$113),"",ReferenceData!$N$113),"")</f>
        <v>29244</v>
      </c>
      <c r="O113" t="str">
        <f ca="1">IFERROR(IF(0=LEN(ReferenceData!$O$113),"",ReferenceData!$O$113),"")</f>
        <v/>
      </c>
      <c r="P113">
        <f ca="1">IFERROR(IF(0=LEN(ReferenceData!$P$113),"",ReferenceData!$P$113),"")</f>
        <v>32242</v>
      </c>
      <c r="Q113" t="str">
        <f ca="1">IFERROR(IF(0=LEN(ReferenceData!$Q$113),"",ReferenceData!$Q$113),"")</f>
        <v/>
      </c>
      <c r="R113">
        <f ca="1">IFERROR(IF(0=LEN(ReferenceData!$R$113),"",ReferenceData!$R$113),"")</f>
        <v>465178</v>
      </c>
      <c r="S113" t="str">
        <f ca="1">IFERROR(IF(0=LEN(ReferenceData!$S$113),"",ReferenceData!$S$113),"")</f>
        <v/>
      </c>
      <c r="T113">
        <f ca="1">IFERROR(IF(0=LEN(ReferenceData!$T$113),"",ReferenceData!$T$113),"")</f>
        <v>20937</v>
      </c>
      <c r="U113" t="str">
        <f ca="1">IFERROR(IF(0=LEN(ReferenceData!$U$113),"",ReferenceData!$U$113),"")</f>
        <v/>
      </c>
      <c r="V113">
        <f ca="1">IFERROR(IF(0=LEN(ReferenceData!$V$113),"",ReferenceData!$V$113),"")</f>
        <v>417970</v>
      </c>
      <c r="W113" t="str">
        <f ca="1">IFERROR(IF(0=LEN(ReferenceData!$W$113),"",ReferenceData!$W$113),"")</f>
        <v/>
      </c>
      <c r="X113">
        <f ca="1">IFERROR(IF(0=LEN(ReferenceData!$X$113),"",ReferenceData!$X$113),"")</f>
        <v>405101</v>
      </c>
      <c r="Y113" t="str">
        <f ca="1">IFERROR(IF(0=LEN(ReferenceData!$Y$113),"",ReferenceData!$Y$113),"")</f>
        <v/>
      </c>
      <c r="Z113">
        <f ca="1">IFERROR(IF(0=LEN(ReferenceData!$Z$113),"",ReferenceData!$Z$113),"")</f>
        <v>407348</v>
      </c>
      <c r="AA113" t="str">
        <f ca="1">IFERROR(IF(0=LEN(ReferenceData!$AA$113),"",ReferenceData!$AA$113),"")</f>
        <v/>
      </c>
      <c r="AB113">
        <f ca="1">IFERROR(IF(0=LEN(ReferenceData!$AB$113),"",ReferenceData!$AB$113),"")</f>
        <v>376484</v>
      </c>
      <c r="AC113" t="str">
        <f ca="1">IFERROR(IF(0=LEN(ReferenceData!$AC$113),"",ReferenceData!$AC$113),"")</f>
        <v/>
      </c>
      <c r="AD113">
        <f ca="1">IFERROR(IF(0=LEN(ReferenceData!$AD$113),"",ReferenceData!$AD$113),"")</f>
        <v>375982</v>
      </c>
      <c r="AE113" t="str">
        <f ca="1">IFERROR(IF(0=LEN(ReferenceData!$AE$113),"",ReferenceData!$AE$113),"")</f>
        <v/>
      </c>
      <c r="AF113">
        <f ca="1">IFERROR(IF(0=LEN(ReferenceData!$AF$113),"",ReferenceData!$AF$113),"")</f>
        <v>363413</v>
      </c>
      <c r="AG113" t="str">
        <f ca="1">IFERROR(IF(0=LEN(ReferenceData!$AG$113),"",ReferenceData!$AG$113),"")</f>
        <v/>
      </c>
      <c r="AH113">
        <f ca="1">IFERROR(IF(0=LEN(ReferenceData!$AH$113),"",ReferenceData!$AH$113),"")</f>
        <v>364096</v>
      </c>
      <c r="AI113" t="str">
        <f ca="1">IFERROR(IF(0=LEN(ReferenceData!$AI$113),"",ReferenceData!$AI$113),"")</f>
        <v/>
      </c>
      <c r="AJ113">
        <f ca="1">IFERROR(IF(0=LEN(ReferenceData!$AJ$113),"",ReferenceData!$AJ$113),"")</f>
        <v>354236</v>
      </c>
      <c r="AK113" t="str">
        <f ca="1">IFERROR(IF(0=LEN(ReferenceData!$AK$113),"",ReferenceData!$AK$113),"")</f>
        <v/>
      </c>
      <c r="AL113" t="str">
        <f ca="1">IFERROR(IF(0=LEN(ReferenceData!$AL$113),"",ReferenceData!$AL$113),"")</f>
        <v/>
      </c>
      <c r="AM113" t="str">
        <f ca="1">IFERROR(IF(0=LEN(ReferenceData!$AM$113),"",ReferenceData!$AM$113),"")</f>
        <v/>
      </c>
      <c r="AN113" t="str">
        <f ca="1">IFERROR(IF(0=LEN(ReferenceData!$AN$113),"",ReferenceData!$AN$113),"")</f>
        <v/>
      </c>
      <c r="AO113" t="str">
        <f ca="1">IFERROR(IF(0=LEN(ReferenceData!$AO$113),"",ReferenceData!$AO$113),"")</f>
        <v/>
      </c>
      <c r="AP113" t="str">
        <f ca="1">IFERROR(IF(0=LEN(ReferenceData!$AP$113),"",ReferenceData!$AP$113),"")</f>
        <v/>
      </c>
      <c r="AQ113" t="str">
        <f ca="1">IFERROR(IF(0=LEN(ReferenceData!$AQ$113),"",ReferenceData!$AQ$113),"")</f>
        <v/>
      </c>
      <c r="AR113" t="str">
        <f ca="1">IFERROR(IF(0=LEN(ReferenceData!$AR$113),"",ReferenceData!$AR$113),"")</f>
        <v/>
      </c>
      <c r="AS113" t="str">
        <f ca="1">IFERROR(IF(0=LEN(ReferenceData!$AS$113),"",ReferenceData!$AS$113),"")</f>
        <v/>
      </c>
      <c r="AT113" t="str">
        <f ca="1">IFERROR(IF(0=LEN(ReferenceData!$AT$113),"",ReferenceData!$AT$113),"")</f>
        <v/>
      </c>
      <c r="AU113" t="str">
        <f ca="1">IFERROR(IF(0=LEN(ReferenceData!$AU$113),"",ReferenceData!$AU$113),"")</f>
        <v/>
      </c>
      <c r="AV113" t="str">
        <f ca="1">IFERROR(IF(0=LEN(ReferenceData!$AV$113),"",ReferenceData!$AV$113),"")</f>
        <v/>
      </c>
      <c r="AW113" t="str">
        <f ca="1">IFERROR(IF(0=LEN(ReferenceData!$AW$113),"",ReferenceData!$AW$113),"")</f>
        <v/>
      </c>
      <c r="AX113" t="str">
        <f ca="1">IFERROR(IF(0=LEN(ReferenceData!$AX$113),"",ReferenceData!$AX$113),"")</f>
        <v/>
      </c>
      <c r="AY113" t="str">
        <f ca="1">IFERROR(IF(0=LEN(ReferenceData!$AY$113),"",ReferenceData!$AY$113),"")</f>
        <v/>
      </c>
      <c r="AZ113" t="str">
        <f ca="1">IFERROR(IF(0=LEN(ReferenceData!$AZ$113),"",ReferenceData!$AZ$113),"")</f>
        <v/>
      </c>
      <c r="BA113" t="str">
        <f ca="1">IFERROR(IF(0=LEN(ReferenceData!$BA$113),"",ReferenceData!$BA$113),"")</f>
        <v/>
      </c>
      <c r="BB113" t="str">
        <f ca="1">IFERROR(IF(0=LEN(ReferenceData!$BB$113),"",ReferenceData!$BB$113),"")</f>
        <v/>
      </c>
      <c r="BC113" t="str">
        <f ca="1">IFERROR(IF(0=LEN(ReferenceData!$BC$113),"",ReferenceData!$BC$113),"")</f>
        <v/>
      </c>
      <c r="BD113" t="str">
        <f ca="1">IFERROR(IF(0=LEN(ReferenceData!$BD$113),"",ReferenceData!$BD$113),"")</f>
        <v/>
      </c>
      <c r="BE113" t="str">
        <f ca="1">IFERROR(IF(0=LEN(ReferenceData!$BE$113),"",ReferenceData!$BE$113),"")</f>
        <v/>
      </c>
      <c r="BF113" t="str">
        <f ca="1">IFERROR(IF(0=LEN(ReferenceData!$BF$113),"",ReferenceData!$BF$113),"")</f>
        <v/>
      </c>
      <c r="BG113" t="str">
        <f ca="1">IFERROR(IF(0=LEN(ReferenceData!$BG$113),"",ReferenceData!$BG$113),"")</f>
        <v/>
      </c>
      <c r="BH113" t="str">
        <f ca="1">IFERROR(IF(0=LEN(ReferenceData!$BH$113),"",ReferenceData!$BH$113),"")</f>
        <v/>
      </c>
      <c r="BI113" t="str">
        <f ca="1">IFERROR(IF(0=LEN(ReferenceData!$BI$113),"",ReferenceData!$BI$113),"")</f>
        <v/>
      </c>
      <c r="BJ113" t="str">
        <f ca="1">IFERROR(IF(0=LEN(ReferenceData!$BJ$113),"",ReferenceData!$BJ$113),"")</f>
        <v/>
      </c>
      <c r="BK113" t="str">
        <f ca="1">IFERROR(IF(0=LEN(ReferenceData!$BK$113),"",ReferenceData!$BK$113),"")</f>
        <v/>
      </c>
      <c r="BL113" t="str">
        <f ca="1">IFERROR(IF(0=LEN(ReferenceData!$BL$113),"",ReferenceData!$BL$113),"")</f>
        <v/>
      </c>
      <c r="BM113" t="str">
        <f ca="1">IFERROR(IF(0=LEN(ReferenceData!$BM$113),"",ReferenceData!$BM$113),"")</f>
        <v/>
      </c>
    </row>
    <row r="114" spans="1:65" x14ac:dyDescent="0.25">
      <c r="A114" t="str">
        <f>IFERROR(IF(0=LEN(ReferenceData!$A$114),"",ReferenceData!$A$114),"")</f>
        <v xml:space="preserve">    Standard Chartered PLC</v>
      </c>
      <c r="B114" t="str">
        <f>IFERROR(IF(0=LEN(ReferenceData!$B$114),"",ReferenceData!$B$114),"")</f>
        <v>STAN LN Equity</v>
      </c>
      <c r="C114" t="str">
        <f>IFERROR(IF(0=LEN(ReferenceData!$C$114),"",ReferenceData!$C$114),"")</f>
        <v>BS017</v>
      </c>
      <c r="D114" t="str">
        <f>IFERROR(IF(0=LEN(ReferenceData!$D$114),"",ReferenceData!$D$114),"")</f>
        <v>BS_CONS_LOAN</v>
      </c>
      <c r="E114" t="str">
        <f>IFERROR(IF(0=LEN(ReferenceData!$E$114),"",ReferenceData!$E$114),"")</f>
        <v>Dynamic</v>
      </c>
      <c r="F114">
        <f ca="1">IFERROR(IF(0=LEN(ReferenceData!$F$114),"",ReferenceData!$F$114),"")</f>
        <v>106678.9062</v>
      </c>
      <c r="G114" t="str">
        <f ca="1">IFERROR(IF(0=LEN(ReferenceData!$G$114),"",ReferenceData!$G$114),"")</f>
        <v/>
      </c>
      <c r="H114">
        <f ca="1">IFERROR(IF(0=LEN(ReferenceData!$H$114),"",ReferenceData!$H$114),"")</f>
        <v>103129.8992</v>
      </c>
      <c r="I114" t="str">
        <f ca="1">IFERROR(IF(0=LEN(ReferenceData!$I$114),"",ReferenceData!$I$114),"")</f>
        <v/>
      </c>
      <c r="J114">
        <f ca="1">IFERROR(IF(0=LEN(ReferenceData!$J$114),"",ReferenceData!$J$114),"")</f>
        <v>103154.37450000001</v>
      </c>
      <c r="K114" t="str">
        <f ca="1">IFERROR(IF(0=LEN(ReferenceData!$K$114),"",ReferenceData!$K$114),"")</f>
        <v/>
      </c>
      <c r="L114">
        <f ca="1">IFERROR(IF(0=LEN(ReferenceData!$L$114),"",ReferenceData!$L$114),"")</f>
        <v>107753.2515</v>
      </c>
      <c r="M114" t="str">
        <f ca="1">IFERROR(IF(0=LEN(ReferenceData!$M$114),"",ReferenceData!$M$114),"")</f>
        <v/>
      </c>
      <c r="N114">
        <f ca="1">IFERROR(IF(0=LEN(ReferenceData!$N$114),"",ReferenceData!$N$114),"")</f>
        <v>112247.2225</v>
      </c>
      <c r="O114" t="str">
        <f ca="1">IFERROR(IF(0=LEN(ReferenceData!$O$114),"",ReferenceData!$O$114),"")</f>
        <v/>
      </c>
      <c r="P114">
        <f ca="1">IFERROR(IF(0=LEN(ReferenceData!$P$114),"",ReferenceData!$P$114),"")</f>
        <v>117179.2426</v>
      </c>
      <c r="Q114" t="str">
        <f ca="1">IFERROR(IF(0=LEN(ReferenceData!$Q$114),"",ReferenceData!$Q$114),"")</f>
        <v/>
      </c>
      <c r="R114">
        <f ca="1">IFERROR(IF(0=LEN(ReferenceData!$R$114),"",ReferenceData!$R$114),"")</f>
        <v>109364.1314</v>
      </c>
      <c r="S114" t="str">
        <f ca="1">IFERROR(IF(0=LEN(ReferenceData!$S$114),"",ReferenceData!$S$114),"")</f>
        <v/>
      </c>
      <c r="T114">
        <f ca="1">IFERROR(IF(0=LEN(ReferenceData!$T$114),"",ReferenceData!$T$114),"")</f>
        <v>103640.81359999999</v>
      </c>
      <c r="U114" t="str">
        <f ca="1">IFERROR(IF(0=LEN(ReferenceData!$U$114),"",ReferenceData!$U$114),"")</f>
        <v/>
      </c>
      <c r="V114">
        <f ca="1">IFERROR(IF(0=LEN(ReferenceData!$V$114),"",ReferenceData!$V$114),"")</f>
        <v>97129.652350000004</v>
      </c>
      <c r="W114" t="str">
        <f ca="1">IFERROR(IF(0=LEN(ReferenceData!$W$114),"",ReferenceData!$W$114),"")</f>
        <v/>
      </c>
      <c r="X114">
        <f ca="1">IFERROR(IF(0=LEN(ReferenceData!$X$114),"",ReferenceData!$X$114),"")</f>
        <v>100690.2072</v>
      </c>
      <c r="Y114" t="str">
        <f ca="1">IFERROR(IF(0=LEN(ReferenceData!$Y$114),"",ReferenceData!$Y$114),"")</f>
        <v/>
      </c>
      <c r="Z114">
        <f ca="1">IFERROR(IF(0=LEN(ReferenceData!$Z$114),"",ReferenceData!$Z$114),"")</f>
        <v>101107.8458</v>
      </c>
      <c r="AA114" t="str">
        <f ca="1">IFERROR(IF(0=LEN(ReferenceData!$AA$114),"",ReferenceData!$AA$114),"")</f>
        <v/>
      </c>
      <c r="AB114">
        <f ca="1">IFERROR(IF(0=LEN(ReferenceData!$AB$114),"",ReferenceData!$AB$114),"")</f>
        <v>96504.974029999998</v>
      </c>
      <c r="AC114" t="str">
        <f ca="1">IFERROR(IF(0=LEN(ReferenceData!$AC$114),"",ReferenceData!$AC$114),"")</f>
        <v/>
      </c>
      <c r="AD114">
        <f ca="1">IFERROR(IF(0=LEN(ReferenceData!$AD$114),"",ReferenceData!$AD$114),"")</f>
        <v>96205.029689999996</v>
      </c>
      <c r="AE114" t="str">
        <f ca="1">IFERROR(IF(0=LEN(ReferenceData!$AE$114),"",ReferenceData!$AE$114),"")</f>
        <v/>
      </c>
      <c r="AF114">
        <f ca="1">IFERROR(IF(0=LEN(ReferenceData!$AF$114),"",ReferenceData!$AF$114),"")</f>
        <v>96738.88841</v>
      </c>
      <c r="AG114" t="str">
        <f ca="1">IFERROR(IF(0=LEN(ReferenceData!$AG$114),"",ReferenceData!$AG$114),"")</f>
        <v/>
      </c>
      <c r="AH114">
        <f ca="1">IFERROR(IF(0=LEN(ReferenceData!$AH$114),"",ReferenceData!$AH$114),"")</f>
        <v>92978.705709999995</v>
      </c>
      <c r="AI114" t="str">
        <f ca="1">IFERROR(IF(0=LEN(ReferenceData!$AI$114),"",ReferenceData!$AI$114),"")</f>
        <v/>
      </c>
      <c r="AJ114">
        <f ca="1">IFERROR(IF(0=LEN(ReferenceData!$AJ$114),"",ReferenceData!$AJ$114),"")</f>
        <v>95684.745469999994</v>
      </c>
      <c r="AK114" t="str">
        <f ca="1">IFERROR(IF(0=LEN(ReferenceData!$AK$114),"",ReferenceData!$AK$114),"")</f>
        <v/>
      </c>
      <c r="AL114">
        <f ca="1">IFERROR(IF(0=LEN(ReferenceData!$AL$114),"",ReferenceData!$AL$114),"")</f>
        <v>100397.2694</v>
      </c>
      <c r="AM114" t="str">
        <f ca="1">IFERROR(IF(0=LEN(ReferenceData!$AM$114),"",ReferenceData!$AM$114),"")</f>
        <v/>
      </c>
      <c r="AN114">
        <f ca="1">IFERROR(IF(0=LEN(ReferenceData!$AN$114),"",ReferenceData!$AN$114),"")</f>
        <v>100512.0564</v>
      </c>
      <c r="AO114" t="str">
        <f ca="1">IFERROR(IF(0=LEN(ReferenceData!$AO$114),"",ReferenceData!$AO$114),"")</f>
        <v/>
      </c>
      <c r="AP114" t="str">
        <f ca="1">IFERROR(IF(0=LEN(ReferenceData!$AP$114),"",ReferenceData!$AP$114),"")</f>
        <v/>
      </c>
      <c r="AQ114" t="str">
        <f ca="1">IFERROR(IF(0=LEN(ReferenceData!$AQ$114),"",ReferenceData!$AQ$114),"")</f>
        <v/>
      </c>
      <c r="AR114" t="str">
        <f ca="1">IFERROR(IF(0=LEN(ReferenceData!$AR$114),"",ReferenceData!$AR$114),"")</f>
        <v/>
      </c>
      <c r="AS114" t="str">
        <f ca="1">IFERROR(IF(0=LEN(ReferenceData!$AS$114),"",ReferenceData!$AS$114),"")</f>
        <v/>
      </c>
      <c r="AT114" t="str">
        <f ca="1">IFERROR(IF(0=LEN(ReferenceData!$AT$114),"",ReferenceData!$AT$114),"")</f>
        <v/>
      </c>
      <c r="AU114" t="str">
        <f ca="1">IFERROR(IF(0=LEN(ReferenceData!$AU$114),"",ReferenceData!$AU$114),"")</f>
        <v/>
      </c>
      <c r="AV114" t="str">
        <f ca="1">IFERROR(IF(0=LEN(ReferenceData!$AV$114),"",ReferenceData!$AV$114),"")</f>
        <v/>
      </c>
      <c r="AW114" t="str">
        <f ca="1">IFERROR(IF(0=LEN(ReferenceData!$AW$114),"",ReferenceData!$AW$114),"")</f>
        <v/>
      </c>
      <c r="AX114" t="str">
        <f ca="1">IFERROR(IF(0=LEN(ReferenceData!$AX$114),"",ReferenceData!$AX$114),"")</f>
        <v/>
      </c>
      <c r="AY114" t="str">
        <f ca="1">IFERROR(IF(0=LEN(ReferenceData!$AY$114),"",ReferenceData!$AY$114),"")</f>
        <v/>
      </c>
      <c r="AZ114" t="str">
        <f ca="1">IFERROR(IF(0=LEN(ReferenceData!$AZ$114),"",ReferenceData!$AZ$114),"")</f>
        <v/>
      </c>
      <c r="BA114" t="str">
        <f ca="1">IFERROR(IF(0=LEN(ReferenceData!$BA$114),"",ReferenceData!$BA$114),"")</f>
        <v/>
      </c>
      <c r="BB114" t="str">
        <f ca="1">IFERROR(IF(0=LEN(ReferenceData!$BB$114),"",ReferenceData!$BB$114),"")</f>
        <v/>
      </c>
      <c r="BC114" t="str">
        <f ca="1">IFERROR(IF(0=LEN(ReferenceData!$BC$114),"",ReferenceData!$BC$114),"")</f>
        <v/>
      </c>
      <c r="BD114" t="str">
        <f ca="1">IFERROR(IF(0=LEN(ReferenceData!$BD$114),"",ReferenceData!$BD$114),"")</f>
        <v/>
      </c>
      <c r="BE114" t="str">
        <f ca="1">IFERROR(IF(0=LEN(ReferenceData!$BE$114),"",ReferenceData!$BE$114),"")</f>
        <v/>
      </c>
      <c r="BF114" t="str">
        <f ca="1">IFERROR(IF(0=LEN(ReferenceData!$BF$114),"",ReferenceData!$BF$114),"")</f>
        <v/>
      </c>
      <c r="BG114" t="str">
        <f ca="1">IFERROR(IF(0=LEN(ReferenceData!$BG$114),"",ReferenceData!$BG$114),"")</f>
        <v/>
      </c>
      <c r="BH114" t="str">
        <f ca="1">IFERROR(IF(0=LEN(ReferenceData!$BH$114),"",ReferenceData!$BH$114),"")</f>
        <v/>
      </c>
      <c r="BI114" t="str">
        <f ca="1">IFERROR(IF(0=LEN(ReferenceData!$BI$114),"",ReferenceData!$BI$114),"")</f>
        <v/>
      </c>
      <c r="BJ114" t="str">
        <f ca="1">IFERROR(IF(0=LEN(ReferenceData!$BJ$114),"",ReferenceData!$BJ$114),"")</f>
        <v/>
      </c>
      <c r="BK114" t="str">
        <f ca="1">IFERROR(IF(0=LEN(ReferenceData!$BK$114),"",ReferenceData!$BK$114),"")</f>
        <v/>
      </c>
      <c r="BL114" t="str">
        <f ca="1">IFERROR(IF(0=LEN(ReferenceData!$BL$114),"",ReferenceData!$BL$114),"")</f>
        <v/>
      </c>
      <c r="BM114" t="str">
        <f ca="1">IFERROR(IF(0=LEN(ReferenceData!$BM$114),"",ReferenceData!$BM$114),"")</f>
        <v/>
      </c>
    </row>
    <row r="115" spans="1:65" x14ac:dyDescent="0.25">
      <c r="A115" t="str">
        <f>IFERROR(IF(0=LEN(ReferenceData!$A$115),"",ReferenceData!$A$115),"")</f>
        <v xml:space="preserve">    UBS Group AG</v>
      </c>
      <c r="B115" t="str">
        <f>IFERROR(IF(0=LEN(ReferenceData!$B$115),"",ReferenceData!$B$115),"")</f>
        <v>UBSG SW Equity</v>
      </c>
      <c r="C115" t="str">
        <f>IFERROR(IF(0=LEN(ReferenceData!$C$115),"",ReferenceData!$C$115),"")</f>
        <v>BS017</v>
      </c>
      <c r="D115" t="str">
        <f>IFERROR(IF(0=LEN(ReferenceData!$D$115),"",ReferenceData!$D$115),"")</f>
        <v>BS_CONS_LOAN</v>
      </c>
      <c r="E115" t="str">
        <f>IFERROR(IF(0=LEN(ReferenceData!$E$115),"",ReferenceData!$E$115),"")</f>
        <v>Dynamic</v>
      </c>
      <c r="F115">
        <f ca="1">IFERROR(IF(0=LEN(ReferenceData!$F$115),"",ReferenceData!$F$115),"")</f>
        <v>323061.16529999999</v>
      </c>
      <c r="G115">
        <f ca="1">IFERROR(IF(0=LEN(ReferenceData!$G$115),"",ReferenceData!$G$115),"")</f>
        <v>321243.27230000001</v>
      </c>
      <c r="H115">
        <f ca="1">IFERROR(IF(0=LEN(ReferenceData!$H$115),"",ReferenceData!$H$115),"")</f>
        <v>318687.01010000001</v>
      </c>
      <c r="I115">
        <f ca="1">IFERROR(IF(0=LEN(ReferenceData!$I$115),"",ReferenceData!$I$115),"")</f>
        <v>318797.84970000002</v>
      </c>
      <c r="J115">
        <f ca="1">IFERROR(IF(0=LEN(ReferenceData!$J$115),"",ReferenceData!$J$115),"")</f>
        <v>333038.68400000001</v>
      </c>
      <c r="K115">
        <f ca="1">IFERROR(IF(0=LEN(ReferenceData!$K$115),"",ReferenceData!$K$115),"")</f>
        <v>322861.59950000001</v>
      </c>
      <c r="L115">
        <f ca="1">IFERROR(IF(0=LEN(ReferenceData!$L$115),"",ReferenceData!$L$115),"")</f>
        <v>320709.837</v>
      </c>
      <c r="M115">
        <f ca="1">IFERROR(IF(0=LEN(ReferenceData!$M$115),"",ReferenceData!$M$115),"")</f>
        <v>193129.0827</v>
      </c>
      <c r="N115">
        <f ca="1">IFERROR(IF(0=LEN(ReferenceData!$N$115),"",ReferenceData!$N$115),"")</f>
        <v>191610.4939</v>
      </c>
      <c r="O115">
        <f ca="1">IFERROR(IF(0=LEN(ReferenceData!$O$115),"",ReferenceData!$O$115),"")</f>
        <v>196865.1685</v>
      </c>
      <c r="P115">
        <f ca="1">IFERROR(IF(0=LEN(ReferenceData!$P$115),"",ReferenceData!$P$115),"")</f>
        <v>186907.3738</v>
      </c>
      <c r="Q115">
        <f ca="1">IFERROR(IF(0=LEN(ReferenceData!$Q$115),"",ReferenceData!$Q$115),"")</f>
        <v>179817.7224</v>
      </c>
      <c r="R115">
        <f ca="1">IFERROR(IF(0=LEN(ReferenceData!$R$115),"",ReferenceData!$R$115),"")</f>
        <v>134817.31950000001</v>
      </c>
      <c r="S115">
        <f ca="1">IFERROR(IF(0=LEN(ReferenceData!$S$115),"",ReferenceData!$S$115),"")</f>
        <v>129936.04700000001</v>
      </c>
      <c r="T115">
        <f ca="1">IFERROR(IF(0=LEN(ReferenceData!$T$115),"",ReferenceData!$T$115),"")</f>
        <v>126118.65979999999</v>
      </c>
      <c r="U115">
        <f ca="1">IFERROR(IF(0=LEN(ReferenceData!$U$115),"",ReferenceData!$U$115),"")</f>
        <v>122555.7447</v>
      </c>
      <c r="V115">
        <f ca="1">IFERROR(IF(0=LEN(ReferenceData!$V$115),"",ReferenceData!$V$115),"")</f>
        <v>122480.9816</v>
      </c>
      <c r="W115">
        <f ca="1">IFERROR(IF(0=LEN(ReferenceData!$W$115),"",ReferenceData!$W$115),"")</f>
        <v>122586.58930000001</v>
      </c>
      <c r="X115">
        <f ca="1">IFERROR(IF(0=LEN(ReferenceData!$X$115),"",ReferenceData!$X$115),"")</f>
        <v>123596.0153</v>
      </c>
      <c r="Y115">
        <f ca="1">IFERROR(IF(0=LEN(ReferenceData!$Y$115),"",ReferenceData!$Y$115),"")</f>
        <v>124032.4492</v>
      </c>
      <c r="Z115">
        <f ca="1">IFERROR(IF(0=LEN(ReferenceData!$Z$115),"",ReferenceData!$Z$115),"")</f>
        <v>119607.2669</v>
      </c>
      <c r="AA115" t="str">
        <f ca="1">IFERROR(IF(0=LEN(ReferenceData!$AA$115),"",ReferenceData!$AA$115),"")</f>
        <v/>
      </c>
      <c r="AB115" t="str">
        <f ca="1">IFERROR(IF(0=LEN(ReferenceData!$AB$115),"",ReferenceData!$AB$115),"")</f>
        <v/>
      </c>
      <c r="AC115" t="str">
        <f ca="1">IFERROR(IF(0=LEN(ReferenceData!$AC$115),"",ReferenceData!$AC$115),"")</f>
        <v/>
      </c>
      <c r="AD115">
        <f ca="1">IFERROR(IF(0=LEN(ReferenceData!$AD$115),"",ReferenceData!$AD$115),"")</f>
        <v>111652.11320000001</v>
      </c>
      <c r="AE115">
        <f ca="1">IFERROR(IF(0=LEN(ReferenceData!$AE$115),"",ReferenceData!$AE$115),"")</f>
        <v>107624.4188</v>
      </c>
      <c r="AF115" t="str">
        <f ca="1">IFERROR(IF(0=LEN(ReferenceData!$AF$115),"",ReferenceData!$AF$115),"")</f>
        <v/>
      </c>
      <c r="AG115" t="str">
        <f ca="1">IFERROR(IF(0=LEN(ReferenceData!$AG$115),"",ReferenceData!$AG$115),"")</f>
        <v/>
      </c>
      <c r="AH115">
        <f ca="1">IFERROR(IF(0=LEN(ReferenceData!$AH$115),"",ReferenceData!$AH$115),"")</f>
        <v>120138.912</v>
      </c>
      <c r="AI115" t="str">
        <f ca="1">IFERROR(IF(0=LEN(ReferenceData!$AI$115),"",ReferenceData!$AI$115),"")</f>
        <v/>
      </c>
      <c r="AJ115" t="str">
        <f ca="1">IFERROR(IF(0=LEN(ReferenceData!$AJ$115),"",ReferenceData!$AJ$115),"")</f>
        <v/>
      </c>
      <c r="AK115" t="str">
        <f ca="1">IFERROR(IF(0=LEN(ReferenceData!$AK$115),"",ReferenceData!$AK$115),"")</f>
        <v/>
      </c>
      <c r="AL115">
        <f ca="1">IFERROR(IF(0=LEN(ReferenceData!$AL$115),"",ReferenceData!$AL$115),"")</f>
        <v>132542.49340000001</v>
      </c>
      <c r="AM115" t="str">
        <f ca="1">IFERROR(IF(0=LEN(ReferenceData!$AM$115),"",ReferenceData!$AM$115),"")</f>
        <v/>
      </c>
      <c r="AN115" t="str">
        <f ca="1">IFERROR(IF(0=LEN(ReferenceData!$AN$115),"",ReferenceData!$AN$115),"")</f>
        <v/>
      </c>
      <c r="AO115" t="str">
        <f ca="1">IFERROR(IF(0=LEN(ReferenceData!$AO$115),"",ReferenceData!$AO$115),"")</f>
        <v/>
      </c>
      <c r="AP115">
        <f ca="1">IFERROR(IF(0=LEN(ReferenceData!$AP$115),"",ReferenceData!$AP$115),"")</f>
        <v>130361.21400000001</v>
      </c>
      <c r="AQ115" t="str">
        <f ca="1">IFERROR(IF(0=LEN(ReferenceData!$AQ$115),"",ReferenceData!$AQ$115),"")</f>
        <v/>
      </c>
      <c r="AR115" t="str">
        <f ca="1">IFERROR(IF(0=LEN(ReferenceData!$AR$115),"",ReferenceData!$AR$115),"")</f>
        <v/>
      </c>
      <c r="AS115" t="str">
        <f ca="1">IFERROR(IF(0=LEN(ReferenceData!$AS$115),"",ReferenceData!$AS$115),"")</f>
        <v/>
      </c>
      <c r="AT115">
        <f ca="1">IFERROR(IF(0=LEN(ReferenceData!$AT$115),"",ReferenceData!$AT$115),"")</f>
        <v>118391.6103</v>
      </c>
      <c r="AU115" t="str">
        <f ca="1">IFERROR(IF(0=LEN(ReferenceData!$AU$115),"",ReferenceData!$AU$115),"")</f>
        <v/>
      </c>
      <c r="AV115" t="str">
        <f ca="1">IFERROR(IF(0=LEN(ReferenceData!$AV$115),"",ReferenceData!$AV$115),"")</f>
        <v/>
      </c>
      <c r="AW115" t="str">
        <f ca="1">IFERROR(IF(0=LEN(ReferenceData!$AW$115),"",ReferenceData!$AW$115),"")</f>
        <v/>
      </c>
      <c r="AX115">
        <f ca="1">IFERROR(IF(0=LEN(ReferenceData!$AX$115),"",ReferenceData!$AX$115),"")</f>
        <v>112112.18520000001</v>
      </c>
      <c r="AY115" t="str">
        <f ca="1">IFERROR(IF(0=LEN(ReferenceData!$AY$115),"",ReferenceData!$AY$115),"")</f>
        <v/>
      </c>
      <c r="AZ115" t="str">
        <f ca="1">IFERROR(IF(0=LEN(ReferenceData!$AZ$115),"",ReferenceData!$AZ$115),"")</f>
        <v/>
      </c>
      <c r="BA115" t="str">
        <f ca="1">IFERROR(IF(0=LEN(ReferenceData!$BA$115),"",ReferenceData!$BA$115),"")</f>
        <v/>
      </c>
      <c r="BB115">
        <f ca="1">IFERROR(IF(0=LEN(ReferenceData!$BB$115),"",ReferenceData!$BB$115),"")</f>
        <v>109389.6109</v>
      </c>
      <c r="BC115" t="str">
        <f ca="1">IFERROR(IF(0=LEN(ReferenceData!$BC$115),"",ReferenceData!$BC$115),"")</f>
        <v/>
      </c>
      <c r="BD115" t="str">
        <f ca="1">IFERROR(IF(0=LEN(ReferenceData!$BD$115),"",ReferenceData!$BD$115),"")</f>
        <v/>
      </c>
      <c r="BE115" t="str">
        <f ca="1">IFERROR(IF(0=LEN(ReferenceData!$BE$115),"",ReferenceData!$BE$115),"")</f>
        <v/>
      </c>
      <c r="BF115">
        <f ca="1">IFERROR(IF(0=LEN(ReferenceData!$BF$115),"",ReferenceData!$BF$115),"")</f>
        <v>103386.1842</v>
      </c>
      <c r="BG115" t="str">
        <f ca="1">IFERROR(IF(0=LEN(ReferenceData!$BG$115),"",ReferenceData!$BG$115),"")</f>
        <v/>
      </c>
      <c r="BH115" t="str">
        <f ca="1">IFERROR(IF(0=LEN(ReferenceData!$BH$115),"",ReferenceData!$BH$115),"")</f>
        <v/>
      </c>
      <c r="BI115" t="str">
        <f ca="1">IFERROR(IF(0=LEN(ReferenceData!$BI$115),"",ReferenceData!$BI$115),"")</f>
        <v/>
      </c>
      <c r="BJ115">
        <f ca="1">IFERROR(IF(0=LEN(ReferenceData!$BJ$115),"",ReferenceData!$BJ$115),"")</f>
        <v>98136.533049999998</v>
      </c>
      <c r="BK115" t="str">
        <f ca="1">IFERROR(IF(0=LEN(ReferenceData!$BK$115),"",ReferenceData!$BK$115),"")</f>
        <v/>
      </c>
      <c r="BL115" t="str">
        <f ca="1">IFERROR(IF(0=LEN(ReferenceData!$BL$115),"",ReferenceData!$BL$115),"")</f>
        <v/>
      </c>
      <c r="BM115" t="str">
        <f ca="1">IFERROR(IF(0=LEN(ReferenceData!$BM$115),"",ReferenceData!$BM$115),"")</f>
        <v/>
      </c>
    </row>
    <row r="116" spans="1:65" x14ac:dyDescent="0.25">
      <c r="A116" t="str">
        <f>IFERROR(IF(0=LEN(ReferenceData!$A$116),"",ReferenceData!$A$116),"")</f>
        <v xml:space="preserve">    UniCredit SpA</v>
      </c>
      <c r="B116" t="str">
        <f>IFERROR(IF(0=LEN(ReferenceData!$B$116),"",ReferenceData!$B$116),"")</f>
        <v>UCG IM Equity</v>
      </c>
      <c r="C116" t="str">
        <f>IFERROR(IF(0=LEN(ReferenceData!$C$116),"",ReferenceData!$C$116),"")</f>
        <v>BS017</v>
      </c>
      <c r="D116" t="str">
        <f>IFERROR(IF(0=LEN(ReferenceData!$D$116),"",ReferenceData!$D$116),"")</f>
        <v>BS_CONS_LOAN</v>
      </c>
      <c r="E116" t="str">
        <f>IFERROR(IF(0=LEN(ReferenceData!$E$116),"",ReferenceData!$E$116),"")</f>
        <v>Dynamic</v>
      </c>
      <c r="F116">
        <f ca="1">IFERROR(IF(0=LEN(ReferenceData!$F$116),"",ReferenceData!$F$116),"")</f>
        <v>222109</v>
      </c>
      <c r="G116" t="str">
        <f ca="1">IFERROR(IF(0=LEN(ReferenceData!$G$116),"",ReferenceData!$G$116),"")</f>
        <v/>
      </c>
      <c r="H116">
        <f ca="1">IFERROR(IF(0=LEN(ReferenceData!$H$116),"",ReferenceData!$H$116),"")</f>
        <v>224684</v>
      </c>
      <c r="I116" t="str">
        <f ca="1">IFERROR(IF(0=LEN(ReferenceData!$I$116),"",ReferenceData!$I$116),"")</f>
        <v/>
      </c>
      <c r="J116">
        <f ca="1">IFERROR(IF(0=LEN(ReferenceData!$J$116),"",ReferenceData!$J$116),"")</f>
        <v>224833</v>
      </c>
      <c r="K116" t="str">
        <f ca="1">IFERROR(IF(0=LEN(ReferenceData!$K$116),"",ReferenceData!$K$116),"")</f>
        <v/>
      </c>
      <c r="L116">
        <f ca="1">IFERROR(IF(0=LEN(ReferenceData!$L$116),"",ReferenceData!$L$116),"")</f>
        <v>232421</v>
      </c>
      <c r="M116" t="str">
        <f ca="1">IFERROR(IF(0=LEN(ReferenceData!$M$116),"",ReferenceData!$M$116),"")</f>
        <v/>
      </c>
      <c r="N116">
        <f ca="1">IFERROR(IF(0=LEN(ReferenceData!$N$116),"",ReferenceData!$N$116),"")</f>
        <v>232431</v>
      </c>
      <c r="O116" t="str">
        <f ca="1">IFERROR(IF(0=LEN(ReferenceData!$O$116),"",ReferenceData!$O$116),"")</f>
        <v/>
      </c>
      <c r="P116">
        <f ca="1">IFERROR(IF(0=LEN(ReferenceData!$P$116),"",ReferenceData!$P$116),"")</f>
        <v>235904</v>
      </c>
      <c r="Q116" t="str">
        <f ca="1">IFERROR(IF(0=LEN(ReferenceData!$Q$116),"",ReferenceData!$Q$116),"")</f>
        <v/>
      </c>
      <c r="R116">
        <f ca="1">IFERROR(IF(0=LEN(ReferenceData!$R$116),"",ReferenceData!$R$116),"")</f>
        <v>227542</v>
      </c>
      <c r="S116" t="str">
        <f ca="1">IFERROR(IF(0=LEN(ReferenceData!$S$116),"",ReferenceData!$S$116),"")</f>
        <v/>
      </c>
      <c r="T116">
        <f ca="1">IFERROR(IF(0=LEN(ReferenceData!$T$116),"",ReferenceData!$T$116),"")</f>
        <v>224565</v>
      </c>
      <c r="U116" t="str">
        <f ca="1">IFERROR(IF(0=LEN(ReferenceData!$U$116),"",ReferenceData!$U$116),"")</f>
        <v/>
      </c>
      <c r="V116">
        <f ca="1">IFERROR(IF(0=LEN(ReferenceData!$V$116),"",ReferenceData!$V$116),"")</f>
        <v>220365</v>
      </c>
      <c r="W116" t="str">
        <f ca="1">IFERROR(IF(0=LEN(ReferenceData!$W$116),"",ReferenceData!$W$116),"")</f>
        <v/>
      </c>
      <c r="X116">
        <f ca="1">IFERROR(IF(0=LEN(ReferenceData!$X$116),"",ReferenceData!$X$116),"")</f>
        <v>220409</v>
      </c>
      <c r="Y116" t="str">
        <f ca="1">IFERROR(IF(0=LEN(ReferenceData!$Y$116),"",ReferenceData!$Y$116),"")</f>
        <v/>
      </c>
      <c r="Z116">
        <f ca="1">IFERROR(IF(0=LEN(ReferenceData!$Z$116),"",ReferenceData!$Z$116),"")</f>
        <v>220164</v>
      </c>
      <c r="AA116" t="str">
        <f ca="1">IFERROR(IF(0=LEN(ReferenceData!$AA$116),"",ReferenceData!$AA$116),"")</f>
        <v/>
      </c>
      <c r="AB116">
        <f ca="1">IFERROR(IF(0=LEN(ReferenceData!$AB$116),"",ReferenceData!$AB$116),"")</f>
        <v>220471</v>
      </c>
      <c r="AC116" t="str">
        <f ca="1">IFERROR(IF(0=LEN(ReferenceData!$AC$116),"",ReferenceData!$AC$116),"")</f>
        <v/>
      </c>
      <c r="AD116">
        <f ca="1">IFERROR(IF(0=LEN(ReferenceData!$AD$116),"",ReferenceData!$AD$116),"")</f>
        <v>220297</v>
      </c>
      <c r="AE116" t="str">
        <f ca="1">IFERROR(IF(0=LEN(ReferenceData!$AE$116),"",ReferenceData!$AE$116),"")</f>
        <v/>
      </c>
      <c r="AF116">
        <f ca="1">IFERROR(IF(0=LEN(ReferenceData!$AF$116),"",ReferenceData!$AF$116),"")</f>
        <v>215671.984</v>
      </c>
      <c r="AG116" t="str">
        <f ca="1">IFERROR(IF(0=LEN(ReferenceData!$AG$116),"",ReferenceData!$AG$116),"")</f>
        <v/>
      </c>
      <c r="AH116" t="str">
        <f ca="1">IFERROR(IF(0=LEN(ReferenceData!$AH$116),"",ReferenceData!$AH$116),"")</f>
        <v/>
      </c>
      <c r="AI116" t="str">
        <f ca="1">IFERROR(IF(0=LEN(ReferenceData!$AI$116),"",ReferenceData!$AI$116),"")</f>
        <v/>
      </c>
      <c r="AJ116" t="str">
        <f ca="1">IFERROR(IF(0=LEN(ReferenceData!$AJ$116),"",ReferenceData!$AJ$116),"")</f>
        <v/>
      </c>
      <c r="AK116" t="str">
        <f ca="1">IFERROR(IF(0=LEN(ReferenceData!$AK$116),"",ReferenceData!$AK$116),"")</f>
        <v/>
      </c>
      <c r="AL116" t="str">
        <f ca="1">IFERROR(IF(0=LEN(ReferenceData!$AL$116),"",ReferenceData!$AL$116),"")</f>
        <v/>
      </c>
      <c r="AM116" t="str">
        <f ca="1">IFERROR(IF(0=LEN(ReferenceData!$AM$116),"",ReferenceData!$AM$116),"")</f>
        <v/>
      </c>
      <c r="AN116" t="str">
        <f ca="1">IFERROR(IF(0=LEN(ReferenceData!$AN$116),"",ReferenceData!$AN$116),"")</f>
        <v/>
      </c>
      <c r="AO116" t="str">
        <f ca="1">IFERROR(IF(0=LEN(ReferenceData!$AO$116),"",ReferenceData!$AO$116),"")</f>
        <v/>
      </c>
      <c r="AP116" t="str">
        <f ca="1">IFERROR(IF(0=LEN(ReferenceData!$AP$116),"",ReferenceData!$AP$116),"")</f>
        <v/>
      </c>
      <c r="AQ116" t="str">
        <f ca="1">IFERROR(IF(0=LEN(ReferenceData!$AQ$116),"",ReferenceData!$AQ$116),"")</f>
        <v/>
      </c>
      <c r="AR116" t="str">
        <f ca="1">IFERROR(IF(0=LEN(ReferenceData!$AR$116),"",ReferenceData!$AR$116),"")</f>
        <v/>
      </c>
      <c r="AS116" t="str">
        <f ca="1">IFERROR(IF(0=LEN(ReferenceData!$AS$116),"",ReferenceData!$AS$116),"")</f>
        <v/>
      </c>
      <c r="AT116" t="str">
        <f ca="1">IFERROR(IF(0=LEN(ReferenceData!$AT$116),"",ReferenceData!$AT$116),"")</f>
        <v/>
      </c>
      <c r="AU116" t="str">
        <f ca="1">IFERROR(IF(0=LEN(ReferenceData!$AU$116),"",ReferenceData!$AU$116),"")</f>
        <v/>
      </c>
      <c r="AV116" t="str">
        <f ca="1">IFERROR(IF(0=LEN(ReferenceData!$AV$116),"",ReferenceData!$AV$116),"")</f>
        <v/>
      </c>
      <c r="AW116" t="str">
        <f ca="1">IFERROR(IF(0=LEN(ReferenceData!$AW$116),"",ReferenceData!$AW$116),"")</f>
        <v/>
      </c>
      <c r="AX116" t="str">
        <f ca="1">IFERROR(IF(0=LEN(ReferenceData!$AX$116),"",ReferenceData!$AX$116),"")</f>
        <v/>
      </c>
      <c r="AY116" t="str">
        <f ca="1">IFERROR(IF(0=LEN(ReferenceData!$AY$116),"",ReferenceData!$AY$116),"")</f>
        <v/>
      </c>
      <c r="AZ116" t="str">
        <f ca="1">IFERROR(IF(0=LEN(ReferenceData!$AZ$116),"",ReferenceData!$AZ$116),"")</f>
        <v/>
      </c>
      <c r="BA116" t="str">
        <f ca="1">IFERROR(IF(0=LEN(ReferenceData!$BA$116),"",ReferenceData!$BA$116),"")</f>
        <v/>
      </c>
      <c r="BB116" t="str">
        <f ca="1">IFERROR(IF(0=LEN(ReferenceData!$BB$116),"",ReferenceData!$BB$116),"")</f>
        <v/>
      </c>
      <c r="BC116" t="str">
        <f ca="1">IFERROR(IF(0=LEN(ReferenceData!$BC$116),"",ReferenceData!$BC$116),"")</f>
        <v/>
      </c>
      <c r="BD116" t="str">
        <f ca="1">IFERROR(IF(0=LEN(ReferenceData!$BD$116),"",ReferenceData!$BD$116),"")</f>
        <v/>
      </c>
      <c r="BE116" t="str">
        <f ca="1">IFERROR(IF(0=LEN(ReferenceData!$BE$116),"",ReferenceData!$BE$116),"")</f>
        <v/>
      </c>
      <c r="BF116" t="str">
        <f ca="1">IFERROR(IF(0=LEN(ReferenceData!$BF$116),"",ReferenceData!$BF$116),"")</f>
        <v/>
      </c>
      <c r="BG116" t="str">
        <f ca="1">IFERROR(IF(0=LEN(ReferenceData!$BG$116),"",ReferenceData!$BG$116),"")</f>
        <v/>
      </c>
      <c r="BH116" t="str">
        <f ca="1">IFERROR(IF(0=LEN(ReferenceData!$BH$116),"",ReferenceData!$BH$116),"")</f>
        <v/>
      </c>
      <c r="BI116" t="str">
        <f ca="1">IFERROR(IF(0=LEN(ReferenceData!$BI$116),"",ReferenceData!$BI$116),"")</f>
        <v/>
      </c>
      <c r="BJ116" t="str">
        <f ca="1">IFERROR(IF(0=LEN(ReferenceData!$BJ$116),"",ReferenceData!$BJ$116),"")</f>
        <v/>
      </c>
      <c r="BK116" t="str">
        <f ca="1">IFERROR(IF(0=LEN(ReferenceData!$BK$116),"",ReferenceData!$BK$116),"")</f>
        <v/>
      </c>
      <c r="BL116" t="str">
        <f ca="1">IFERROR(IF(0=LEN(ReferenceData!$BL$116),"",ReferenceData!$BL$116),"")</f>
        <v/>
      </c>
      <c r="BM116" t="str">
        <f ca="1">IFERROR(IF(0=LEN(ReferenceData!$BM$116),"",ReferenceData!$BM$116),"")</f>
        <v/>
      </c>
    </row>
    <row r="117" spans="1:65" x14ac:dyDescent="0.25">
      <c r="A117" t="str">
        <f>IFERROR(IF(0=LEN(ReferenceData!$A$117),"",ReferenceData!$A$117),"")</f>
        <v>-- Commercial Loans</v>
      </c>
      <c r="B117" t="str">
        <f>IFERROR(IF(0=LEN(ReferenceData!$B$117),"",ReferenceData!$B$117),"")</f>
        <v/>
      </c>
      <c r="C117" t="str">
        <f>IFERROR(IF(0=LEN(ReferenceData!$C$117),"",ReferenceData!$C$117),"")</f>
        <v/>
      </c>
      <c r="D117" t="str">
        <f>IFERROR(IF(0=LEN(ReferenceData!$D$117),"",ReferenceData!$D$117),"")</f>
        <v/>
      </c>
      <c r="E117" t="str">
        <f>IFERROR(IF(0=LEN(ReferenceData!$E$117),"",ReferenceData!$E$117),"")</f>
        <v>Sum</v>
      </c>
      <c r="F117">
        <f ca="1">IFERROR(IF(0=LEN(ReferenceData!$F$117),"",ReferenceData!$F$117),"")</f>
        <v>2128197.8813199997</v>
      </c>
      <c r="G117">
        <f ca="1">IFERROR(IF(0=LEN(ReferenceData!$G$117),"",ReferenceData!$G$117),"")</f>
        <v>1387854.05904</v>
      </c>
      <c r="H117">
        <f ca="1">IFERROR(IF(0=LEN(ReferenceData!$H$117),"",ReferenceData!$H$117),"")</f>
        <v>2240600.06917</v>
      </c>
      <c r="I117">
        <f ca="1">IFERROR(IF(0=LEN(ReferenceData!$I$117),"",ReferenceData!$I$117),"")</f>
        <v>1328039.6100699999</v>
      </c>
      <c r="J117">
        <f ca="1">IFERROR(IF(0=LEN(ReferenceData!$J$117),"",ReferenceData!$J$117),"")</f>
        <v>2224986.9406099999</v>
      </c>
      <c r="K117">
        <f ca="1">IFERROR(IF(0=LEN(ReferenceData!$K$117),"",ReferenceData!$K$117),"")</f>
        <v>1388730.1836699999</v>
      </c>
      <c r="L117">
        <f ca="1">IFERROR(IF(0=LEN(ReferenceData!$L$117),"",ReferenceData!$L$117),"")</f>
        <v>2059898.0449300001</v>
      </c>
      <c r="M117">
        <f ca="1">IFERROR(IF(0=LEN(ReferenceData!$M$117),"",ReferenceData!$M$117),"")</f>
        <v>1367700.4150400001</v>
      </c>
      <c r="N117">
        <f ca="1">IFERROR(IF(0=LEN(ReferenceData!$N$117),"",ReferenceData!$N$117),"")</f>
        <v>2459838.5158299999</v>
      </c>
      <c r="O117">
        <f ca="1">IFERROR(IF(0=LEN(ReferenceData!$O$117),"",ReferenceData!$O$117),"")</f>
        <v>1330434.5591500001</v>
      </c>
      <c r="P117">
        <f ca="1">IFERROR(IF(0=LEN(ReferenceData!$P$117),"",ReferenceData!$P$117),"")</f>
        <v>2215933.15649</v>
      </c>
      <c r="Q117">
        <f ca="1">IFERROR(IF(0=LEN(ReferenceData!$Q$117),"",ReferenceData!$Q$117),"")</f>
        <v>933613.27653000003</v>
      </c>
      <c r="R117">
        <f ca="1">IFERROR(IF(0=LEN(ReferenceData!$R$117),"",ReferenceData!$R$117),"")</f>
        <v>2375630.1946399999</v>
      </c>
      <c r="S117">
        <f ca="1">IFERROR(IF(0=LEN(ReferenceData!$S$117),"",ReferenceData!$S$117),"")</f>
        <v>1614642.91438</v>
      </c>
      <c r="T117">
        <f ca="1">IFERROR(IF(0=LEN(ReferenceData!$T$117),"",ReferenceData!$T$117),"")</f>
        <v>2012635.1628000003</v>
      </c>
      <c r="U117">
        <f ca="1">IFERROR(IF(0=LEN(ReferenceData!$U$117),"",ReferenceData!$U$117),"")</f>
        <v>1434400.8976999999</v>
      </c>
      <c r="V117">
        <f ca="1">IFERROR(IF(0=LEN(ReferenceData!$V$117),"",ReferenceData!$V$117),"")</f>
        <v>2212599.9868499995</v>
      </c>
      <c r="W117">
        <f ca="1">IFERROR(IF(0=LEN(ReferenceData!$W$117),"",ReferenceData!$W$117),"")</f>
        <v>1702427.4498500002</v>
      </c>
      <c r="X117">
        <f ca="1">IFERROR(IF(0=LEN(ReferenceData!$X$117),"",ReferenceData!$X$117),"")</f>
        <v>2068552.5394299999</v>
      </c>
      <c r="Y117">
        <f ca="1">IFERROR(IF(0=LEN(ReferenceData!$Y$117),"",ReferenceData!$Y$117),"")</f>
        <v>1662757.8847700001</v>
      </c>
      <c r="Z117">
        <f ca="1">IFERROR(IF(0=LEN(ReferenceData!$Z$117),"",ReferenceData!$Z$117),"")</f>
        <v>2231191.1225399999</v>
      </c>
      <c r="AA117">
        <f ca="1">IFERROR(IF(0=LEN(ReferenceData!$AA$117),"",ReferenceData!$AA$117),"")</f>
        <v>1754413.8587900002</v>
      </c>
      <c r="AB117">
        <f ca="1">IFERROR(IF(0=LEN(ReferenceData!$AB$117),"",ReferenceData!$AB$117),"")</f>
        <v>2003858.1659799998</v>
      </c>
      <c r="AC117">
        <f ca="1">IFERROR(IF(0=LEN(ReferenceData!$AC$117),"",ReferenceData!$AC$117),"")</f>
        <v>1542721.1634300002</v>
      </c>
      <c r="AD117">
        <f ca="1">IFERROR(IF(0=LEN(ReferenceData!$AD$117),"",ReferenceData!$AD$117),"")</f>
        <v>2233650.8851900003</v>
      </c>
      <c r="AE117">
        <f ca="1">IFERROR(IF(0=LEN(ReferenceData!$AE$117),"",ReferenceData!$AE$117),"")</f>
        <v>1670944.8781900001</v>
      </c>
      <c r="AF117">
        <f ca="1">IFERROR(IF(0=LEN(ReferenceData!$AF$117),"",ReferenceData!$AF$117),"")</f>
        <v>1956550.2757900001</v>
      </c>
      <c r="AG117">
        <f ca="1">IFERROR(IF(0=LEN(ReferenceData!$AG$117),"",ReferenceData!$AG$117),"")</f>
        <v>1431565.8244699999</v>
      </c>
      <c r="AH117">
        <f ca="1">IFERROR(IF(0=LEN(ReferenceData!$AH$117),"",ReferenceData!$AH$117),"")</f>
        <v>2190657.4012799999</v>
      </c>
      <c r="AI117">
        <f ca="1">IFERROR(IF(0=LEN(ReferenceData!$AI$117),"",ReferenceData!$AI$117),"")</f>
        <v>1329609.6042899999</v>
      </c>
      <c r="AJ117">
        <f ca="1">IFERROR(IF(0=LEN(ReferenceData!$AJ$117),"",ReferenceData!$AJ$117),"")</f>
        <v>2121855.5662199999</v>
      </c>
      <c r="AK117">
        <f ca="1">IFERROR(IF(0=LEN(ReferenceData!$AK$117),"",ReferenceData!$AK$117),"")</f>
        <v>1346338.6885899999</v>
      </c>
      <c r="AL117">
        <f ca="1">IFERROR(IF(0=LEN(ReferenceData!$AL$117),"",ReferenceData!$AL$117),"")</f>
        <v>2069092.4901200004</v>
      </c>
      <c r="AM117">
        <f ca="1">IFERROR(IF(0=LEN(ReferenceData!$AM$117),"",ReferenceData!$AM$117),"")</f>
        <v>1290752.7841099999</v>
      </c>
      <c r="AN117">
        <f ca="1">IFERROR(IF(0=LEN(ReferenceData!$AN$117),"",ReferenceData!$AN$117),"")</f>
        <v>1901717.4876999999</v>
      </c>
      <c r="AO117">
        <f ca="1">IFERROR(IF(0=LEN(ReferenceData!$AO$117),"",ReferenceData!$AO$117),"")</f>
        <v>1265526.89429</v>
      </c>
      <c r="AP117">
        <f ca="1">IFERROR(IF(0=LEN(ReferenceData!$AP$117),"",ReferenceData!$AP$117),"")</f>
        <v>2159258.2927620001</v>
      </c>
      <c r="AQ117">
        <f ca="1">IFERROR(IF(0=LEN(ReferenceData!$AQ$117),"",ReferenceData!$AQ$117),"")</f>
        <v>1316538.1887999999</v>
      </c>
      <c r="AR117">
        <f ca="1">IFERROR(IF(0=LEN(ReferenceData!$AR$117),"",ReferenceData!$AR$117),"")</f>
        <v>1592258.4598639999</v>
      </c>
      <c r="AS117">
        <f ca="1">IFERROR(IF(0=LEN(ReferenceData!$AS$117),"",ReferenceData!$AS$117),"")</f>
        <v>1254524.2393799999</v>
      </c>
      <c r="AT117">
        <f ca="1">IFERROR(IF(0=LEN(ReferenceData!$AT$117),"",ReferenceData!$AT$117),"")</f>
        <v>2073590.2380269999</v>
      </c>
      <c r="AU117">
        <f ca="1">IFERROR(IF(0=LEN(ReferenceData!$AU$117),"",ReferenceData!$AU$117),"")</f>
        <v>1101450.8118099999</v>
      </c>
      <c r="AV117">
        <f ca="1">IFERROR(IF(0=LEN(ReferenceData!$AV$117),"",ReferenceData!$AV$117),"")</f>
        <v>1324409.5603200002</v>
      </c>
      <c r="AW117">
        <f ca="1">IFERROR(IF(0=LEN(ReferenceData!$AW$117),"",ReferenceData!$AW$117),"")</f>
        <v>1025986.0913190001</v>
      </c>
      <c r="AX117">
        <f ca="1">IFERROR(IF(0=LEN(ReferenceData!$AX$117),"",ReferenceData!$AX$117),"")</f>
        <v>2183745.5428979998</v>
      </c>
      <c r="AY117">
        <f ca="1">IFERROR(IF(0=LEN(ReferenceData!$AY$117),"",ReferenceData!$AY$117),"")</f>
        <v>1193540.2482100001</v>
      </c>
      <c r="AZ117">
        <f ca="1">IFERROR(IF(0=LEN(ReferenceData!$AZ$117),"",ReferenceData!$AZ$117),"")</f>
        <v>1463649.5451799999</v>
      </c>
      <c r="BA117">
        <f ca="1">IFERROR(IF(0=LEN(ReferenceData!$BA$117),"",ReferenceData!$BA$117),"")</f>
        <v>1150842.70744</v>
      </c>
      <c r="BB117">
        <f ca="1">IFERROR(IF(0=LEN(ReferenceData!$BB$117),"",ReferenceData!$BB$117),"")</f>
        <v>1932475.291408</v>
      </c>
      <c r="BC117">
        <f ca="1">IFERROR(IF(0=LEN(ReferenceData!$BC$117),"",ReferenceData!$BC$117),"")</f>
        <v>905342.45244000002</v>
      </c>
      <c r="BD117">
        <f ca="1">IFERROR(IF(0=LEN(ReferenceData!$BD$117),"",ReferenceData!$BD$117),"")</f>
        <v>1118746.9648500001</v>
      </c>
      <c r="BE117">
        <f ca="1">IFERROR(IF(0=LEN(ReferenceData!$BE$117),"",ReferenceData!$BE$117),"")</f>
        <v>1171060.4010599998</v>
      </c>
      <c r="BF117">
        <f ca="1">IFERROR(IF(0=LEN(ReferenceData!$BF$117),"",ReferenceData!$BF$117),"")</f>
        <v>2409755.52679</v>
      </c>
      <c r="BG117">
        <f ca="1">IFERROR(IF(0=LEN(ReferenceData!$BG$117),"",ReferenceData!$BG$117),"")</f>
        <v>1148032.1792000001</v>
      </c>
      <c r="BH117">
        <f ca="1">IFERROR(IF(0=LEN(ReferenceData!$BH$117),"",ReferenceData!$BH$117),"")</f>
        <v>1472395.1403999999</v>
      </c>
      <c r="BI117">
        <f ca="1">IFERROR(IF(0=LEN(ReferenceData!$BI$117),"",ReferenceData!$BI$117),"")</f>
        <v>1065567.1007000001</v>
      </c>
      <c r="BJ117">
        <f ca="1">IFERROR(IF(0=LEN(ReferenceData!$BJ$117),"",ReferenceData!$BJ$117),"")</f>
        <v>2285353.8106300002</v>
      </c>
      <c r="BK117">
        <f ca="1">IFERROR(IF(0=LEN(ReferenceData!$BK$117),"",ReferenceData!$BK$117),"")</f>
        <v>747540.22250000003</v>
      </c>
      <c r="BL117">
        <f ca="1">IFERROR(IF(0=LEN(ReferenceData!$BL$117),"",ReferenceData!$BL$117),"")</f>
        <v>1219871.9674</v>
      </c>
      <c r="BM117">
        <f ca="1">IFERROR(IF(0=LEN(ReferenceData!$BM$117),"",ReferenceData!$BM$117),"")</f>
        <v>29047.432000000001</v>
      </c>
    </row>
    <row r="118" spans="1:65" x14ac:dyDescent="0.25">
      <c r="A118" t="str">
        <f>IFERROR(IF(0=LEN(ReferenceData!$A$118),"",ReferenceData!$A$118),"")</f>
        <v xml:space="preserve">    ABN AMRO Bank NV</v>
      </c>
      <c r="B118" t="str">
        <f>IFERROR(IF(0=LEN(ReferenceData!$B$118),"",ReferenceData!$B$118),"")</f>
        <v>ABN NA Equity</v>
      </c>
      <c r="C118" t="str">
        <f>IFERROR(IF(0=LEN(ReferenceData!$C$118),"",ReferenceData!$C$118),"")</f>
        <v>BS016</v>
      </c>
      <c r="D118" t="str">
        <f>IFERROR(IF(0=LEN(ReferenceData!$D$118),"",ReferenceData!$D$118),"")</f>
        <v>BS_COMM_LOAN</v>
      </c>
      <c r="E118" t="str">
        <f>IFERROR(IF(0=LEN(ReferenceData!$E$118),"",ReferenceData!$E$118),"")</f>
        <v>Dynamic</v>
      </c>
      <c r="F118">
        <f ca="1">IFERROR(IF(0=LEN(ReferenceData!$F$118),"",ReferenceData!$F$118),"")</f>
        <v>90346</v>
      </c>
      <c r="G118">
        <f ca="1">IFERROR(IF(0=LEN(ReferenceData!$G$118),"",ReferenceData!$G$118),"")</f>
        <v>102439</v>
      </c>
      <c r="H118">
        <f ca="1">IFERROR(IF(0=LEN(ReferenceData!$H$118),"",ReferenceData!$H$118),"")</f>
        <v>97610</v>
      </c>
      <c r="I118">
        <f ca="1">IFERROR(IF(0=LEN(ReferenceData!$I$118),"",ReferenceData!$I$118),"")</f>
        <v>99434</v>
      </c>
      <c r="J118">
        <f ca="1">IFERROR(IF(0=LEN(ReferenceData!$J$118),"",ReferenceData!$J$118),"")</f>
        <v>93340</v>
      </c>
      <c r="K118">
        <f ca="1">IFERROR(IF(0=LEN(ReferenceData!$K$118),"",ReferenceData!$K$118),"")</f>
        <v>97892</v>
      </c>
      <c r="L118">
        <f ca="1">IFERROR(IF(0=LEN(ReferenceData!$L$118),"",ReferenceData!$L$118),"")</f>
        <v>98152</v>
      </c>
      <c r="M118">
        <f ca="1">IFERROR(IF(0=LEN(ReferenceData!$M$118),"",ReferenceData!$M$118),"")</f>
        <v>99086</v>
      </c>
      <c r="N118">
        <f ca="1">IFERROR(IF(0=LEN(ReferenceData!$N$118),"",ReferenceData!$N$118),"")</f>
        <v>94295</v>
      </c>
      <c r="O118">
        <f ca="1">IFERROR(IF(0=LEN(ReferenceData!$O$118),"",ReferenceData!$O$118),"")</f>
        <v>111601</v>
      </c>
      <c r="P118">
        <f ca="1">IFERROR(IF(0=LEN(ReferenceData!$P$118),"",ReferenceData!$P$118),"")</f>
        <v>108321</v>
      </c>
      <c r="Q118">
        <f ca="1">IFERROR(IF(0=LEN(ReferenceData!$Q$118),"",ReferenceData!$Q$118),"")</f>
        <v>104861</v>
      </c>
      <c r="R118">
        <f ca="1">IFERROR(IF(0=LEN(ReferenceData!$R$118),"",ReferenceData!$R$118),"")</f>
        <v>101570</v>
      </c>
      <c r="S118">
        <f ca="1">IFERROR(IF(0=LEN(ReferenceData!$S$118),"",ReferenceData!$S$118),"")</f>
        <v>96390</v>
      </c>
      <c r="T118">
        <f ca="1">IFERROR(IF(0=LEN(ReferenceData!$T$118),"",ReferenceData!$T$118),"")</f>
        <v>88958</v>
      </c>
      <c r="U118">
        <f ca="1">IFERROR(IF(0=LEN(ReferenceData!$U$118),"",ReferenceData!$U$118),"")</f>
        <v>94124</v>
      </c>
      <c r="V118">
        <f ca="1">IFERROR(IF(0=LEN(ReferenceData!$V$118),"",ReferenceData!$V$118),"")</f>
        <v>94884</v>
      </c>
      <c r="W118">
        <f ca="1">IFERROR(IF(0=LEN(ReferenceData!$W$118),"",ReferenceData!$W$118),"")</f>
        <v>102841</v>
      </c>
      <c r="X118">
        <f ca="1">IFERROR(IF(0=LEN(ReferenceData!$X$118),"",ReferenceData!$X$118),"")</f>
        <v>99519</v>
      </c>
      <c r="Y118">
        <f ca="1">IFERROR(IF(0=LEN(ReferenceData!$Y$118),"",ReferenceData!$Y$118),"")</f>
        <v>118264</v>
      </c>
      <c r="Z118">
        <f ca="1">IFERROR(IF(0=LEN(ReferenceData!$Z$118),"",ReferenceData!$Z$118),"")</f>
        <v>106666</v>
      </c>
      <c r="AA118">
        <f ca="1">IFERROR(IF(0=LEN(ReferenceData!$AA$118),"",ReferenceData!$AA$118),"")</f>
        <v>112349</v>
      </c>
      <c r="AB118">
        <f ca="1">IFERROR(IF(0=LEN(ReferenceData!$AB$118),"",ReferenceData!$AB$118),"")</f>
        <v>107702</v>
      </c>
      <c r="AC118">
        <f ca="1">IFERROR(IF(0=LEN(ReferenceData!$AC$118),"",ReferenceData!$AC$118),"")</f>
        <v>115148</v>
      </c>
      <c r="AD118">
        <f ca="1">IFERROR(IF(0=LEN(ReferenceData!$AD$118),"",ReferenceData!$AD$118),"")</f>
        <v>108907</v>
      </c>
      <c r="AE118">
        <f ca="1">IFERROR(IF(0=LEN(ReferenceData!$AE$118),"",ReferenceData!$AE$118),"")</f>
        <v>113820</v>
      </c>
      <c r="AF118">
        <f ca="1">IFERROR(IF(0=LEN(ReferenceData!$AF$118),"",ReferenceData!$AF$118),"")</f>
        <v>109857</v>
      </c>
      <c r="AG118">
        <f ca="1">IFERROR(IF(0=LEN(ReferenceData!$AG$118),"",ReferenceData!$AG$118),"")</f>
        <v>105565</v>
      </c>
      <c r="AH118">
        <f ca="1">IFERROR(IF(0=LEN(ReferenceData!$AH$118),"",ReferenceData!$AH$118),"")</f>
        <v>103138</v>
      </c>
      <c r="AI118">
        <f ca="1">IFERROR(IF(0=LEN(ReferenceData!$AI$118),"",ReferenceData!$AI$118),"")</f>
        <v>99107</v>
      </c>
      <c r="AJ118">
        <f ca="1">IFERROR(IF(0=LEN(ReferenceData!$AJ$118),"",ReferenceData!$AJ$118),"")</f>
        <v>100255</v>
      </c>
      <c r="AK118">
        <f ca="1">IFERROR(IF(0=LEN(ReferenceData!$AK$118),"",ReferenceData!$AK$118),"")</f>
        <v>102362</v>
      </c>
      <c r="AL118">
        <f ca="1">IFERROR(IF(0=LEN(ReferenceData!$AL$118),"",ReferenceData!$AL$118),"")</f>
        <v>99031</v>
      </c>
      <c r="AM118">
        <f ca="1">IFERROR(IF(0=LEN(ReferenceData!$AM$118),"",ReferenceData!$AM$118),"")</f>
        <v>81048</v>
      </c>
      <c r="AN118">
        <f ca="1">IFERROR(IF(0=LEN(ReferenceData!$AN$118),"",ReferenceData!$AN$118),"")</f>
        <v>101915</v>
      </c>
      <c r="AO118">
        <f ca="1">IFERROR(IF(0=LEN(ReferenceData!$AO$118),"",ReferenceData!$AO$118),"")</f>
        <v>92952</v>
      </c>
      <c r="AP118">
        <f ca="1">IFERROR(IF(0=LEN(ReferenceData!$AP$118),"",ReferenceData!$AP$118),"")</f>
        <v>107359</v>
      </c>
      <c r="AQ118">
        <f ca="1">IFERROR(IF(0=LEN(ReferenceData!$AQ$118),"",ReferenceData!$AQ$118),"")</f>
        <v>91558</v>
      </c>
      <c r="AR118">
        <f ca="1">IFERROR(IF(0=LEN(ReferenceData!$AR$118),"",ReferenceData!$AR$118),"")</f>
        <v>95128</v>
      </c>
      <c r="AS118" t="str">
        <f ca="1">IFERROR(IF(0=LEN(ReferenceData!$AS$118),"",ReferenceData!$AS$118),"")</f>
        <v/>
      </c>
      <c r="AT118">
        <f ca="1">IFERROR(IF(0=LEN(ReferenceData!$AT$118),"",ReferenceData!$AT$118),"")</f>
        <v>91305</v>
      </c>
      <c r="AU118">
        <f ca="1">IFERROR(IF(0=LEN(ReferenceData!$AU$118),"",ReferenceData!$AU$118),"")</f>
        <v>81262</v>
      </c>
      <c r="AV118">
        <f ca="1">IFERROR(IF(0=LEN(ReferenceData!$AV$118),"",ReferenceData!$AV$118),"")</f>
        <v>86017</v>
      </c>
      <c r="AW118">
        <f ca="1">IFERROR(IF(0=LEN(ReferenceData!$AW$118),"",ReferenceData!$AW$118),"")</f>
        <v>81684</v>
      </c>
      <c r="AX118">
        <f ca="1">IFERROR(IF(0=LEN(ReferenceData!$AX$118),"",ReferenceData!$AX$118),"")</f>
        <v>88917</v>
      </c>
      <c r="AY118">
        <f ca="1">IFERROR(IF(0=LEN(ReferenceData!$AY$118),"",ReferenceData!$AY$118),"")</f>
        <v>83540</v>
      </c>
      <c r="AZ118">
        <f ca="1">IFERROR(IF(0=LEN(ReferenceData!$AZ$118),"",ReferenceData!$AZ$118),"")</f>
        <v>85357</v>
      </c>
      <c r="BA118">
        <f ca="1">IFERROR(IF(0=LEN(ReferenceData!$BA$118),"",ReferenceData!$BA$118),"")</f>
        <v>115528</v>
      </c>
      <c r="BB118">
        <f ca="1">IFERROR(IF(0=LEN(ReferenceData!$BB$118),"",ReferenceData!$BB$118),"")</f>
        <v>85592</v>
      </c>
      <c r="BC118" t="str">
        <f ca="1">IFERROR(IF(0=LEN(ReferenceData!$BC$118),"",ReferenceData!$BC$118),"")</f>
        <v/>
      </c>
      <c r="BD118" t="str">
        <f ca="1">IFERROR(IF(0=LEN(ReferenceData!$BD$118),"",ReferenceData!$BD$118),"")</f>
        <v/>
      </c>
      <c r="BE118" t="str">
        <f ca="1">IFERROR(IF(0=LEN(ReferenceData!$BE$118),"",ReferenceData!$BE$118),"")</f>
        <v/>
      </c>
      <c r="BF118" t="str">
        <f ca="1">IFERROR(IF(0=LEN(ReferenceData!$BF$118),"",ReferenceData!$BF$118),"")</f>
        <v/>
      </c>
      <c r="BG118" t="str">
        <f ca="1">IFERROR(IF(0=LEN(ReferenceData!$BG$118),"",ReferenceData!$BG$118),"")</f>
        <v/>
      </c>
      <c r="BH118" t="str">
        <f ca="1">IFERROR(IF(0=LEN(ReferenceData!$BH$118),"",ReferenceData!$BH$118),"")</f>
        <v/>
      </c>
      <c r="BI118" t="str">
        <f ca="1">IFERROR(IF(0=LEN(ReferenceData!$BI$118),"",ReferenceData!$BI$118),"")</f>
        <v/>
      </c>
      <c r="BJ118" t="str">
        <f ca="1">IFERROR(IF(0=LEN(ReferenceData!$BJ$118),"",ReferenceData!$BJ$118),"")</f>
        <v/>
      </c>
      <c r="BK118" t="str">
        <f ca="1">IFERROR(IF(0=LEN(ReferenceData!$BK$118),"",ReferenceData!$BK$118),"")</f>
        <v/>
      </c>
      <c r="BL118" t="str">
        <f ca="1">IFERROR(IF(0=LEN(ReferenceData!$BL$118),"",ReferenceData!$BL$118),"")</f>
        <v/>
      </c>
      <c r="BM118" t="str">
        <f ca="1">IFERROR(IF(0=LEN(ReferenceData!$BM$118),"",ReferenceData!$BM$118),"")</f>
        <v/>
      </c>
    </row>
    <row r="119" spans="1:65" x14ac:dyDescent="0.25">
      <c r="A119" t="str">
        <f>IFERROR(IF(0=LEN(ReferenceData!$A$119),"",ReferenceData!$A$119),"")</f>
        <v xml:space="preserve">    AIB Group PLC</v>
      </c>
      <c r="B119" t="str">
        <f>IFERROR(IF(0=LEN(ReferenceData!$B$119),"",ReferenceData!$B$119),"")</f>
        <v>AIBG ID Equity</v>
      </c>
      <c r="C119" t="str">
        <f>IFERROR(IF(0=LEN(ReferenceData!$C$119),"",ReferenceData!$C$119),"")</f>
        <v>BS016</v>
      </c>
      <c r="D119" t="str">
        <f>IFERROR(IF(0=LEN(ReferenceData!$D$119),"",ReferenceData!$D$119),"")</f>
        <v>BS_COMM_LOAN</v>
      </c>
      <c r="E119" t="str">
        <f>IFERROR(IF(0=LEN(ReferenceData!$E$119),"",ReferenceData!$E$119),"")</f>
        <v>Dynamic</v>
      </c>
      <c r="F119" t="str">
        <f ca="1">IFERROR(IF(0=LEN(ReferenceData!$F$119),"",ReferenceData!$F$119),"")</f>
        <v/>
      </c>
      <c r="G119" t="str">
        <f ca="1">IFERROR(IF(0=LEN(ReferenceData!$G$119),"",ReferenceData!$G$119),"")</f>
        <v/>
      </c>
      <c r="H119" t="str">
        <f ca="1">IFERROR(IF(0=LEN(ReferenceData!$H$119),"",ReferenceData!$H$119),"")</f>
        <v/>
      </c>
      <c r="I119" t="str">
        <f ca="1">IFERROR(IF(0=LEN(ReferenceData!$I$119),"",ReferenceData!$I$119),"")</f>
        <v/>
      </c>
      <c r="J119" t="str">
        <f ca="1">IFERROR(IF(0=LEN(ReferenceData!$J$119),"",ReferenceData!$J$119),"")</f>
        <v/>
      </c>
      <c r="K119" t="str">
        <f ca="1">IFERROR(IF(0=LEN(ReferenceData!$K$119),"",ReferenceData!$K$119),"")</f>
        <v/>
      </c>
      <c r="L119" t="str">
        <f ca="1">IFERROR(IF(0=LEN(ReferenceData!$L$119),"",ReferenceData!$L$119),"")</f>
        <v/>
      </c>
      <c r="M119" t="str">
        <f ca="1">IFERROR(IF(0=LEN(ReferenceData!$M$119),"",ReferenceData!$M$119),"")</f>
        <v/>
      </c>
      <c r="N119" t="str">
        <f ca="1">IFERROR(IF(0=LEN(ReferenceData!$N$119),"",ReferenceData!$N$119),"")</f>
        <v/>
      </c>
      <c r="O119" t="str">
        <f ca="1">IFERROR(IF(0=LEN(ReferenceData!$O$119),"",ReferenceData!$O$119),"")</f>
        <v/>
      </c>
      <c r="P119" t="str">
        <f ca="1">IFERROR(IF(0=LEN(ReferenceData!$P$119),"",ReferenceData!$P$119),"")</f>
        <v/>
      </c>
      <c r="Q119" t="str">
        <f ca="1">IFERROR(IF(0=LEN(ReferenceData!$Q$119),"",ReferenceData!$Q$119),"")</f>
        <v/>
      </c>
      <c r="R119" t="str">
        <f ca="1">IFERROR(IF(0=LEN(ReferenceData!$R$119),"",ReferenceData!$R$119),"")</f>
        <v/>
      </c>
      <c r="S119" t="str">
        <f ca="1">IFERROR(IF(0=LEN(ReferenceData!$S$119),"",ReferenceData!$S$119),"")</f>
        <v/>
      </c>
      <c r="T119" t="str">
        <f ca="1">IFERROR(IF(0=LEN(ReferenceData!$T$119),"",ReferenceData!$T$119),"")</f>
        <v/>
      </c>
      <c r="U119" t="str">
        <f ca="1">IFERROR(IF(0=LEN(ReferenceData!$U$119),"",ReferenceData!$U$119),"")</f>
        <v/>
      </c>
      <c r="V119" t="str">
        <f ca="1">IFERROR(IF(0=LEN(ReferenceData!$V$119),"",ReferenceData!$V$119),"")</f>
        <v/>
      </c>
      <c r="W119" t="str">
        <f ca="1">IFERROR(IF(0=LEN(ReferenceData!$W$119),"",ReferenceData!$W$119),"")</f>
        <v/>
      </c>
      <c r="X119" t="str">
        <f ca="1">IFERROR(IF(0=LEN(ReferenceData!$X$119),"",ReferenceData!$X$119),"")</f>
        <v/>
      </c>
      <c r="Y119" t="str">
        <f ca="1">IFERROR(IF(0=LEN(ReferenceData!$Y$119),"",ReferenceData!$Y$119),"")</f>
        <v/>
      </c>
      <c r="Z119" t="str">
        <f ca="1">IFERROR(IF(0=LEN(ReferenceData!$Z$119),"",ReferenceData!$Z$119),"")</f>
        <v/>
      </c>
      <c r="AA119" t="str">
        <f ca="1">IFERROR(IF(0=LEN(ReferenceData!$AA$119),"",ReferenceData!$AA$119),"")</f>
        <v/>
      </c>
      <c r="AB119" t="str">
        <f ca="1">IFERROR(IF(0=LEN(ReferenceData!$AB$119),"",ReferenceData!$AB$119),"")</f>
        <v/>
      </c>
      <c r="AC119" t="str">
        <f ca="1">IFERROR(IF(0=LEN(ReferenceData!$AC$119),"",ReferenceData!$AC$119),"")</f>
        <v/>
      </c>
      <c r="AD119" t="str">
        <f ca="1">IFERROR(IF(0=LEN(ReferenceData!$AD$119),"",ReferenceData!$AD$119),"")</f>
        <v/>
      </c>
      <c r="AE119" t="str">
        <f ca="1">IFERROR(IF(0=LEN(ReferenceData!$AE$119),"",ReferenceData!$AE$119),"")</f>
        <v/>
      </c>
      <c r="AF119" t="str">
        <f ca="1">IFERROR(IF(0=LEN(ReferenceData!$AF$119),"",ReferenceData!$AF$119),"")</f>
        <v/>
      </c>
      <c r="AG119" t="str">
        <f ca="1">IFERROR(IF(0=LEN(ReferenceData!$AG$119),"",ReferenceData!$AG$119),"")</f>
        <v/>
      </c>
      <c r="AH119" t="str">
        <f ca="1">IFERROR(IF(0=LEN(ReferenceData!$AH$119),"",ReferenceData!$AH$119),"")</f>
        <v/>
      </c>
      <c r="AI119" t="str">
        <f ca="1">IFERROR(IF(0=LEN(ReferenceData!$AI$119),"",ReferenceData!$AI$119),"")</f>
        <v/>
      </c>
      <c r="AJ119" t="str">
        <f ca="1">IFERROR(IF(0=LEN(ReferenceData!$AJ$119),"",ReferenceData!$AJ$119),"")</f>
        <v/>
      </c>
      <c r="AK119" t="str">
        <f ca="1">IFERROR(IF(0=LEN(ReferenceData!$AK$119),"",ReferenceData!$AK$119),"")</f>
        <v/>
      </c>
      <c r="AL119" t="str">
        <f ca="1">IFERROR(IF(0=LEN(ReferenceData!$AL$119),"",ReferenceData!$AL$119),"")</f>
        <v/>
      </c>
      <c r="AM119" t="str">
        <f ca="1">IFERROR(IF(0=LEN(ReferenceData!$AM$119),"",ReferenceData!$AM$119),"")</f>
        <v/>
      </c>
      <c r="AN119" t="str">
        <f ca="1">IFERROR(IF(0=LEN(ReferenceData!$AN$119),"",ReferenceData!$AN$119),"")</f>
        <v/>
      </c>
      <c r="AO119" t="str">
        <f ca="1">IFERROR(IF(0=LEN(ReferenceData!$AO$119),"",ReferenceData!$AO$119),"")</f>
        <v/>
      </c>
      <c r="AP119" t="str">
        <f ca="1">IFERROR(IF(0=LEN(ReferenceData!$AP$119),"",ReferenceData!$AP$119),"")</f>
        <v/>
      </c>
      <c r="AQ119" t="str">
        <f ca="1">IFERROR(IF(0=LEN(ReferenceData!$AQ$119),"",ReferenceData!$AQ$119),"")</f>
        <v/>
      </c>
      <c r="AR119" t="str">
        <f ca="1">IFERROR(IF(0=LEN(ReferenceData!$AR$119),"",ReferenceData!$AR$119),"")</f>
        <v/>
      </c>
      <c r="AS119" t="str">
        <f ca="1">IFERROR(IF(0=LEN(ReferenceData!$AS$119),"",ReferenceData!$AS$119),"")</f>
        <v/>
      </c>
      <c r="AT119" t="str">
        <f ca="1">IFERROR(IF(0=LEN(ReferenceData!$AT$119),"",ReferenceData!$AT$119),"")</f>
        <v/>
      </c>
      <c r="AU119" t="str">
        <f ca="1">IFERROR(IF(0=LEN(ReferenceData!$AU$119),"",ReferenceData!$AU$119),"")</f>
        <v/>
      </c>
      <c r="AV119" t="str">
        <f ca="1">IFERROR(IF(0=LEN(ReferenceData!$AV$119),"",ReferenceData!$AV$119),"")</f>
        <v/>
      </c>
      <c r="AW119" t="str">
        <f ca="1">IFERROR(IF(0=LEN(ReferenceData!$AW$119),"",ReferenceData!$AW$119),"")</f>
        <v/>
      </c>
      <c r="AX119" t="str">
        <f ca="1">IFERROR(IF(0=LEN(ReferenceData!$AX$119),"",ReferenceData!$AX$119),"")</f>
        <v/>
      </c>
      <c r="AY119" t="str">
        <f ca="1">IFERROR(IF(0=LEN(ReferenceData!$AY$119),"",ReferenceData!$AY$119),"")</f>
        <v/>
      </c>
      <c r="AZ119" t="str">
        <f ca="1">IFERROR(IF(0=LEN(ReferenceData!$AZ$119),"",ReferenceData!$AZ$119),"")</f>
        <v/>
      </c>
      <c r="BA119" t="str">
        <f ca="1">IFERROR(IF(0=LEN(ReferenceData!$BA$119),"",ReferenceData!$BA$119),"")</f>
        <v/>
      </c>
      <c r="BB119" t="str">
        <f ca="1">IFERROR(IF(0=LEN(ReferenceData!$BB$119),"",ReferenceData!$BB$119),"")</f>
        <v/>
      </c>
      <c r="BC119" t="str">
        <f ca="1">IFERROR(IF(0=LEN(ReferenceData!$BC$119),"",ReferenceData!$BC$119),"")</f>
        <v/>
      </c>
      <c r="BD119" t="str">
        <f ca="1">IFERROR(IF(0=LEN(ReferenceData!$BD$119),"",ReferenceData!$BD$119),"")</f>
        <v/>
      </c>
      <c r="BE119" t="str">
        <f ca="1">IFERROR(IF(0=LEN(ReferenceData!$BE$119),"",ReferenceData!$BE$119),"")</f>
        <v/>
      </c>
      <c r="BF119" t="str">
        <f ca="1">IFERROR(IF(0=LEN(ReferenceData!$BF$119),"",ReferenceData!$BF$119),"")</f>
        <v/>
      </c>
      <c r="BG119" t="str">
        <f ca="1">IFERROR(IF(0=LEN(ReferenceData!$BG$119),"",ReferenceData!$BG$119),"")</f>
        <v/>
      </c>
      <c r="BH119" t="str">
        <f ca="1">IFERROR(IF(0=LEN(ReferenceData!$BH$119),"",ReferenceData!$BH$119),"")</f>
        <v/>
      </c>
      <c r="BI119" t="str">
        <f ca="1">IFERROR(IF(0=LEN(ReferenceData!$BI$119),"",ReferenceData!$BI$119),"")</f>
        <v/>
      </c>
      <c r="BJ119" t="str">
        <f ca="1">IFERROR(IF(0=LEN(ReferenceData!$BJ$119),"",ReferenceData!$BJ$119),"")</f>
        <v/>
      </c>
      <c r="BK119" t="str">
        <f ca="1">IFERROR(IF(0=LEN(ReferenceData!$BK$119),"",ReferenceData!$BK$119),"")</f>
        <v/>
      </c>
      <c r="BL119" t="str">
        <f ca="1">IFERROR(IF(0=LEN(ReferenceData!$BL$119),"",ReferenceData!$BL$119),"")</f>
        <v/>
      </c>
      <c r="BM119" t="str">
        <f ca="1">IFERROR(IF(0=LEN(ReferenceData!$BM$119),"",ReferenceData!$BM$119),"")</f>
        <v/>
      </c>
    </row>
    <row r="120" spans="1:65" x14ac:dyDescent="0.25">
      <c r="A120" t="str">
        <f>IFERROR(IF(0=LEN(ReferenceData!$A$120),"",ReferenceData!$A$120),"")</f>
        <v xml:space="preserve">    Banco de Sabadell SA</v>
      </c>
      <c r="B120" t="str">
        <f>IFERROR(IF(0=LEN(ReferenceData!$B$120),"",ReferenceData!$B$120),"")</f>
        <v>SAB SM Equity</v>
      </c>
      <c r="C120" t="str">
        <f>IFERROR(IF(0=LEN(ReferenceData!$C$120),"",ReferenceData!$C$120),"")</f>
        <v>BS016</v>
      </c>
      <c r="D120" t="str">
        <f>IFERROR(IF(0=LEN(ReferenceData!$D$120),"",ReferenceData!$D$120),"")</f>
        <v>BS_COMM_LOAN</v>
      </c>
      <c r="E120" t="str">
        <f>IFERROR(IF(0=LEN(ReferenceData!$E$120),"",ReferenceData!$E$120),"")</f>
        <v>Dynamic</v>
      </c>
      <c r="F120">
        <f ca="1">IFERROR(IF(0=LEN(ReferenceData!$F$120),"",ReferenceData!$F$120),"")</f>
        <v>8356.1959999999999</v>
      </c>
      <c r="G120">
        <f ca="1">IFERROR(IF(0=LEN(ReferenceData!$G$120),"",ReferenceData!$G$120),"")</f>
        <v>7221</v>
      </c>
      <c r="H120">
        <f ca="1">IFERROR(IF(0=LEN(ReferenceData!$H$120),"",ReferenceData!$H$120),"")</f>
        <v>8031</v>
      </c>
      <c r="I120">
        <f ca="1">IFERROR(IF(0=LEN(ReferenceData!$I$120),"",ReferenceData!$I$120),"")</f>
        <v>6812</v>
      </c>
      <c r="J120">
        <f ca="1">IFERROR(IF(0=LEN(ReferenceData!$J$120),"",ReferenceData!$J$120),"")</f>
        <v>7465.1189999999997</v>
      </c>
      <c r="K120">
        <f ca="1">IFERROR(IF(0=LEN(ReferenceData!$K$120),"",ReferenceData!$K$120),"")</f>
        <v>6829</v>
      </c>
      <c r="L120">
        <f ca="1">IFERROR(IF(0=LEN(ReferenceData!$L$120),"",ReferenceData!$L$120),"")</f>
        <v>7002.2529999999997</v>
      </c>
      <c r="M120">
        <f ca="1">IFERROR(IF(0=LEN(ReferenceData!$M$120),"",ReferenceData!$M$120),"")</f>
        <v>6739</v>
      </c>
      <c r="N120">
        <f ca="1">IFERROR(IF(0=LEN(ReferenceData!$N$120),"",ReferenceData!$N$120),"")</f>
        <v>7489.183</v>
      </c>
      <c r="O120">
        <f ca="1">IFERROR(IF(0=LEN(ReferenceData!$O$120),"",ReferenceData!$O$120),"")</f>
        <v>6760</v>
      </c>
      <c r="P120">
        <f ca="1">IFERROR(IF(0=LEN(ReferenceData!$P$120),"",ReferenceData!$P$120),"")</f>
        <v>6744.6570000000002</v>
      </c>
      <c r="Q120">
        <f ca="1">IFERROR(IF(0=LEN(ReferenceData!$Q$120),"",ReferenceData!$Q$120),"")</f>
        <v>5992</v>
      </c>
      <c r="R120">
        <f ca="1">IFERROR(IF(0=LEN(ReferenceData!$R$120),"",ReferenceData!$R$120),"")</f>
        <v>6049.5540000000001</v>
      </c>
      <c r="S120">
        <f ca="1">IFERROR(IF(0=LEN(ReferenceData!$S$120),"",ReferenceData!$S$120),"")</f>
        <v>5200</v>
      </c>
      <c r="T120">
        <f ca="1">IFERROR(IF(0=LEN(ReferenceData!$T$120),"",ReferenceData!$T$120),"")</f>
        <v>5439.3620000000001</v>
      </c>
      <c r="U120">
        <f ca="1">IFERROR(IF(0=LEN(ReferenceData!$U$120),"",ReferenceData!$U$120),"")</f>
        <v>5104</v>
      </c>
      <c r="V120">
        <f ca="1">IFERROR(IF(0=LEN(ReferenceData!$V$120),"",ReferenceData!$V$120),"")</f>
        <v>4991.0950000000003</v>
      </c>
      <c r="W120">
        <f ca="1">IFERROR(IF(0=LEN(ReferenceData!$W$120),"",ReferenceData!$W$120),"")</f>
        <v>4312</v>
      </c>
      <c r="X120">
        <f ca="1">IFERROR(IF(0=LEN(ReferenceData!$X$120),"",ReferenceData!$X$120),"")</f>
        <v>4625.3810000000003</v>
      </c>
      <c r="Y120">
        <f ca="1">IFERROR(IF(0=LEN(ReferenceData!$Y$120),"",ReferenceData!$Y$120),"")</f>
        <v>5972</v>
      </c>
      <c r="Z120">
        <f ca="1">IFERROR(IF(0=LEN(ReferenceData!$Z$120),"",ReferenceData!$Z$120),"")</f>
        <v>6443.0410000000002</v>
      </c>
      <c r="AA120">
        <f ca="1">IFERROR(IF(0=LEN(ReferenceData!$AA$120),"",ReferenceData!$AA$120),"")</f>
        <v>5447</v>
      </c>
      <c r="AB120">
        <f ca="1">IFERROR(IF(0=LEN(ReferenceData!$AB$120),"",ReferenceData!$AB$120),"")</f>
        <v>5945.2929999999997</v>
      </c>
      <c r="AC120">
        <f ca="1">IFERROR(IF(0=LEN(ReferenceData!$AC$120),"",ReferenceData!$AC$120),"")</f>
        <v>5781</v>
      </c>
      <c r="AD120">
        <f ca="1">IFERROR(IF(0=LEN(ReferenceData!$AD$120),"",ReferenceData!$AD$120),"")</f>
        <v>6185.8280000000004</v>
      </c>
      <c r="AE120">
        <f ca="1">IFERROR(IF(0=LEN(ReferenceData!$AE$120),"",ReferenceData!$AE$120),"")</f>
        <v>5805</v>
      </c>
      <c r="AF120">
        <f ca="1">IFERROR(IF(0=LEN(ReferenceData!$AF$120),"",ReferenceData!$AF$120),"")</f>
        <v>6148.3090000000002</v>
      </c>
      <c r="AG120">
        <f ca="1">IFERROR(IF(0=LEN(ReferenceData!$AG$120),"",ReferenceData!$AG$120),"")</f>
        <v>5644</v>
      </c>
      <c r="AH120">
        <f ca="1">IFERROR(IF(0=LEN(ReferenceData!$AH$120),"",ReferenceData!$AH$120),"")</f>
        <v>5801.6019999999999</v>
      </c>
      <c r="AI120">
        <f ca="1">IFERROR(IF(0=LEN(ReferenceData!$AI$120),"",ReferenceData!$AI$120),"")</f>
        <v>5719</v>
      </c>
      <c r="AJ120">
        <f ca="1">IFERROR(IF(0=LEN(ReferenceData!$AJ$120),"",ReferenceData!$AJ$120),"")</f>
        <v>5560.24</v>
      </c>
      <c r="AK120">
        <f ca="1">IFERROR(IF(0=LEN(ReferenceData!$AK$120),"",ReferenceData!$AK$120),"")</f>
        <v>5150</v>
      </c>
      <c r="AL120">
        <f ca="1">IFERROR(IF(0=LEN(ReferenceData!$AL$120),"",ReferenceData!$AL$120),"")</f>
        <v>5530.0450000000001</v>
      </c>
      <c r="AM120">
        <f ca="1">IFERROR(IF(0=LEN(ReferenceData!$AM$120),"",ReferenceData!$AM$120),"")</f>
        <v>4827</v>
      </c>
      <c r="AN120">
        <f ca="1">IFERROR(IF(0=LEN(ReferenceData!$AN$120),"",ReferenceData!$AN$120),"")</f>
        <v>5506.7460000000001</v>
      </c>
      <c r="AO120">
        <f ca="1">IFERROR(IF(0=LEN(ReferenceData!$AO$120),"",ReferenceData!$AO$120),"")</f>
        <v>5000</v>
      </c>
      <c r="AP120">
        <f ca="1">IFERROR(IF(0=LEN(ReferenceData!$AP$120),"",ReferenceData!$AP$120),"")</f>
        <v>5665.0619999999999</v>
      </c>
      <c r="AQ120">
        <f ca="1">IFERROR(IF(0=LEN(ReferenceData!$AQ$120),"",ReferenceData!$AQ$120),"")</f>
        <v>4994</v>
      </c>
      <c r="AR120">
        <f ca="1">IFERROR(IF(0=LEN(ReferenceData!$AR$120),"",ReferenceData!$AR$120),"")</f>
        <v>2662.7249999999999</v>
      </c>
      <c r="AS120">
        <f ca="1">IFERROR(IF(0=LEN(ReferenceData!$AS$120),"",ReferenceData!$AS$120),"")</f>
        <v>4763.1880000000001</v>
      </c>
      <c r="AT120">
        <f ca="1">IFERROR(IF(0=LEN(ReferenceData!$AT$120),"",ReferenceData!$AT$120),"")</f>
        <v>2269.9409999999998</v>
      </c>
      <c r="AU120">
        <f ca="1">IFERROR(IF(0=LEN(ReferenceData!$AU$120),"",ReferenceData!$AU$120),"")</f>
        <v>4407</v>
      </c>
      <c r="AV120">
        <f ca="1">IFERROR(IF(0=LEN(ReferenceData!$AV$120),"",ReferenceData!$AV$120),"")</f>
        <v>2206.6260000000002</v>
      </c>
      <c r="AW120">
        <f ca="1">IFERROR(IF(0=LEN(ReferenceData!$AW$120),"",ReferenceData!$AW$120),"")</f>
        <v>4132.7169999999996</v>
      </c>
      <c r="AX120">
        <f ca="1">IFERROR(IF(0=LEN(ReferenceData!$AX$120),"",ReferenceData!$AX$120),"")</f>
        <v>2283.8939999999998</v>
      </c>
      <c r="AY120">
        <f ca="1">IFERROR(IF(0=LEN(ReferenceData!$AY$120),"",ReferenceData!$AY$120),"")</f>
        <v>3970.2890000000002</v>
      </c>
      <c r="AZ120">
        <f ca="1">IFERROR(IF(0=LEN(ReferenceData!$AZ$120),"",ReferenceData!$AZ$120),"")</f>
        <v>2317.6439999999998</v>
      </c>
      <c r="BA120">
        <f ca="1">IFERROR(IF(0=LEN(ReferenceData!$BA$120),"",ReferenceData!$BA$120),"")</f>
        <v>4104.0559999999996</v>
      </c>
      <c r="BB120">
        <f ca="1">IFERROR(IF(0=LEN(ReferenceData!$BB$120),"",ReferenceData!$BB$120),"")</f>
        <v>2179.4319999999998</v>
      </c>
      <c r="BC120">
        <f ca="1">IFERROR(IF(0=LEN(ReferenceData!$BC$120),"",ReferenceData!$BC$120),"")</f>
        <v>4399.5230000000001</v>
      </c>
      <c r="BD120">
        <f ca="1">IFERROR(IF(0=LEN(ReferenceData!$BD$120),"",ReferenceData!$BD$120),"")</f>
        <v>2419.7570000000001</v>
      </c>
      <c r="BE120">
        <f ca="1">IFERROR(IF(0=LEN(ReferenceData!$BE$120),"",ReferenceData!$BE$120),"")</f>
        <v>4961.9690000000001</v>
      </c>
      <c r="BF120">
        <f ca="1">IFERROR(IF(0=LEN(ReferenceData!$BF$120),"",ReferenceData!$BF$120),"")</f>
        <v>2479.422</v>
      </c>
      <c r="BG120">
        <f ca="1">IFERROR(IF(0=LEN(ReferenceData!$BG$120),"",ReferenceData!$BG$120),"")</f>
        <v>4894.884</v>
      </c>
      <c r="BH120">
        <f ca="1">IFERROR(IF(0=LEN(ReferenceData!$BH$120),"",ReferenceData!$BH$120),"")</f>
        <v>2436.2269999999999</v>
      </c>
      <c r="BI120">
        <f ca="1">IFERROR(IF(0=LEN(ReferenceData!$BI$120),"",ReferenceData!$BI$120),"")</f>
        <v>5053.0640000000003</v>
      </c>
      <c r="BJ120">
        <f ca="1">IFERROR(IF(0=LEN(ReferenceData!$BJ$120),"",ReferenceData!$BJ$120),"")</f>
        <v>2839.0189999999998</v>
      </c>
      <c r="BK120">
        <f ca="1">IFERROR(IF(0=LEN(ReferenceData!$BK$120),"",ReferenceData!$BK$120),"")</f>
        <v>4280.9589999999998</v>
      </c>
      <c r="BL120">
        <f ca="1">IFERROR(IF(0=LEN(ReferenceData!$BL$120),"",ReferenceData!$BL$120),"")</f>
        <v>2037.778</v>
      </c>
      <c r="BM120" t="str">
        <f ca="1">IFERROR(IF(0=LEN(ReferenceData!$BM$120),"",ReferenceData!$BM$120),"")</f>
        <v/>
      </c>
    </row>
    <row r="121" spans="1:65" x14ac:dyDescent="0.25">
      <c r="A121" t="str">
        <f>IFERROR(IF(0=LEN(ReferenceData!$A$121),"",ReferenceData!$A$121),"")</f>
        <v xml:space="preserve">    Banco Santander SA</v>
      </c>
      <c r="B121" t="str">
        <f>IFERROR(IF(0=LEN(ReferenceData!$B$121),"",ReferenceData!$B$121),"")</f>
        <v>SAN SM Equity</v>
      </c>
      <c r="C121" t="str">
        <f>IFERROR(IF(0=LEN(ReferenceData!$C$121),"",ReferenceData!$C$121),"")</f>
        <v>BS016</v>
      </c>
      <c r="D121" t="str">
        <f>IFERROR(IF(0=LEN(ReferenceData!$D$121),"",ReferenceData!$D$121),"")</f>
        <v>BS_COMM_LOAN</v>
      </c>
      <c r="E121" t="str">
        <f>IFERROR(IF(0=LEN(ReferenceData!$E$121),"",ReferenceData!$E$121),"")</f>
        <v>Dynamic</v>
      </c>
      <c r="F121">
        <f ca="1">IFERROR(IF(0=LEN(ReferenceData!$F$121),"",ReferenceData!$F$121),"")</f>
        <v>93329</v>
      </c>
      <c r="G121">
        <f ca="1">IFERROR(IF(0=LEN(ReferenceData!$G$121),"",ReferenceData!$G$121),"")</f>
        <v>90374</v>
      </c>
      <c r="H121">
        <f ca="1">IFERROR(IF(0=LEN(ReferenceData!$H$121),"",ReferenceData!$H$121),"")</f>
        <v>93488</v>
      </c>
      <c r="I121">
        <f ca="1">IFERROR(IF(0=LEN(ReferenceData!$I$121),"",ReferenceData!$I$121),"")</f>
        <v>89745</v>
      </c>
      <c r="J121">
        <f ca="1">IFERROR(IF(0=LEN(ReferenceData!$J$121),"",ReferenceData!$J$121),"")</f>
        <v>94351</v>
      </c>
      <c r="K121">
        <f ca="1">IFERROR(IF(0=LEN(ReferenceData!$K$121),"",ReferenceData!$K$121),"")</f>
        <v>87317</v>
      </c>
      <c r="L121">
        <f ca="1">IFERROR(IF(0=LEN(ReferenceData!$L$121),"",ReferenceData!$L$121),"")</f>
        <v>90427</v>
      </c>
      <c r="M121">
        <f ca="1">IFERROR(IF(0=LEN(ReferenceData!$M$121),"",ReferenceData!$M$121),"")</f>
        <v>91861</v>
      </c>
      <c r="N121">
        <f ca="1">IFERROR(IF(0=LEN(ReferenceData!$N$121),"",ReferenceData!$N$121),"")</f>
        <v>96521</v>
      </c>
      <c r="O121">
        <f ca="1">IFERROR(IF(0=LEN(ReferenceData!$O$121),"",ReferenceData!$O$121),"")</f>
        <v>94934</v>
      </c>
      <c r="P121">
        <f ca="1">IFERROR(IF(0=LEN(ReferenceData!$P$121),"",ReferenceData!$P$121),"")</f>
        <v>96310</v>
      </c>
      <c r="Q121">
        <f ca="1">IFERROR(IF(0=LEN(ReferenceData!$Q$121),"",ReferenceData!$Q$121),"")</f>
        <v>90354</v>
      </c>
      <c r="R121">
        <f ca="1">IFERROR(IF(0=LEN(ReferenceData!$R$121),"",ReferenceData!$R$121),"")</f>
        <v>88106</v>
      </c>
      <c r="S121">
        <f ca="1">IFERROR(IF(0=LEN(ReferenceData!$S$121),"",ReferenceData!$S$121),"")</f>
        <v>80399</v>
      </c>
      <c r="T121">
        <f ca="1">IFERROR(IF(0=LEN(ReferenceData!$T$121),"",ReferenceData!$T$121),"")</f>
        <v>80583</v>
      </c>
      <c r="U121">
        <f ca="1">IFERROR(IF(0=LEN(ReferenceData!$U$121),"",ReferenceData!$U$121),"")</f>
        <v>74936</v>
      </c>
      <c r="V121">
        <f ca="1">IFERROR(IF(0=LEN(ReferenceData!$V$121),"",ReferenceData!$V$121),"")</f>
        <v>73710</v>
      </c>
      <c r="W121">
        <f ca="1">IFERROR(IF(0=LEN(ReferenceData!$W$121),"",ReferenceData!$W$121),"")</f>
        <v>64205</v>
      </c>
      <c r="X121">
        <f ca="1">IFERROR(IF(0=LEN(ReferenceData!$X$121),"",ReferenceData!$X$121),"")</f>
        <v>65755</v>
      </c>
      <c r="Y121">
        <f ca="1">IFERROR(IF(0=LEN(ReferenceData!$Y$121),"",ReferenceData!$Y$121),"")</f>
        <v>69979</v>
      </c>
      <c r="Z121">
        <f ca="1">IFERROR(IF(0=LEN(ReferenceData!$Z$121),"",ReferenceData!$Z$121),"")</f>
        <v>73541</v>
      </c>
      <c r="AA121">
        <f ca="1">IFERROR(IF(0=LEN(ReferenceData!$AA$121),"",ReferenceData!$AA$121),"")</f>
        <v>68359</v>
      </c>
      <c r="AB121">
        <f ca="1">IFERROR(IF(0=LEN(ReferenceData!$AB$121),"",ReferenceData!$AB$121),"")</f>
        <v>68809</v>
      </c>
      <c r="AC121">
        <f ca="1">IFERROR(IF(0=LEN(ReferenceData!$AC$121),"",ReferenceData!$AC$121),"")</f>
        <v>66010</v>
      </c>
      <c r="AD121">
        <f ca="1">IFERROR(IF(0=LEN(ReferenceData!$AD$121),"",ReferenceData!$AD$121),"")</f>
        <v>64059</v>
      </c>
      <c r="AE121">
        <f ca="1">IFERROR(IF(0=LEN(ReferenceData!$AE$121),"",ReferenceData!$AE$121),"")</f>
        <v>59802</v>
      </c>
      <c r="AF121">
        <f ca="1">IFERROR(IF(0=LEN(ReferenceData!$AF$121),"",ReferenceData!$AF$121),"")</f>
        <v>60105</v>
      </c>
      <c r="AG121">
        <f ca="1">IFERROR(IF(0=LEN(ReferenceData!$AG$121),"",ReferenceData!$AG$121),"")</f>
        <v>56972</v>
      </c>
      <c r="AH121">
        <f ca="1">IFERROR(IF(0=LEN(ReferenceData!$AH$121),"",ReferenceData!$AH$121),"")</f>
        <v>57798</v>
      </c>
      <c r="AI121">
        <f ca="1">IFERROR(IF(0=LEN(ReferenceData!$AI$121),"",ReferenceData!$AI$121),"")</f>
        <v>49541</v>
      </c>
      <c r="AJ121">
        <f ca="1">IFERROR(IF(0=LEN(ReferenceData!$AJ$121),"",ReferenceData!$AJ$121),"")</f>
        <v>49415</v>
      </c>
      <c r="AK121">
        <f ca="1">IFERROR(IF(0=LEN(ReferenceData!$AK$121),"",ReferenceData!$AK$121),"")</f>
        <v>48357</v>
      </c>
      <c r="AL121">
        <f ca="1">IFERROR(IF(0=LEN(ReferenceData!$AL$121),"",ReferenceData!$AL$121),"")</f>
        <v>49080</v>
      </c>
      <c r="AM121">
        <f ca="1">IFERROR(IF(0=LEN(ReferenceData!$AM$121),"",ReferenceData!$AM$121),"")</f>
        <v>23527</v>
      </c>
      <c r="AN121">
        <f ca="1">IFERROR(IF(0=LEN(ReferenceData!$AN$121),"",ReferenceData!$AN$121),"")</f>
        <v>25143</v>
      </c>
      <c r="AO121">
        <f ca="1">IFERROR(IF(0=LEN(ReferenceData!$AO$121),"",ReferenceData!$AO$121),"")</f>
        <v>22658</v>
      </c>
      <c r="AP121">
        <f ca="1">IFERROR(IF(0=LEN(ReferenceData!$AP$121),"",ReferenceData!$AP$121),"")</f>
        <v>81817</v>
      </c>
      <c r="AQ121" t="str">
        <f ca="1">IFERROR(IF(0=LEN(ReferenceData!$AQ$121),"",ReferenceData!$AQ$121),"")</f>
        <v/>
      </c>
      <c r="AR121" t="str">
        <f ca="1">IFERROR(IF(0=LEN(ReferenceData!$AR$121),"",ReferenceData!$AR$121),"")</f>
        <v/>
      </c>
      <c r="AS121" t="str">
        <f ca="1">IFERROR(IF(0=LEN(ReferenceData!$AS$121),"",ReferenceData!$AS$121),"")</f>
        <v/>
      </c>
      <c r="AT121">
        <f ca="1">IFERROR(IF(0=LEN(ReferenceData!$AT$121),"",ReferenceData!$AT$121),"")</f>
        <v>328138</v>
      </c>
      <c r="AU121" t="str">
        <f ca="1">IFERROR(IF(0=LEN(ReferenceData!$AU$121),"",ReferenceData!$AU$121),"")</f>
        <v/>
      </c>
      <c r="AV121" t="str">
        <f ca="1">IFERROR(IF(0=LEN(ReferenceData!$AV$121),"",ReferenceData!$AV$121),"")</f>
        <v/>
      </c>
      <c r="AW121" t="str">
        <f ca="1">IFERROR(IF(0=LEN(ReferenceData!$AW$121),"",ReferenceData!$AW$121),"")</f>
        <v/>
      </c>
      <c r="AX121">
        <f ca="1">IFERROR(IF(0=LEN(ReferenceData!$AX$121),"",ReferenceData!$AX$121),"")</f>
        <v>287933</v>
      </c>
      <c r="AY121" t="str">
        <f ca="1">IFERROR(IF(0=LEN(ReferenceData!$AY$121),"",ReferenceData!$AY$121),"")</f>
        <v/>
      </c>
      <c r="AZ121" t="str">
        <f ca="1">IFERROR(IF(0=LEN(ReferenceData!$AZ$121),"",ReferenceData!$AZ$121),"")</f>
        <v/>
      </c>
      <c r="BA121" t="str">
        <f ca="1">IFERROR(IF(0=LEN(ReferenceData!$BA$121),"",ReferenceData!$BA$121),"")</f>
        <v/>
      </c>
      <c r="BB121">
        <f ca="1">IFERROR(IF(0=LEN(ReferenceData!$BB$121),"",ReferenceData!$BB$121),"")</f>
        <v>311750</v>
      </c>
      <c r="BC121" t="str">
        <f ca="1">IFERROR(IF(0=LEN(ReferenceData!$BC$121),"",ReferenceData!$BC$121),"")</f>
        <v/>
      </c>
      <c r="BD121" t="str">
        <f ca="1">IFERROR(IF(0=LEN(ReferenceData!$BD$121),"",ReferenceData!$BD$121),"")</f>
        <v/>
      </c>
      <c r="BE121" t="str">
        <f ca="1">IFERROR(IF(0=LEN(ReferenceData!$BE$121),"",ReferenceData!$BE$121),"")</f>
        <v/>
      </c>
      <c r="BF121">
        <f ca="1">IFERROR(IF(0=LEN(ReferenceData!$BF$121),"",ReferenceData!$BF$121),"")</f>
        <v>333199</v>
      </c>
      <c r="BG121" t="str">
        <f ca="1">IFERROR(IF(0=LEN(ReferenceData!$BG$121),"",ReferenceData!$BG$121),"")</f>
        <v/>
      </c>
      <c r="BH121" t="str">
        <f ca="1">IFERROR(IF(0=LEN(ReferenceData!$BH$121),"",ReferenceData!$BH$121),"")</f>
        <v/>
      </c>
      <c r="BI121" t="str">
        <f ca="1">IFERROR(IF(0=LEN(ReferenceData!$BI$121),"",ReferenceData!$BI$121),"")</f>
        <v/>
      </c>
      <c r="BJ121">
        <f ca="1">IFERROR(IF(0=LEN(ReferenceData!$BJ$121),"",ReferenceData!$BJ$121),"")</f>
        <v>330301.89</v>
      </c>
      <c r="BK121" t="str">
        <f ca="1">IFERROR(IF(0=LEN(ReferenceData!$BK$121),"",ReferenceData!$BK$121),"")</f>
        <v/>
      </c>
      <c r="BL121" t="str">
        <f ca="1">IFERROR(IF(0=LEN(ReferenceData!$BL$121),"",ReferenceData!$BL$121),"")</f>
        <v/>
      </c>
      <c r="BM121" t="str">
        <f ca="1">IFERROR(IF(0=LEN(ReferenceData!$BM$121),"",ReferenceData!$BM$121),"")</f>
        <v/>
      </c>
    </row>
    <row r="122" spans="1:65" x14ac:dyDescent="0.25">
      <c r="A122" t="str">
        <f>IFERROR(IF(0=LEN(ReferenceData!$A$122),"",ReferenceData!$A$122),"")</f>
        <v xml:space="preserve">    Barclays PLC</v>
      </c>
      <c r="B122" t="str">
        <f>IFERROR(IF(0=LEN(ReferenceData!$B$122),"",ReferenceData!$B$122),"")</f>
        <v>BARC LN Equity</v>
      </c>
      <c r="C122" t="str">
        <f>IFERROR(IF(0=LEN(ReferenceData!$C$122),"",ReferenceData!$C$122),"")</f>
        <v>BS016</v>
      </c>
      <c r="D122" t="str">
        <f>IFERROR(IF(0=LEN(ReferenceData!$D$122),"",ReferenceData!$D$122),"")</f>
        <v>BS_COMM_LOAN</v>
      </c>
      <c r="E122" t="str">
        <f>IFERROR(IF(0=LEN(ReferenceData!$E$122),"",ReferenceData!$E$122),"")</f>
        <v>Dynamic</v>
      </c>
      <c r="F122">
        <f ca="1">IFERROR(IF(0=LEN(ReferenceData!$F$122),"",ReferenceData!$F$122),"")</f>
        <v>146069.11300000001</v>
      </c>
      <c r="G122">
        <f ca="1">IFERROR(IF(0=LEN(ReferenceData!$G$122),"",ReferenceData!$G$122),"")</f>
        <v>150923.97579999999</v>
      </c>
      <c r="H122">
        <f ca="1">IFERROR(IF(0=LEN(ReferenceData!$H$122),"",ReferenceData!$H$122),"")</f>
        <v>152122.8046</v>
      </c>
      <c r="I122">
        <f ca="1">IFERROR(IF(0=LEN(ReferenceData!$I$122),"",ReferenceData!$I$122),"")</f>
        <v>149948.61989999999</v>
      </c>
      <c r="J122">
        <f ca="1">IFERROR(IF(0=LEN(ReferenceData!$J$122),"",ReferenceData!$J$122),"")</f>
        <v>126494.8959</v>
      </c>
      <c r="K122">
        <f ca="1">IFERROR(IF(0=LEN(ReferenceData!$K$122),"",ReferenceData!$K$122),"")</f>
        <v>151192.6226</v>
      </c>
      <c r="L122">
        <f ca="1">IFERROR(IF(0=LEN(ReferenceData!$L$122),"",ReferenceData!$L$122),"")</f>
        <v>143727.60399999999</v>
      </c>
      <c r="M122">
        <f ca="1">IFERROR(IF(0=LEN(ReferenceData!$M$122),"",ReferenceData!$M$122),"")</f>
        <v>202854.15729999999</v>
      </c>
      <c r="N122">
        <f ca="1">IFERROR(IF(0=LEN(ReferenceData!$N$122),"",ReferenceData!$N$122),"")</f>
        <v>145669.58850000001</v>
      </c>
      <c r="O122">
        <f ca="1">IFERROR(IF(0=LEN(ReferenceData!$O$122),"",ReferenceData!$O$122),"")</f>
        <v>214763.52499999999</v>
      </c>
      <c r="P122">
        <f ca="1">IFERROR(IF(0=LEN(ReferenceData!$P$122),"",ReferenceData!$P$122),"")</f>
        <v>204192.13219999999</v>
      </c>
      <c r="Q122" t="str">
        <f ca="1">IFERROR(IF(0=LEN(ReferenceData!$Q$122),"",ReferenceData!$Q$122),"")</f>
        <v/>
      </c>
      <c r="R122">
        <f ca="1">IFERROR(IF(0=LEN(ReferenceData!$R$122),"",ReferenceData!$R$122),"")</f>
        <v>128606.2748</v>
      </c>
      <c r="S122">
        <f ca="1">IFERROR(IF(0=LEN(ReferenceData!$S$122),"",ReferenceData!$S$122),"")</f>
        <v>167687.22870000001</v>
      </c>
      <c r="T122">
        <f ca="1">IFERROR(IF(0=LEN(ReferenceData!$T$122),"",ReferenceData!$T$122),"")</f>
        <v>166773.9725</v>
      </c>
      <c r="U122" t="str">
        <f ca="1">IFERROR(IF(0=LEN(ReferenceData!$U$122),"",ReferenceData!$U$122),"")</f>
        <v/>
      </c>
      <c r="V122">
        <f ca="1">IFERROR(IF(0=LEN(ReferenceData!$V$122),"",ReferenceData!$V$122),"")</f>
        <v>113106.21189999999</v>
      </c>
      <c r="W122">
        <f ca="1">IFERROR(IF(0=LEN(ReferenceData!$W$122),"",ReferenceData!$W$122),"")</f>
        <v>158230.79240000001</v>
      </c>
      <c r="X122">
        <f ca="1">IFERROR(IF(0=LEN(ReferenceData!$X$122),"",ReferenceData!$X$122),"")</f>
        <v>167895.48629999999</v>
      </c>
      <c r="Y122" t="str">
        <f ca="1">IFERROR(IF(0=LEN(ReferenceData!$Y$122),"",ReferenceData!$Y$122),"")</f>
        <v/>
      </c>
      <c r="Z122">
        <f ca="1">IFERROR(IF(0=LEN(ReferenceData!$Z$122),"",ReferenceData!$Z$122),"")</f>
        <v>111604.56020000001</v>
      </c>
      <c r="AA122">
        <f ca="1">IFERROR(IF(0=LEN(ReferenceData!$AA$122),"",ReferenceData!$AA$122),"")</f>
        <v>152239.092</v>
      </c>
      <c r="AB122">
        <f ca="1">IFERROR(IF(0=LEN(ReferenceData!$AB$122),"",ReferenceData!$AB$122),"")</f>
        <v>145814.2403</v>
      </c>
      <c r="AC122" t="str">
        <f ca="1">IFERROR(IF(0=LEN(ReferenceData!$AC$122),"",ReferenceData!$AC$122),"")</f>
        <v/>
      </c>
      <c r="AD122">
        <f ca="1">IFERROR(IF(0=LEN(ReferenceData!$AD$122),"",ReferenceData!$AD$122),"")</f>
        <v>108306.4972</v>
      </c>
      <c r="AE122">
        <f ca="1">IFERROR(IF(0=LEN(ReferenceData!$AE$122),"",ReferenceData!$AE$122),"")</f>
        <v>140634.39920000001</v>
      </c>
      <c r="AF122">
        <f ca="1">IFERROR(IF(0=LEN(ReferenceData!$AF$122),"",ReferenceData!$AF$122),"")</f>
        <v>135509.39679999999</v>
      </c>
      <c r="AG122" t="str">
        <f ca="1">IFERROR(IF(0=LEN(ReferenceData!$AG$122),"",ReferenceData!$AG$122),"")</f>
        <v/>
      </c>
      <c r="AH122">
        <f ca="1">IFERROR(IF(0=LEN(ReferenceData!$AH$122),"",ReferenceData!$AH$122),"")</f>
        <v>165270.2096</v>
      </c>
      <c r="AI122" t="str">
        <f ca="1">IFERROR(IF(0=LEN(ReferenceData!$AI$122),"",ReferenceData!$AI$122),"")</f>
        <v/>
      </c>
      <c r="AJ122">
        <f ca="1">IFERROR(IF(0=LEN(ReferenceData!$AJ$122),"",ReferenceData!$AJ$122),"")</f>
        <v>138376.26149999999</v>
      </c>
      <c r="AK122" t="str">
        <f ca="1">IFERROR(IF(0=LEN(ReferenceData!$AK$122),"",ReferenceData!$AK$122),"")</f>
        <v/>
      </c>
      <c r="AL122">
        <f ca="1">IFERROR(IF(0=LEN(ReferenceData!$AL$122),"",ReferenceData!$AL$122),"")</f>
        <v>199610.46840000001</v>
      </c>
      <c r="AM122" t="str">
        <f ca="1">IFERROR(IF(0=LEN(ReferenceData!$AM$122),"",ReferenceData!$AM$122),"")</f>
        <v/>
      </c>
      <c r="AN122">
        <f ca="1">IFERROR(IF(0=LEN(ReferenceData!$AN$122),"",ReferenceData!$AN$122),"")</f>
        <v>169486.0287</v>
      </c>
      <c r="AO122" t="str">
        <f ca="1">IFERROR(IF(0=LEN(ReferenceData!$AO$122),"",ReferenceData!$AO$122),"")</f>
        <v/>
      </c>
      <c r="AP122">
        <f ca="1">IFERROR(IF(0=LEN(ReferenceData!$AP$122),"",ReferenceData!$AP$122),"")</f>
        <v>222170.7127</v>
      </c>
      <c r="AQ122" t="str">
        <f ca="1">IFERROR(IF(0=LEN(ReferenceData!$AQ$122),"",ReferenceData!$AQ$122),"")</f>
        <v/>
      </c>
      <c r="AR122">
        <f ca="1">IFERROR(IF(0=LEN(ReferenceData!$AR$122),"",ReferenceData!$AR$122),"")</f>
        <v>176678.89809999999</v>
      </c>
      <c r="AS122" t="str">
        <f ca="1">IFERROR(IF(0=LEN(ReferenceData!$AS$122),"",ReferenceData!$AS$122),"")</f>
        <v/>
      </c>
      <c r="AT122">
        <f ca="1">IFERROR(IF(0=LEN(ReferenceData!$AT$122),"",ReferenceData!$AT$122),"")</f>
        <v>234518.516</v>
      </c>
      <c r="AU122" t="str">
        <f ca="1">IFERROR(IF(0=LEN(ReferenceData!$AU$122),"",ReferenceData!$AU$122),"")</f>
        <v/>
      </c>
      <c r="AV122">
        <f ca="1">IFERROR(IF(0=LEN(ReferenceData!$AV$122),"",ReferenceData!$AV$122),"")</f>
        <v>157791.87160000001</v>
      </c>
      <c r="AW122" t="str">
        <f ca="1">IFERROR(IF(0=LEN(ReferenceData!$AW$122),"",ReferenceData!$AW$122),"")</f>
        <v/>
      </c>
      <c r="AX122">
        <f ca="1">IFERROR(IF(0=LEN(ReferenceData!$AX$122),"",ReferenceData!$AX$122),"")</f>
        <v>213666.43950000001</v>
      </c>
      <c r="AY122" t="str">
        <f ca="1">IFERROR(IF(0=LEN(ReferenceData!$AY$122),"",ReferenceData!$AY$122),"")</f>
        <v/>
      </c>
      <c r="AZ122">
        <f ca="1">IFERROR(IF(0=LEN(ReferenceData!$AZ$122),"",ReferenceData!$AZ$122),"")</f>
        <v>241333.4944</v>
      </c>
      <c r="BA122" t="str">
        <f ca="1">IFERROR(IF(0=LEN(ReferenceData!$BA$122),"",ReferenceData!$BA$122),"")</f>
        <v/>
      </c>
      <c r="BB122">
        <f ca="1">IFERROR(IF(0=LEN(ReferenceData!$BB$122),"",ReferenceData!$BB$122),"")</f>
        <v>209350.35870000001</v>
      </c>
      <c r="BC122" t="str">
        <f ca="1">IFERROR(IF(0=LEN(ReferenceData!$BC$122),"",ReferenceData!$BC$122),"")</f>
        <v/>
      </c>
      <c r="BD122">
        <f ca="1">IFERROR(IF(0=LEN(ReferenceData!$BD$122),"",ReferenceData!$BD$122),"")</f>
        <v>244596.31030000001</v>
      </c>
      <c r="BE122" t="str">
        <f ca="1">IFERROR(IF(0=LEN(ReferenceData!$BE$122),"",ReferenceData!$BE$122),"")</f>
        <v/>
      </c>
      <c r="BF122">
        <f ca="1">IFERROR(IF(0=LEN(ReferenceData!$BF$122),"",ReferenceData!$BF$122),"")</f>
        <v>216820.8461</v>
      </c>
      <c r="BG122" t="str">
        <f ca="1">IFERROR(IF(0=LEN(ReferenceData!$BG$122),"",ReferenceData!$BG$122),"")</f>
        <v/>
      </c>
      <c r="BH122">
        <f ca="1">IFERROR(IF(0=LEN(ReferenceData!$BH$122),"",ReferenceData!$BH$122),"")</f>
        <v>203088.65169999999</v>
      </c>
      <c r="BI122" t="str">
        <f ca="1">IFERROR(IF(0=LEN(ReferenceData!$BI$122),"",ReferenceData!$BI$122),"")</f>
        <v/>
      </c>
      <c r="BJ122">
        <f ca="1">IFERROR(IF(0=LEN(ReferenceData!$BJ$122),"",ReferenceData!$BJ$122),"")</f>
        <v>268666.54759999999</v>
      </c>
      <c r="BK122" t="str">
        <f ca="1">IFERROR(IF(0=LEN(ReferenceData!$BK$122),"",ReferenceData!$BK$122),"")</f>
        <v/>
      </c>
      <c r="BL122">
        <f ca="1">IFERROR(IF(0=LEN(ReferenceData!$BL$122),"",ReferenceData!$BL$122),"")</f>
        <v>284403.2071</v>
      </c>
      <c r="BM122" t="str">
        <f ca="1">IFERROR(IF(0=LEN(ReferenceData!$BM$122),"",ReferenceData!$BM$122),"")</f>
        <v/>
      </c>
    </row>
    <row r="123" spans="1:65" x14ac:dyDescent="0.25">
      <c r="A123" t="str">
        <f>IFERROR(IF(0=LEN(ReferenceData!$A$123),"",ReferenceData!$A$123),"")</f>
        <v xml:space="preserve">    BAWAG Group AG</v>
      </c>
      <c r="B123" t="str">
        <f>IFERROR(IF(0=LEN(ReferenceData!$B$123),"",ReferenceData!$B$123),"")</f>
        <v>BG AV Equity</v>
      </c>
      <c r="C123" t="str">
        <f>IFERROR(IF(0=LEN(ReferenceData!$C$123),"",ReferenceData!$C$123),"")</f>
        <v>BS016</v>
      </c>
      <c r="D123" t="str">
        <f>IFERROR(IF(0=LEN(ReferenceData!$D$123),"",ReferenceData!$D$123),"")</f>
        <v>BS_COMM_LOAN</v>
      </c>
      <c r="E123" t="str">
        <f>IFERROR(IF(0=LEN(ReferenceData!$E$123),"",ReferenceData!$E$123),"")</f>
        <v>Dynamic</v>
      </c>
      <c r="F123" t="str">
        <f ca="1">IFERROR(IF(0=LEN(ReferenceData!$F$123),"",ReferenceData!$F$123),"")</f>
        <v/>
      </c>
      <c r="G123" t="str">
        <f ca="1">IFERROR(IF(0=LEN(ReferenceData!$G$123),"",ReferenceData!$G$123),"")</f>
        <v/>
      </c>
      <c r="H123" t="str">
        <f ca="1">IFERROR(IF(0=LEN(ReferenceData!$H$123),"",ReferenceData!$H$123),"")</f>
        <v/>
      </c>
      <c r="I123" t="str">
        <f ca="1">IFERROR(IF(0=LEN(ReferenceData!$I$123),"",ReferenceData!$I$123),"")</f>
        <v/>
      </c>
      <c r="J123" t="str">
        <f ca="1">IFERROR(IF(0=LEN(ReferenceData!$J$123),"",ReferenceData!$J$123),"")</f>
        <v/>
      </c>
      <c r="K123" t="str">
        <f ca="1">IFERROR(IF(0=LEN(ReferenceData!$K$123),"",ReferenceData!$K$123),"")</f>
        <v/>
      </c>
      <c r="L123" t="str">
        <f ca="1">IFERROR(IF(0=LEN(ReferenceData!$L$123),"",ReferenceData!$L$123),"")</f>
        <v/>
      </c>
      <c r="M123" t="str">
        <f ca="1">IFERROR(IF(0=LEN(ReferenceData!$M$123),"",ReferenceData!$M$123),"")</f>
        <v/>
      </c>
      <c r="N123" t="str">
        <f ca="1">IFERROR(IF(0=LEN(ReferenceData!$N$123),"",ReferenceData!$N$123),"")</f>
        <v/>
      </c>
      <c r="O123" t="str">
        <f ca="1">IFERROR(IF(0=LEN(ReferenceData!$O$123),"",ReferenceData!$O$123),"")</f>
        <v/>
      </c>
      <c r="P123" t="str">
        <f ca="1">IFERROR(IF(0=LEN(ReferenceData!$P$123),"",ReferenceData!$P$123),"")</f>
        <v/>
      </c>
      <c r="Q123" t="str">
        <f ca="1">IFERROR(IF(0=LEN(ReferenceData!$Q$123),"",ReferenceData!$Q$123),"")</f>
        <v/>
      </c>
      <c r="R123" t="str">
        <f ca="1">IFERROR(IF(0=LEN(ReferenceData!$R$123),"",ReferenceData!$R$123),"")</f>
        <v/>
      </c>
      <c r="S123" t="str">
        <f ca="1">IFERROR(IF(0=LEN(ReferenceData!$S$123),"",ReferenceData!$S$123),"")</f>
        <v/>
      </c>
      <c r="T123" t="str">
        <f ca="1">IFERROR(IF(0=LEN(ReferenceData!$T$123),"",ReferenceData!$T$123),"")</f>
        <v/>
      </c>
      <c r="U123" t="str">
        <f ca="1">IFERROR(IF(0=LEN(ReferenceData!$U$123),"",ReferenceData!$U$123),"")</f>
        <v/>
      </c>
      <c r="V123" t="str">
        <f ca="1">IFERROR(IF(0=LEN(ReferenceData!$V$123),"",ReferenceData!$V$123),"")</f>
        <v/>
      </c>
      <c r="W123" t="str">
        <f ca="1">IFERROR(IF(0=LEN(ReferenceData!$W$123),"",ReferenceData!$W$123),"")</f>
        <v/>
      </c>
      <c r="X123" t="str">
        <f ca="1">IFERROR(IF(0=LEN(ReferenceData!$X$123),"",ReferenceData!$X$123),"")</f>
        <v/>
      </c>
      <c r="Y123" t="str">
        <f ca="1">IFERROR(IF(0=LEN(ReferenceData!$Y$123),"",ReferenceData!$Y$123),"")</f>
        <v/>
      </c>
      <c r="Z123" t="str">
        <f ca="1">IFERROR(IF(0=LEN(ReferenceData!$Z$123),"",ReferenceData!$Z$123),"")</f>
        <v/>
      </c>
      <c r="AA123" t="str">
        <f ca="1">IFERROR(IF(0=LEN(ReferenceData!$AA$123),"",ReferenceData!$AA$123),"")</f>
        <v/>
      </c>
      <c r="AB123" t="str">
        <f ca="1">IFERROR(IF(0=LEN(ReferenceData!$AB$123),"",ReferenceData!$AB$123),"")</f>
        <v/>
      </c>
      <c r="AC123" t="str">
        <f ca="1">IFERROR(IF(0=LEN(ReferenceData!$AC$123),"",ReferenceData!$AC$123),"")</f>
        <v/>
      </c>
      <c r="AD123" t="str">
        <f ca="1">IFERROR(IF(0=LEN(ReferenceData!$AD$123),"",ReferenceData!$AD$123),"")</f>
        <v/>
      </c>
      <c r="AE123" t="str">
        <f ca="1">IFERROR(IF(0=LEN(ReferenceData!$AE$123),"",ReferenceData!$AE$123),"")</f>
        <v/>
      </c>
      <c r="AF123" t="str">
        <f ca="1">IFERROR(IF(0=LEN(ReferenceData!$AF$123),"",ReferenceData!$AF$123),"")</f>
        <v/>
      </c>
      <c r="AG123" t="str">
        <f ca="1">IFERROR(IF(0=LEN(ReferenceData!$AG$123),"",ReferenceData!$AG$123),"")</f>
        <v/>
      </c>
      <c r="AH123" t="str">
        <f ca="1">IFERROR(IF(0=LEN(ReferenceData!$AH$123),"",ReferenceData!$AH$123),"")</f>
        <v/>
      </c>
      <c r="AI123" t="str">
        <f ca="1">IFERROR(IF(0=LEN(ReferenceData!$AI$123),"",ReferenceData!$AI$123),"")</f>
        <v/>
      </c>
      <c r="AJ123" t="str">
        <f ca="1">IFERROR(IF(0=LEN(ReferenceData!$AJ$123),"",ReferenceData!$AJ$123),"")</f>
        <v/>
      </c>
      <c r="AK123" t="str">
        <f ca="1">IFERROR(IF(0=LEN(ReferenceData!$AK$123),"",ReferenceData!$AK$123),"")</f>
        <v/>
      </c>
      <c r="AL123" t="str">
        <f ca="1">IFERROR(IF(0=LEN(ReferenceData!$AL$123),"",ReferenceData!$AL$123),"")</f>
        <v/>
      </c>
      <c r="AM123" t="str">
        <f ca="1">IFERROR(IF(0=LEN(ReferenceData!$AM$123),"",ReferenceData!$AM$123),"")</f>
        <v/>
      </c>
      <c r="AN123" t="str">
        <f ca="1">IFERROR(IF(0=LEN(ReferenceData!$AN$123),"",ReferenceData!$AN$123),"")</f>
        <v/>
      </c>
      <c r="AO123" t="str">
        <f ca="1">IFERROR(IF(0=LEN(ReferenceData!$AO$123),"",ReferenceData!$AO$123),"")</f>
        <v/>
      </c>
      <c r="AP123" t="str">
        <f ca="1">IFERROR(IF(0=LEN(ReferenceData!$AP$123),"",ReferenceData!$AP$123),"")</f>
        <v/>
      </c>
      <c r="AQ123" t="str">
        <f ca="1">IFERROR(IF(0=LEN(ReferenceData!$AQ$123),"",ReferenceData!$AQ$123),"")</f>
        <v/>
      </c>
      <c r="AR123" t="str">
        <f ca="1">IFERROR(IF(0=LEN(ReferenceData!$AR$123),"",ReferenceData!$AR$123),"")</f>
        <v/>
      </c>
      <c r="AS123" t="str">
        <f ca="1">IFERROR(IF(0=LEN(ReferenceData!$AS$123),"",ReferenceData!$AS$123),"")</f>
        <v/>
      </c>
      <c r="AT123" t="str">
        <f ca="1">IFERROR(IF(0=LEN(ReferenceData!$AT$123),"",ReferenceData!$AT$123),"")</f>
        <v/>
      </c>
      <c r="AU123" t="str">
        <f ca="1">IFERROR(IF(0=LEN(ReferenceData!$AU$123),"",ReferenceData!$AU$123),"")</f>
        <v/>
      </c>
      <c r="AV123" t="str">
        <f ca="1">IFERROR(IF(0=LEN(ReferenceData!$AV$123),"",ReferenceData!$AV$123),"")</f>
        <v/>
      </c>
      <c r="AW123" t="str">
        <f ca="1">IFERROR(IF(0=LEN(ReferenceData!$AW$123),"",ReferenceData!$AW$123),"")</f>
        <v/>
      </c>
      <c r="AX123" t="str">
        <f ca="1">IFERROR(IF(0=LEN(ReferenceData!$AX$123),"",ReferenceData!$AX$123),"")</f>
        <v/>
      </c>
      <c r="AY123" t="str">
        <f ca="1">IFERROR(IF(0=LEN(ReferenceData!$AY$123),"",ReferenceData!$AY$123),"")</f>
        <v/>
      </c>
      <c r="AZ123" t="str">
        <f ca="1">IFERROR(IF(0=LEN(ReferenceData!$AZ$123),"",ReferenceData!$AZ$123),"")</f>
        <v/>
      </c>
      <c r="BA123" t="str">
        <f ca="1">IFERROR(IF(0=LEN(ReferenceData!$BA$123),"",ReferenceData!$BA$123),"")</f>
        <v/>
      </c>
      <c r="BB123" t="str">
        <f ca="1">IFERROR(IF(0=LEN(ReferenceData!$BB$123),"",ReferenceData!$BB$123),"")</f>
        <v/>
      </c>
      <c r="BC123" t="str">
        <f ca="1">IFERROR(IF(0=LEN(ReferenceData!$BC$123),"",ReferenceData!$BC$123),"")</f>
        <v/>
      </c>
      <c r="BD123" t="str">
        <f ca="1">IFERROR(IF(0=LEN(ReferenceData!$BD$123),"",ReferenceData!$BD$123),"")</f>
        <v/>
      </c>
      <c r="BE123" t="str">
        <f ca="1">IFERROR(IF(0=LEN(ReferenceData!$BE$123),"",ReferenceData!$BE$123),"")</f>
        <v/>
      </c>
      <c r="BF123" t="str">
        <f ca="1">IFERROR(IF(0=LEN(ReferenceData!$BF$123),"",ReferenceData!$BF$123),"")</f>
        <v/>
      </c>
      <c r="BG123" t="str">
        <f ca="1">IFERROR(IF(0=LEN(ReferenceData!$BG$123),"",ReferenceData!$BG$123),"")</f>
        <v/>
      </c>
      <c r="BH123" t="str">
        <f ca="1">IFERROR(IF(0=LEN(ReferenceData!$BH$123),"",ReferenceData!$BH$123),"")</f>
        <v/>
      </c>
      <c r="BI123" t="str">
        <f ca="1">IFERROR(IF(0=LEN(ReferenceData!$BI$123),"",ReferenceData!$BI$123),"")</f>
        <v/>
      </c>
      <c r="BJ123" t="str">
        <f ca="1">IFERROR(IF(0=LEN(ReferenceData!$BJ$123),"",ReferenceData!$BJ$123),"")</f>
        <v/>
      </c>
      <c r="BK123" t="str">
        <f ca="1">IFERROR(IF(0=LEN(ReferenceData!$BK$123),"",ReferenceData!$BK$123),"")</f>
        <v/>
      </c>
      <c r="BL123" t="str">
        <f ca="1">IFERROR(IF(0=LEN(ReferenceData!$BL$123),"",ReferenceData!$BL$123),"")</f>
        <v/>
      </c>
      <c r="BM123" t="str">
        <f ca="1">IFERROR(IF(0=LEN(ReferenceData!$BM$123),"",ReferenceData!$BM$123),"")</f>
        <v/>
      </c>
    </row>
    <row r="124" spans="1:65" x14ac:dyDescent="0.25">
      <c r="A124" t="str">
        <f>IFERROR(IF(0=LEN(ReferenceData!$A$124),"",ReferenceData!$A$124),"")</f>
        <v xml:space="preserve">    BNP Paribas SA</v>
      </c>
      <c r="B124" t="str">
        <f>IFERROR(IF(0=LEN(ReferenceData!$B$124),"",ReferenceData!$B$124),"")</f>
        <v>BNP FP Equity</v>
      </c>
      <c r="C124" t="str">
        <f>IFERROR(IF(0=LEN(ReferenceData!$C$124),"",ReferenceData!$C$124),"")</f>
        <v>BS016</v>
      </c>
      <c r="D124" t="str">
        <f>IFERROR(IF(0=LEN(ReferenceData!$D$124),"",ReferenceData!$D$124),"")</f>
        <v>BS_COMM_LOAN</v>
      </c>
      <c r="E124" t="str">
        <f>IFERROR(IF(0=LEN(ReferenceData!$E$124),"",ReferenceData!$E$124),"")</f>
        <v>Dynamic</v>
      </c>
      <c r="F124" t="str">
        <f ca="1">IFERROR(IF(0=LEN(ReferenceData!$F$124),"",ReferenceData!$F$124),"")</f>
        <v/>
      </c>
      <c r="G124" t="str">
        <f ca="1">IFERROR(IF(0=LEN(ReferenceData!$G$124),"",ReferenceData!$G$124),"")</f>
        <v/>
      </c>
      <c r="H124" t="str">
        <f ca="1">IFERROR(IF(0=LEN(ReferenceData!$H$124),"",ReferenceData!$H$124),"")</f>
        <v/>
      </c>
      <c r="I124" t="str">
        <f ca="1">IFERROR(IF(0=LEN(ReferenceData!$I$124),"",ReferenceData!$I$124),"")</f>
        <v/>
      </c>
      <c r="J124" t="str">
        <f ca="1">IFERROR(IF(0=LEN(ReferenceData!$J$124),"",ReferenceData!$J$124),"")</f>
        <v/>
      </c>
      <c r="K124" t="str">
        <f ca="1">IFERROR(IF(0=LEN(ReferenceData!$K$124),"",ReferenceData!$K$124),"")</f>
        <v/>
      </c>
      <c r="L124" t="str">
        <f ca="1">IFERROR(IF(0=LEN(ReferenceData!$L$124),"",ReferenceData!$L$124),"")</f>
        <v/>
      </c>
      <c r="M124" t="str">
        <f ca="1">IFERROR(IF(0=LEN(ReferenceData!$M$124),"",ReferenceData!$M$124),"")</f>
        <v/>
      </c>
      <c r="N124" t="str">
        <f ca="1">IFERROR(IF(0=LEN(ReferenceData!$N$124),"",ReferenceData!$N$124),"")</f>
        <v/>
      </c>
      <c r="O124" t="str">
        <f ca="1">IFERROR(IF(0=LEN(ReferenceData!$O$124),"",ReferenceData!$O$124),"")</f>
        <v/>
      </c>
      <c r="P124" t="str">
        <f ca="1">IFERROR(IF(0=LEN(ReferenceData!$P$124),"",ReferenceData!$P$124),"")</f>
        <v/>
      </c>
      <c r="Q124" t="str">
        <f ca="1">IFERROR(IF(0=LEN(ReferenceData!$Q$124),"",ReferenceData!$Q$124),"")</f>
        <v/>
      </c>
      <c r="R124" t="str">
        <f ca="1">IFERROR(IF(0=LEN(ReferenceData!$R$124),"",ReferenceData!$R$124),"")</f>
        <v/>
      </c>
      <c r="S124" t="str">
        <f ca="1">IFERROR(IF(0=LEN(ReferenceData!$S$124),"",ReferenceData!$S$124),"")</f>
        <v/>
      </c>
      <c r="T124" t="str">
        <f ca="1">IFERROR(IF(0=LEN(ReferenceData!$T$124),"",ReferenceData!$T$124),"")</f>
        <v/>
      </c>
      <c r="U124" t="str">
        <f ca="1">IFERROR(IF(0=LEN(ReferenceData!$U$124),"",ReferenceData!$U$124),"")</f>
        <v/>
      </c>
      <c r="V124" t="str">
        <f ca="1">IFERROR(IF(0=LEN(ReferenceData!$V$124),"",ReferenceData!$V$124),"")</f>
        <v/>
      </c>
      <c r="W124" t="str">
        <f ca="1">IFERROR(IF(0=LEN(ReferenceData!$W$124),"",ReferenceData!$W$124),"")</f>
        <v/>
      </c>
      <c r="X124" t="str">
        <f ca="1">IFERROR(IF(0=LEN(ReferenceData!$X$124),"",ReferenceData!$X$124),"")</f>
        <v/>
      </c>
      <c r="Y124" t="str">
        <f ca="1">IFERROR(IF(0=LEN(ReferenceData!$Y$124),"",ReferenceData!$Y$124),"")</f>
        <v/>
      </c>
      <c r="Z124" t="str">
        <f ca="1">IFERROR(IF(0=LEN(ReferenceData!$Z$124),"",ReferenceData!$Z$124),"")</f>
        <v/>
      </c>
      <c r="AA124" t="str">
        <f ca="1">IFERROR(IF(0=LEN(ReferenceData!$AA$124),"",ReferenceData!$AA$124),"")</f>
        <v/>
      </c>
      <c r="AB124" t="str">
        <f ca="1">IFERROR(IF(0=LEN(ReferenceData!$AB$124),"",ReferenceData!$AB$124),"")</f>
        <v/>
      </c>
      <c r="AC124" t="str">
        <f ca="1">IFERROR(IF(0=LEN(ReferenceData!$AC$124),"",ReferenceData!$AC$124),"")</f>
        <v/>
      </c>
      <c r="AD124" t="str">
        <f ca="1">IFERROR(IF(0=LEN(ReferenceData!$AD$124),"",ReferenceData!$AD$124),"")</f>
        <v/>
      </c>
      <c r="AE124" t="str">
        <f ca="1">IFERROR(IF(0=LEN(ReferenceData!$AE$124),"",ReferenceData!$AE$124),"")</f>
        <v/>
      </c>
      <c r="AF124" t="str">
        <f ca="1">IFERROR(IF(0=LEN(ReferenceData!$AF$124),"",ReferenceData!$AF$124),"")</f>
        <v/>
      </c>
      <c r="AG124" t="str">
        <f ca="1">IFERROR(IF(0=LEN(ReferenceData!$AG$124),"",ReferenceData!$AG$124),"")</f>
        <v/>
      </c>
      <c r="AH124" t="str">
        <f ca="1">IFERROR(IF(0=LEN(ReferenceData!$AH$124),"",ReferenceData!$AH$124),"")</f>
        <v/>
      </c>
      <c r="AI124" t="str">
        <f ca="1">IFERROR(IF(0=LEN(ReferenceData!$AI$124),"",ReferenceData!$AI$124),"")</f>
        <v/>
      </c>
      <c r="AJ124" t="str">
        <f ca="1">IFERROR(IF(0=LEN(ReferenceData!$AJ$124),"",ReferenceData!$AJ$124),"")</f>
        <v/>
      </c>
      <c r="AK124" t="str">
        <f ca="1">IFERROR(IF(0=LEN(ReferenceData!$AK$124),"",ReferenceData!$AK$124),"")</f>
        <v/>
      </c>
      <c r="AL124" t="str">
        <f ca="1">IFERROR(IF(0=LEN(ReferenceData!$AL$124),"",ReferenceData!$AL$124),"")</f>
        <v/>
      </c>
      <c r="AM124" t="str">
        <f ca="1">IFERROR(IF(0=LEN(ReferenceData!$AM$124),"",ReferenceData!$AM$124),"")</f>
        <v/>
      </c>
      <c r="AN124" t="str">
        <f ca="1">IFERROR(IF(0=LEN(ReferenceData!$AN$124),"",ReferenceData!$AN$124),"")</f>
        <v/>
      </c>
      <c r="AO124" t="str">
        <f ca="1">IFERROR(IF(0=LEN(ReferenceData!$AO$124),"",ReferenceData!$AO$124),"")</f>
        <v/>
      </c>
      <c r="AP124" t="str">
        <f ca="1">IFERROR(IF(0=LEN(ReferenceData!$AP$124),"",ReferenceData!$AP$124),"")</f>
        <v/>
      </c>
      <c r="AQ124" t="str">
        <f ca="1">IFERROR(IF(0=LEN(ReferenceData!$AQ$124),"",ReferenceData!$AQ$124),"")</f>
        <v/>
      </c>
      <c r="AR124" t="str">
        <f ca="1">IFERROR(IF(0=LEN(ReferenceData!$AR$124),"",ReferenceData!$AR$124),"")</f>
        <v/>
      </c>
      <c r="AS124" t="str">
        <f ca="1">IFERROR(IF(0=LEN(ReferenceData!$AS$124),"",ReferenceData!$AS$124),"")</f>
        <v/>
      </c>
      <c r="AT124" t="str">
        <f ca="1">IFERROR(IF(0=LEN(ReferenceData!$AT$124),"",ReferenceData!$AT$124),"")</f>
        <v/>
      </c>
      <c r="AU124" t="str">
        <f ca="1">IFERROR(IF(0=LEN(ReferenceData!$AU$124),"",ReferenceData!$AU$124),"")</f>
        <v/>
      </c>
      <c r="AV124" t="str">
        <f ca="1">IFERROR(IF(0=LEN(ReferenceData!$AV$124),"",ReferenceData!$AV$124),"")</f>
        <v/>
      </c>
      <c r="AW124" t="str">
        <f ca="1">IFERROR(IF(0=LEN(ReferenceData!$AW$124),"",ReferenceData!$AW$124),"")</f>
        <v/>
      </c>
      <c r="AX124" t="str">
        <f ca="1">IFERROR(IF(0=LEN(ReferenceData!$AX$124),"",ReferenceData!$AX$124),"")</f>
        <v/>
      </c>
      <c r="AY124" t="str">
        <f ca="1">IFERROR(IF(0=LEN(ReferenceData!$AY$124),"",ReferenceData!$AY$124),"")</f>
        <v/>
      </c>
      <c r="AZ124" t="str">
        <f ca="1">IFERROR(IF(0=LEN(ReferenceData!$AZ$124),"",ReferenceData!$AZ$124),"")</f>
        <v/>
      </c>
      <c r="BA124" t="str">
        <f ca="1">IFERROR(IF(0=LEN(ReferenceData!$BA$124),"",ReferenceData!$BA$124),"")</f>
        <v/>
      </c>
      <c r="BB124" t="str">
        <f ca="1">IFERROR(IF(0=LEN(ReferenceData!$BB$124),"",ReferenceData!$BB$124),"")</f>
        <v/>
      </c>
      <c r="BC124" t="str">
        <f ca="1">IFERROR(IF(0=LEN(ReferenceData!$BC$124),"",ReferenceData!$BC$124),"")</f>
        <v/>
      </c>
      <c r="BD124" t="str">
        <f ca="1">IFERROR(IF(0=LEN(ReferenceData!$BD$124),"",ReferenceData!$BD$124),"")</f>
        <v/>
      </c>
      <c r="BE124" t="str">
        <f ca="1">IFERROR(IF(0=LEN(ReferenceData!$BE$124),"",ReferenceData!$BE$124),"")</f>
        <v/>
      </c>
      <c r="BF124" t="str">
        <f ca="1">IFERROR(IF(0=LEN(ReferenceData!$BF$124),"",ReferenceData!$BF$124),"")</f>
        <v/>
      </c>
      <c r="BG124" t="str">
        <f ca="1">IFERROR(IF(0=LEN(ReferenceData!$BG$124),"",ReferenceData!$BG$124),"")</f>
        <v/>
      </c>
      <c r="BH124" t="str">
        <f ca="1">IFERROR(IF(0=LEN(ReferenceData!$BH$124),"",ReferenceData!$BH$124),"")</f>
        <v/>
      </c>
      <c r="BI124" t="str">
        <f ca="1">IFERROR(IF(0=LEN(ReferenceData!$BI$124),"",ReferenceData!$BI$124),"")</f>
        <v/>
      </c>
      <c r="BJ124" t="str">
        <f ca="1">IFERROR(IF(0=LEN(ReferenceData!$BJ$124),"",ReferenceData!$BJ$124),"")</f>
        <v/>
      </c>
      <c r="BK124" t="str">
        <f ca="1">IFERROR(IF(0=LEN(ReferenceData!$BK$124),"",ReferenceData!$BK$124),"")</f>
        <v/>
      </c>
      <c r="BL124" t="str">
        <f ca="1">IFERROR(IF(0=LEN(ReferenceData!$BL$124),"",ReferenceData!$BL$124),"")</f>
        <v/>
      </c>
      <c r="BM124" t="str">
        <f ca="1">IFERROR(IF(0=LEN(ReferenceData!$BM$124),"",ReferenceData!$BM$124),"")</f>
        <v/>
      </c>
    </row>
    <row r="125" spans="1:65" x14ac:dyDescent="0.25">
      <c r="A125" t="str">
        <f>IFERROR(IF(0=LEN(ReferenceData!$A$125),"",ReferenceData!$A$125),"")</f>
        <v xml:space="preserve">    Banco BPM SpA</v>
      </c>
      <c r="B125" t="str">
        <f>IFERROR(IF(0=LEN(ReferenceData!$B$125),"",ReferenceData!$B$125),"")</f>
        <v>BAMI IM Equity</v>
      </c>
      <c r="C125" t="str">
        <f>IFERROR(IF(0=LEN(ReferenceData!$C$125),"",ReferenceData!$C$125),"")</f>
        <v>BS016</v>
      </c>
      <c r="D125" t="str">
        <f>IFERROR(IF(0=LEN(ReferenceData!$D$125),"",ReferenceData!$D$125),"")</f>
        <v>BS_COMM_LOAN</v>
      </c>
      <c r="E125" t="str">
        <f>IFERROR(IF(0=LEN(ReferenceData!$E$125),"",ReferenceData!$E$125),"")</f>
        <v>Dynamic</v>
      </c>
      <c r="F125" t="str">
        <f ca="1">IFERROR(IF(0=LEN(ReferenceData!$F$125),"",ReferenceData!$F$125),"")</f>
        <v/>
      </c>
      <c r="G125" t="str">
        <f ca="1">IFERROR(IF(0=LEN(ReferenceData!$G$125),"",ReferenceData!$G$125),"")</f>
        <v/>
      </c>
      <c r="H125" t="str">
        <f ca="1">IFERROR(IF(0=LEN(ReferenceData!$H$125),"",ReferenceData!$H$125),"")</f>
        <v/>
      </c>
      <c r="I125" t="str">
        <f ca="1">IFERROR(IF(0=LEN(ReferenceData!$I$125),"",ReferenceData!$I$125),"")</f>
        <v/>
      </c>
      <c r="J125" t="str">
        <f ca="1">IFERROR(IF(0=LEN(ReferenceData!$J$125),"",ReferenceData!$J$125),"")</f>
        <v/>
      </c>
      <c r="K125" t="str">
        <f ca="1">IFERROR(IF(0=LEN(ReferenceData!$K$125),"",ReferenceData!$K$125),"")</f>
        <v/>
      </c>
      <c r="L125" t="str">
        <f ca="1">IFERROR(IF(0=LEN(ReferenceData!$L$125),"",ReferenceData!$L$125),"")</f>
        <v/>
      </c>
      <c r="M125" t="str">
        <f ca="1">IFERROR(IF(0=LEN(ReferenceData!$M$125),"",ReferenceData!$M$125),"")</f>
        <v/>
      </c>
      <c r="N125" t="str">
        <f ca="1">IFERROR(IF(0=LEN(ReferenceData!$N$125),"",ReferenceData!$N$125),"")</f>
        <v/>
      </c>
      <c r="O125" t="str">
        <f ca="1">IFERROR(IF(0=LEN(ReferenceData!$O$125),"",ReferenceData!$O$125),"")</f>
        <v/>
      </c>
      <c r="P125" t="str">
        <f ca="1">IFERROR(IF(0=LEN(ReferenceData!$P$125),"",ReferenceData!$P$125),"")</f>
        <v/>
      </c>
      <c r="Q125" t="str">
        <f ca="1">IFERROR(IF(0=LEN(ReferenceData!$Q$125),"",ReferenceData!$Q$125),"")</f>
        <v/>
      </c>
      <c r="R125" t="str">
        <f ca="1">IFERROR(IF(0=LEN(ReferenceData!$R$125),"",ReferenceData!$R$125),"")</f>
        <v/>
      </c>
      <c r="S125" t="str">
        <f ca="1">IFERROR(IF(0=LEN(ReferenceData!$S$125),"",ReferenceData!$S$125),"")</f>
        <v/>
      </c>
      <c r="T125" t="str">
        <f ca="1">IFERROR(IF(0=LEN(ReferenceData!$T$125),"",ReferenceData!$T$125),"")</f>
        <v/>
      </c>
      <c r="U125" t="str">
        <f ca="1">IFERROR(IF(0=LEN(ReferenceData!$U$125),"",ReferenceData!$U$125),"")</f>
        <v/>
      </c>
      <c r="V125" t="str">
        <f ca="1">IFERROR(IF(0=LEN(ReferenceData!$V$125),"",ReferenceData!$V$125),"")</f>
        <v/>
      </c>
      <c r="W125" t="str">
        <f ca="1">IFERROR(IF(0=LEN(ReferenceData!$W$125),"",ReferenceData!$W$125),"")</f>
        <v/>
      </c>
      <c r="X125" t="str">
        <f ca="1">IFERROR(IF(0=LEN(ReferenceData!$X$125),"",ReferenceData!$X$125),"")</f>
        <v/>
      </c>
      <c r="Y125" t="str">
        <f ca="1">IFERROR(IF(0=LEN(ReferenceData!$Y$125),"",ReferenceData!$Y$125),"")</f>
        <v/>
      </c>
      <c r="Z125" t="str">
        <f ca="1">IFERROR(IF(0=LEN(ReferenceData!$Z$125),"",ReferenceData!$Z$125),"")</f>
        <v/>
      </c>
      <c r="AA125" t="str">
        <f ca="1">IFERROR(IF(0=LEN(ReferenceData!$AA$125),"",ReferenceData!$AA$125),"")</f>
        <v/>
      </c>
      <c r="AB125" t="str">
        <f ca="1">IFERROR(IF(0=LEN(ReferenceData!$AB$125),"",ReferenceData!$AB$125),"")</f>
        <v/>
      </c>
      <c r="AC125" t="str">
        <f ca="1">IFERROR(IF(0=LEN(ReferenceData!$AC$125),"",ReferenceData!$AC$125),"")</f>
        <v/>
      </c>
      <c r="AD125" t="str">
        <f ca="1">IFERROR(IF(0=LEN(ReferenceData!$AD$125),"",ReferenceData!$AD$125),"")</f>
        <v/>
      </c>
      <c r="AE125" t="str">
        <f ca="1">IFERROR(IF(0=LEN(ReferenceData!$AE$125),"",ReferenceData!$AE$125),"")</f>
        <v/>
      </c>
      <c r="AF125" t="str">
        <f ca="1">IFERROR(IF(0=LEN(ReferenceData!$AF$125),"",ReferenceData!$AF$125),"")</f>
        <v/>
      </c>
      <c r="AG125" t="str">
        <f ca="1">IFERROR(IF(0=LEN(ReferenceData!$AG$125),"",ReferenceData!$AG$125),"")</f>
        <v/>
      </c>
      <c r="AH125" t="str">
        <f ca="1">IFERROR(IF(0=LEN(ReferenceData!$AH$125),"",ReferenceData!$AH$125),"")</f>
        <v/>
      </c>
      <c r="AI125" t="str">
        <f ca="1">IFERROR(IF(0=LEN(ReferenceData!$AI$125),"",ReferenceData!$AI$125),"")</f>
        <v/>
      </c>
      <c r="AJ125" t="str">
        <f ca="1">IFERROR(IF(0=LEN(ReferenceData!$AJ$125),"",ReferenceData!$AJ$125),"")</f>
        <v/>
      </c>
      <c r="AK125" t="str">
        <f ca="1">IFERROR(IF(0=LEN(ReferenceData!$AK$125),"",ReferenceData!$AK$125),"")</f>
        <v/>
      </c>
      <c r="AL125" t="str">
        <f ca="1">IFERROR(IF(0=LEN(ReferenceData!$AL$125),"",ReferenceData!$AL$125),"")</f>
        <v/>
      </c>
      <c r="AM125" t="str">
        <f ca="1">IFERROR(IF(0=LEN(ReferenceData!$AM$125),"",ReferenceData!$AM$125),"")</f>
        <v/>
      </c>
      <c r="AN125" t="str">
        <f ca="1">IFERROR(IF(0=LEN(ReferenceData!$AN$125),"",ReferenceData!$AN$125),"")</f>
        <v/>
      </c>
      <c r="AO125" t="str">
        <f ca="1">IFERROR(IF(0=LEN(ReferenceData!$AO$125),"",ReferenceData!$AO$125),"")</f>
        <v/>
      </c>
      <c r="AP125" t="str">
        <f ca="1">IFERROR(IF(0=LEN(ReferenceData!$AP$125),"",ReferenceData!$AP$125),"")</f>
        <v/>
      </c>
      <c r="AQ125" t="str">
        <f ca="1">IFERROR(IF(0=LEN(ReferenceData!$AQ$125),"",ReferenceData!$AQ$125),"")</f>
        <v/>
      </c>
      <c r="AR125" t="str">
        <f ca="1">IFERROR(IF(0=LEN(ReferenceData!$AR$125),"",ReferenceData!$AR$125),"")</f>
        <v/>
      </c>
      <c r="AS125" t="str">
        <f ca="1">IFERROR(IF(0=LEN(ReferenceData!$AS$125),"",ReferenceData!$AS$125),"")</f>
        <v/>
      </c>
      <c r="AT125" t="str">
        <f ca="1">IFERROR(IF(0=LEN(ReferenceData!$AT$125),"",ReferenceData!$AT$125),"")</f>
        <v/>
      </c>
      <c r="AU125" t="str">
        <f ca="1">IFERROR(IF(0=LEN(ReferenceData!$AU$125),"",ReferenceData!$AU$125),"")</f>
        <v/>
      </c>
      <c r="AV125" t="str">
        <f ca="1">IFERROR(IF(0=LEN(ReferenceData!$AV$125),"",ReferenceData!$AV$125),"")</f>
        <v/>
      </c>
      <c r="AW125" t="str">
        <f ca="1">IFERROR(IF(0=LEN(ReferenceData!$AW$125),"",ReferenceData!$AW$125),"")</f>
        <v/>
      </c>
      <c r="AX125" t="str">
        <f ca="1">IFERROR(IF(0=LEN(ReferenceData!$AX$125),"",ReferenceData!$AX$125),"")</f>
        <v/>
      </c>
      <c r="AY125" t="str">
        <f ca="1">IFERROR(IF(0=LEN(ReferenceData!$AY$125),"",ReferenceData!$AY$125),"")</f>
        <v/>
      </c>
      <c r="AZ125" t="str">
        <f ca="1">IFERROR(IF(0=LEN(ReferenceData!$AZ$125),"",ReferenceData!$AZ$125),"")</f>
        <v/>
      </c>
      <c r="BA125" t="str">
        <f ca="1">IFERROR(IF(0=LEN(ReferenceData!$BA$125),"",ReferenceData!$BA$125),"")</f>
        <v/>
      </c>
      <c r="BB125" t="str">
        <f ca="1">IFERROR(IF(0=LEN(ReferenceData!$BB$125),"",ReferenceData!$BB$125),"")</f>
        <v/>
      </c>
      <c r="BC125" t="str">
        <f ca="1">IFERROR(IF(0=LEN(ReferenceData!$BC$125),"",ReferenceData!$BC$125),"")</f>
        <v/>
      </c>
      <c r="BD125" t="str">
        <f ca="1">IFERROR(IF(0=LEN(ReferenceData!$BD$125),"",ReferenceData!$BD$125),"")</f>
        <v/>
      </c>
      <c r="BE125" t="str">
        <f ca="1">IFERROR(IF(0=LEN(ReferenceData!$BE$125),"",ReferenceData!$BE$125),"")</f>
        <v/>
      </c>
      <c r="BF125" t="str">
        <f ca="1">IFERROR(IF(0=LEN(ReferenceData!$BF$125),"",ReferenceData!$BF$125),"")</f>
        <v/>
      </c>
      <c r="BG125" t="str">
        <f ca="1">IFERROR(IF(0=LEN(ReferenceData!$BG$125),"",ReferenceData!$BG$125),"")</f>
        <v/>
      </c>
      <c r="BH125" t="str">
        <f ca="1">IFERROR(IF(0=LEN(ReferenceData!$BH$125),"",ReferenceData!$BH$125),"")</f>
        <v/>
      </c>
      <c r="BI125" t="str">
        <f ca="1">IFERROR(IF(0=LEN(ReferenceData!$BI$125),"",ReferenceData!$BI$125),"")</f>
        <v/>
      </c>
      <c r="BJ125" t="str">
        <f ca="1">IFERROR(IF(0=LEN(ReferenceData!$BJ$125),"",ReferenceData!$BJ$125),"")</f>
        <v/>
      </c>
      <c r="BK125" t="str">
        <f ca="1">IFERROR(IF(0=LEN(ReferenceData!$BK$125),"",ReferenceData!$BK$125),"")</f>
        <v/>
      </c>
      <c r="BL125" t="str">
        <f ca="1">IFERROR(IF(0=LEN(ReferenceData!$BL$125),"",ReferenceData!$BL$125),"")</f>
        <v/>
      </c>
      <c r="BM125" t="str">
        <f ca="1">IFERROR(IF(0=LEN(ReferenceData!$BM$125),"",ReferenceData!$BM$125),"")</f>
        <v/>
      </c>
    </row>
    <row r="126" spans="1:65" x14ac:dyDescent="0.25">
      <c r="A126" t="str">
        <f>IFERROR(IF(0=LEN(ReferenceData!$A$126),"",ReferenceData!$A$126),"")</f>
        <v xml:space="preserve">    Banco Bilbao Vizcaya Argentaria SA</v>
      </c>
      <c r="B126" t="str">
        <f>IFERROR(IF(0=LEN(ReferenceData!$B$126),"",ReferenceData!$B$126),"")</f>
        <v>BBVA SM Equity</v>
      </c>
      <c r="C126" t="str">
        <f>IFERROR(IF(0=LEN(ReferenceData!$C$126),"",ReferenceData!$C$126),"")</f>
        <v>BS016</v>
      </c>
      <c r="D126" t="str">
        <f>IFERROR(IF(0=LEN(ReferenceData!$D$126),"",ReferenceData!$D$126),"")</f>
        <v>BS_COMM_LOAN</v>
      </c>
      <c r="E126" t="str">
        <f>IFERROR(IF(0=LEN(ReferenceData!$E$126),"",ReferenceData!$E$126),"")</f>
        <v>Dynamic</v>
      </c>
      <c r="F126" t="str">
        <f ca="1">IFERROR(IF(0=LEN(ReferenceData!$F$126),"",ReferenceData!$F$126),"")</f>
        <v/>
      </c>
      <c r="G126">
        <f ca="1">IFERROR(IF(0=LEN(ReferenceData!$G$126),"",ReferenceData!$G$126),"")</f>
        <v>191511</v>
      </c>
      <c r="H126">
        <f ca="1">IFERROR(IF(0=LEN(ReferenceData!$H$126),"",ReferenceData!$H$126),"")</f>
        <v>192431</v>
      </c>
      <c r="I126">
        <f ca="1">IFERROR(IF(0=LEN(ReferenceData!$I$126),"",ReferenceData!$I$126),"")</f>
        <v>188902</v>
      </c>
      <c r="J126">
        <f ca="1">IFERROR(IF(0=LEN(ReferenceData!$J$126),"",ReferenceData!$J$126),"")</f>
        <v>148178</v>
      </c>
      <c r="K126">
        <f ca="1">IFERROR(IF(0=LEN(ReferenceData!$K$126),"",ReferenceData!$K$126),"")</f>
        <v>182766</v>
      </c>
      <c r="L126">
        <f ca="1">IFERROR(IF(0=LEN(ReferenceData!$L$126),"",ReferenceData!$L$126),"")</f>
        <v>177881</v>
      </c>
      <c r="M126">
        <f ca="1">IFERROR(IF(0=LEN(ReferenceData!$M$126),"",ReferenceData!$M$126),"")</f>
        <v>177168</v>
      </c>
      <c r="N126">
        <f ca="1">IFERROR(IF(0=LEN(ReferenceData!$N$126),"",ReferenceData!$N$126),"")</f>
        <v>144790</v>
      </c>
      <c r="O126">
        <f ca="1">IFERROR(IF(0=LEN(ReferenceData!$O$126),"",ReferenceData!$O$126),"")</f>
        <v>180539</v>
      </c>
      <c r="P126">
        <f ca="1">IFERROR(IF(0=LEN(ReferenceData!$P$126),"",ReferenceData!$P$126),"")</f>
        <v>169689</v>
      </c>
      <c r="Q126">
        <f ca="1">IFERROR(IF(0=LEN(ReferenceData!$Q$126),"",ReferenceData!$Q$126),"")</f>
        <v>160785</v>
      </c>
      <c r="R126">
        <f ca="1">IFERROR(IF(0=LEN(ReferenceData!$R$126),"",ReferenceData!$R$126),"")</f>
        <v>124204</v>
      </c>
      <c r="S126">
        <f ca="1">IFERROR(IF(0=LEN(ReferenceData!$S$126),"",ReferenceData!$S$126),"")</f>
        <v>145826</v>
      </c>
      <c r="T126">
        <f ca="1">IFERROR(IF(0=LEN(ReferenceData!$T$126),"",ReferenceData!$T$126),"")</f>
        <v>145427</v>
      </c>
      <c r="U126">
        <f ca="1">IFERROR(IF(0=LEN(ReferenceData!$U$126),"",ReferenceData!$U$126),"")</f>
        <v>144516</v>
      </c>
      <c r="V126">
        <f ca="1">IFERROR(IF(0=LEN(ReferenceData!$V$126),"",ReferenceData!$V$126),"")</f>
        <v>118410</v>
      </c>
      <c r="W126">
        <f ca="1">IFERROR(IF(0=LEN(ReferenceData!$W$126),"",ReferenceData!$W$126),"")</f>
        <v>176359</v>
      </c>
      <c r="X126">
        <f ca="1">IFERROR(IF(0=LEN(ReferenceData!$X$126),"",ReferenceData!$X$126),"")</f>
        <v>191199</v>
      </c>
      <c r="Y126">
        <f ca="1">IFERROR(IF(0=LEN(ReferenceData!$Y$126),"",ReferenceData!$Y$126),"")</f>
        <v>152154</v>
      </c>
      <c r="Z126">
        <f ca="1">IFERROR(IF(0=LEN(ReferenceData!$Z$126),"",ReferenceData!$Z$126),"")</f>
        <v>146383</v>
      </c>
      <c r="AA126">
        <f ca="1">IFERROR(IF(0=LEN(ReferenceData!$AA$126),"",ReferenceData!$AA$126),"")</f>
        <v>173410</v>
      </c>
      <c r="AB126">
        <f ca="1">IFERROR(IF(0=LEN(ReferenceData!$AB$126),"",ReferenceData!$AB$126),"")</f>
        <v>171053</v>
      </c>
      <c r="AC126">
        <f ca="1">IFERROR(IF(0=LEN(ReferenceData!$AC$126),"",ReferenceData!$AC$126),"")</f>
        <v>175678</v>
      </c>
      <c r="AD126">
        <f ca="1">IFERROR(IF(0=LEN(ReferenceData!$AD$126),"",ReferenceData!$AD$126),"")</f>
        <v>170872</v>
      </c>
      <c r="AE126">
        <f ca="1">IFERROR(IF(0=LEN(ReferenceData!$AE$126),"",ReferenceData!$AE$126),"")</f>
        <v>167771</v>
      </c>
      <c r="AF126">
        <f ca="1">IFERROR(IF(0=LEN(ReferenceData!$AF$126),"",ReferenceData!$AF$126),"")</f>
        <v>171818</v>
      </c>
      <c r="AG126">
        <f ca="1">IFERROR(IF(0=LEN(ReferenceData!$AG$126),"",ReferenceData!$AG$126),"")</f>
        <v>165398</v>
      </c>
      <c r="AH126">
        <f ca="1">IFERROR(IF(0=LEN(ReferenceData!$AH$126),"",ReferenceData!$AH$126),"")</f>
        <v>175168</v>
      </c>
      <c r="AI126">
        <f ca="1">IFERROR(IF(0=LEN(ReferenceData!$AI$126),"",ReferenceData!$AI$126),"")</f>
        <v>184199</v>
      </c>
      <c r="AJ126">
        <f ca="1">IFERROR(IF(0=LEN(ReferenceData!$AJ$126),"",ReferenceData!$AJ$126),"")</f>
        <v>186203</v>
      </c>
      <c r="AK126">
        <f ca="1">IFERROR(IF(0=LEN(ReferenceData!$AK$126),"",ReferenceData!$AK$126),"")</f>
        <v>189699</v>
      </c>
      <c r="AL126">
        <f ca="1">IFERROR(IF(0=LEN(ReferenceData!$AL$126),"",ReferenceData!$AL$126),"")</f>
        <v>14877</v>
      </c>
      <c r="AM126">
        <f ca="1">IFERROR(IF(0=LEN(ReferenceData!$AM$126),"",ReferenceData!$AM$126),"")</f>
        <v>227481</v>
      </c>
      <c r="AN126">
        <f ca="1">IFERROR(IF(0=LEN(ReferenceData!$AN$126),"",ReferenceData!$AN$126),"")</f>
        <v>231706</v>
      </c>
      <c r="AO126">
        <f ca="1">IFERROR(IF(0=LEN(ReferenceData!$AO$126),"",ReferenceData!$AO$126),"")</f>
        <v>228227</v>
      </c>
      <c r="AP126">
        <f ca="1">IFERROR(IF(0=LEN(ReferenceData!$AP$126),"",ReferenceData!$AP$126),"")</f>
        <v>13434</v>
      </c>
      <c r="AQ126">
        <f ca="1">IFERROR(IF(0=LEN(ReferenceData!$AQ$126),"",ReferenceData!$AQ$126),"")</f>
        <v>222613</v>
      </c>
      <c r="AR126">
        <f ca="1">IFERROR(IF(0=LEN(ReferenceData!$AR$126),"",ReferenceData!$AR$126),"")</f>
        <v>186036</v>
      </c>
      <c r="AS126">
        <f ca="1">IFERROR(IF(0=LEN(ReferenceData!$AS$126),"",ReferenceData!$AS$126),"")</f>
        <v>191148</v>
      </c>
      <c r="AT126">
        <f ca="1">IFERROR(IF(0=LEN(ReferenceData!$AT$126),"",ReferenceData!$AT$126),"")</f>
        <v>118207</v>
      </c>
      <c r="AU126">
        <f ca="1">IFERROR(IF(0=LEN(ReferenceData!$AU$126),"",ReferenceData!$AU$126),"")</f>
        <v>174800</v>
      </c>
      <c r="AV126">
        <f ca="1">IFERROR(IF(0=LEN(ReferenceData!$AV$126),"",ReferenceData!$AV$126),"")</f>
        <v>161858</v>
      </c>
      <c r="AW126">
        <f ca="1">IFERROR(IF(0=LEN(ReferenceData!$AW$126),"",ReferenceData!$AW$126),"")</f>
        <v>156233</v>
      </c>
      <c r="AX126">
        <f ca="1">IFERROR(IF(0=LEN(ReferenceData!$AX$126),"",ReferenceData!$AX$126),"")</f>
        <v>121316</v>
      </c>
      <c r="AY126" t="str">
        <f ca="1">IFERROR(IF(0=LEN(ReferenceData!$AY$126),"",ReferenceData!$AY$126),"")</f>
        <v/>
      </c>
      <c r="AZ126">
        <f ca="1">IFERROR(IF(0=LEN(ReferenceData!$AZ$126),"",ReferenceData!$AZ$126),"")</f>
        <v>156491</v>
      </c>
      <c r="BA126">
        <f ca="1">IFERROR(IF(0=LEN(ReferenceData!$BA$126),"",ReferenceData!$BA$126),"")</f>
        <v>158640</v>
      </c>
      <c r="BB126">
        <f ca="1">IFERROR(IF(0=LEN(ReferenceData!$BB$126),"",ReferenceData!$BB$126),"")</f>
        <v>134605</v>
      </c>
      <c r="BC126" t="str">
        <f ca="1">IFERROR(IF(0=LEN(ReferenceData!$BC$126),"",ReferenceData!$BC$126),"")</f>
        <v/>
      </c>
      <c r="BD126" t="str">
        <f ca="1">IFERROR(IF(0=LEN(ReferenceData!$BD$126),"",ReferenceData!$BD$126),"")</f>
        <v/>
      </c>
      <c r="BE126" t="str">
        <f ca="1">IFERROR(IF(0=LEN(ReferenceData!$BE$126),"",ReferenceData!$BE$126),"")</f>
        <v/>
      </c>
      <c r="BF126">
        <f ca="1">IFERROR(IF(0=LEN(ReferenceData!$BF$126),"",ReferenceData!$BF$126),"")</f>
        <v>148795</v>
      </c>
      <c r="BG126" t="str">
        <f ca="1">IFERROR(IF(0=LEN(ReferenceData!$BG$126),"",ReferenceData!$BG$126),"")</f>
        <v/>
      </c>
      <c r="BH126" t="str">
        <f ca="1">IFERROR(IF(0=LEN(ReferenceData!$BH$126),"",ReferenceData!$BH$126),"")</f>
        <v/>
      </c>
      <c r="BI126" t="str">
        <f ca="1">IFERROR(IF(0=LEN(ReferenceData!$BI$126),"",ReferenceData!$BI$126),"")</f>
        <v/>
      </c>
      <c r="BJ126">
        <f ca="1">IFERROR(IF(0=LEN(ReferenceData!$BJ$126),"",ReferenceData!$BJ$126),"")</f>
        <v>150239</v>
      </c>
      <c r="BK126" t="str">
        <f ca="1">IFERROR(IF(0=LEN(ReferenceData!$BK$126),"",ReferenceData!$BK$126),"")</f>
        <v/>
      </c>
      <c r="BL126" t="str">
        <f ca="1">IFERROR(IF(0=LEN(ReferenceData!$BL$126),"",ReferenceData!$BL$126),"")</f>
        <v/>
      </c>
      <c r="BM126" t="str">
        <f ca="1">IFERROR(IF(0=LEN(ReferenceData!$BM$126),"",ReferenceData!$BM$126),"")</f>
        <v/>
      </c>
    </row>
    <row r="127" spans="1:65" x14ac:dyDescent="0.25">
      <c r="A127" t="str">
        <f>IFERROR(IF(0=LEN(ReferenceData!$A$127),"",ReferenceData!$A$127),"")</f>
        <v xml:space="preserve">    Bank of Ireland Group PLC</v>
      </c>
      <c r="B127" t="str">
        <f>IFERROR(IF(0=LEN(ReferenceData!$B$127),"",ReferenceData!$B$127),"")</f>
        <v>BIRG ID Equity</v>
      </c>
      <c r="C127" t="str">
        <f>IFERROR(IF(0=LEN(ReferenceData!$C$127),"",ReferenceData!$C$127),"")</f>
        <v>BS016</v>
      </c>
      <c r="D127" t="str">
        <f>IFERROR(IF(0=LEN(ReferenceData!$D$127),"",ReferenceData!$D$127),"")</f>
        <v>BS_COMM_LOAN</v>
      </c>
      <c r="E127" t="str">
        <f>IFERROR(IF(0=LEN(ReferenceData!$E$127),"",ReferenceData!$E$127),"")</f>
        <v>Dynamic</v>
      </c>
      <c r="F127" t="str">
        <f ca="1">IFERROR(IF(0=LEN(ReferenceData!$F$127),"",ReferenceData!$F$127),"")</f>
        <v/>
      </c>
      <c r="G127" t="str">
        <f ca="1">IFERROR(IF(0=LEN(ReferenceData!$G$127),"",ReferenceData!$G$127),"")</f>
        <v/>
      </c>
      <c r="H127" t="str">
        <f ca="1">IFERROR(IF(0=LEN(ReferenceData!$H$127),"",ReferenceData!$H$127),"")</f>
        <v/>
      </c>
      <c r="I127" t="str">
        <f ca="1">IFERROR(IF(0=LEN(ReferenceData!$I$127),"",ReferenceData!$I$127),"")</f>
        <v/>
      </c>
      <c r="J127" t="str">
        <f ca="1">IFERROR(IF(0=LEN(ReferenceData!$J$127),"",ReferenceData!$J$127),"")</f>
        <v/>
      </c>
      <c r="K127" t="str">
        <f ca="1">IFERROR(IF(0=LEN(ReferenceData!$K$127),"",ReferenceData!$K$127),"")</f>
        <v/>
      </c>
      <c r="L127" t="str">
        <f ca="1">IFERROR(IF(0=LEN(ReferenceData!$L$127),"",ReferenceData!$L$127),"")</f>
        <v/>
      </c>
      <c r="M127" t="str">
        <f ca="1">IFERROR(IF(0=LEN(ReferenceData!$M$127),"",ReferenceData!$M$127),"")</f>
        <v/>
      </c>
      <c r="N127" t="str">
        <f ca="1">IFERROR(IF(0=LEN(ReferenceData!$N$127),"",ReferenceData!$N$127),"")</f>
        <v/>
      </c>
      <c r="O127" t="str">
        <f ca="1">IFERROR(IF(0=LEN(ReferenceData!$O$127),"",ReferenceData!$O$127),"")</f>
        <v/>
      </c>
      <c r="P127" t="str">
        <f ca="1">IFERROR(IF(0=LEN(ReferenceData!$P$127),"",ReferenceData!$P$127),"")</f>
        <v/>
      </c>
      <c r="Q127" t="str">
        <f ca="1">IFERROR(IF(0=LEN(ReferenceData!$Q$127),"",ReferenceData!$Q$127),"")</f>
        <v/>
      </c>
      <c r="R127" t="str">
        <f ca="1">IFERROR(IF(0=LEN(ReferenceData!$R$127),"",ReferenceData!$R$127),"")</f>
        <v/>
      </c>
      <c r="S127" t="str">
        <f ca="1">IFERROR(IF(0=LEN(ReferenceData!$S$127),"",ReferenceData!$S$127),"")</f>
        <v/>
      </c>
      <c r="T127" t="str">
        <f ca="1">IFERROR(IF(0=LEN(ReferenceData!$T$127),"",ReferenceData!$T$127),"")</f>
        <v/>
      </c>
      <c r="U127" t="str">
        <f ca="1">IFERROR(IF(0=LEN(ReferenceData!$U$127),"",ReferenceData!$U$127),"")</f>
        <v/>
      </c>
      <c r="V127" t="str">
        <f ca="1">IFERROR(IF(0=LEN(ReferenceData!$V$127),"",ReferenceData!$V$127),"")</f>
        <v/>
      </c>
      <c r="W127" t="str">
        <f ca="1">IFERROR(IF(0=LEN(ReferenceData!$W$127),"",ReferenceData!$W$127),"")</f>
        <v/>
      </c>
      <c r="X127" t="str">
        <f ca="1">IFERROR(IF(0=LEN(ReferenceData!$X$127),"",ReferenceData!$X$127),"")</f>
        <v/>
      </c>
      <c r="Y127" t="str">
        <f ca="1">IFERROR(IF(0=LEN(ReferenceData!$Y$127),"",ReferenceData!$Y$127),"")</f>
        <v/>
      </c>
      <c r="Z127" t="str">
        <f ca="1">IFERROR(IF(0=LEN(ReferenceData!$Z$127),"",ReferenceData!$Z$127),"")</f>
        <v/>
      </c>
      <c r="AA127" t="str">
        <f ca="1">IFERROR(IF(0=LEN(ReferenceData!$AA$127),"",ReferenceData!$AA$127),"")</f>
        <v/>
      </c>
      <c r="AB127" t="str">
        <f ca="1">IFERROR(IF(0=LEN(ReferenceData!$AB$127),"",ReferenceData!$AB$127),"")</f>
        <v/>
      </c>
      <c r="AC127" t="str">
        <f ca="1">IFERROR(IF(0=LEN(ReferenceData!$AC$127),"",ReferenceData!$AC$127),"")</f>
        <v/>
      </c>
      <c r="AD127" t="str">
        <f ca="1">IFERROR(IF(0=LEN(ReferenceData!$AD$127),"",ReferenceData!$AD$127),"")</f>
        <v/>
      </c>
      <c r="AE127" t="str">
        <f ca="1">IFERROR(IF(0=LEN(ReferenceData!$AE$127),"",ReferenceData!$AE$127),"")</f>
        <v/>
      </c>
      <c r="AF127" t="str">
        <f ca="1">IFERROR(IF(0=LEN(ReferenceData!$AF$127),"",ReferenceData!$AF$127),"")</f>
        <v/>
      </c>
      <c r="AG127" t="str">
        <f ca="1">IFERROR(IF(0=LEN(ReferenceData!$AG$127),"",ReferenceData!$AG$127),"")</f>
        <v/>
      </c>
      <c r="AH127" t="str">
        <f ca="1">IFERROR(IF(0=LEN(ReferenceData!$AH$127),"",ReferenceData!$AH$127),"")</f>
        <v/>
      </c>
      <c r="AI127" t="str">
        <f ca="1">IFERROR(IF(0=LEN(ReferenceData!$AI$127),"",ReferenceData!$AI$127),"")</f>
        <v/>
      </c>
      <c r="AJ127" t="str">
        <f ca="1">IFERROR(IF(0=LEN(ReferenceData!$AJ$127),"",ReferenceData!$AJ$127),"")</f>
        <v/>
      </c>
      <c r="AK127" t="str">
        <f ca="1">IFERROR(IF(0=LEN(ReferenceData!$AK$127),"",ReferenceData!$AK$127),"")</f>
        <v/>
      </c>
      <c r="AL127" t="str">
        <f ca="1">IFERROR(IF(0=LEN(ReferenceData!$AL$127),"",ReferenceData!$AL$127),"")</f>
        <v/>
      </c>
      <c r="AM127" t="str">
        <f ca="1">IFERROR(IF(0=LEN(ReferenceData!$AM$127),"",ReferenceData!$AM$127),"")</f>
        <v/>
      </c>
      <c r="AN127" t="str">
        <f ca="1">IFERROR(IF(0=LEN(ReferenceData!$AN$127),"",ReferenceData!$AN$127),"")</f>
        <v/>
      </c>
      <c r="AO127" t="str">
        <f ca="1">IFERROR(IF(0=LEN(ReferenceData!$AO$127),"",ReferenceData!$AO$127),"")</f>
        <v/>
      </c>
      <c r="AP127" t="str">
        <f ca="1">IFERROR(IF(0=LEN(ReferenceData!$AP$127),"",ReferenceData!$AP$127),"")</f>
        <v/>
      </c>
      <c r="AQ127" t="str">
        <f ca="1">IFERROR(IF(0=LEN(ReferenceData!$AQ$127),"",ReferenceData!$AQ$127),"")</f>
        <v/>
      </c>
      <c r="AR127" t="str">
        <f ca="1">IFERROR(IF(0=LEN(ReferenceData!$AR$127),"",ReferenceData!$AR$127),"")</f>
        <v/>
      </c>
      <c r="AS127" t="str">
        <f ca="1">IFERROR(IF(0=LEN(ReferenceData!$AS$127),"",ReferenceData!$AS$127),"")</f>
        <v/>
      </c>
      <c r="AT127" t="str">
        <f ca="1">IFERROR(IF(0=LEN(ReferenceData!$AT$127),"",ReferenceData!$AT$127),"")</f>
        <v/>
      </c>
      <c r="AU127" t="str">
        <f ca="1">IFERROR(IF(0=LEN(ReferenceData!$AU$127),"",ReferenceData!$AU$127),"")</f>
        <v/>
      </c>
      <c r="AV127" t="str">
        <f ca="1">IFERROR(IF(0=LEN(ReferenceData!$AV$127),"",ReferenceData!$AV$127),"")</f>
        <v/>
      </c>
      <c r="AW127" t="str">
        <f ca="1">IFERROR(IF(0=LEN(ReferenceData!$AW$127),"",ReferenceData!$AW$127),"")</f>
        <v/>
      </c>
      <c r="AX127" t="str">
        <f ca="1">IFERROR(IF(0=LEN(ReferenceData!$AX$127),"",ReferenceData!$AX$127),"")</f>
        <v/>
      </c>
      <c r="AY127" t="str">
        <f ca="1">IFERROR(IF(0=LEN(ReferenceData!$AY$127),"",ReferenceData!$AY$127),"")</f>
        <v/>
      </c>
      <c r="AZ127" t="str">
        <f ca="1">IFERROR(IF(0=LEN(ReferenceData!$AZ$127),"",ReferenceData!$AZ$127),"")</f>
        <v/>
      </c>
      <c r="BA127" t="str">
        <f ca="1">IFERROR(IF(0=LEN(ReferenceData!$BA$127),"",ReferenceData!$BA$127),"")</f>
        <v/>
      </c>
      <c r="BB127" t="str">
        <f ca="1">IFERROR(IF(0=LEN(ReferenceData!$BB$127),"",ReferenceData!$BB$127),"")</f>
        <v/>
      </c>
      <c r="BC127" t="str">
        <f ca="1">IFERROR(IF(0=LEN(ReferenceData!$BC$127),"",ReferenceData!$BC$127),"")</f>
        <v/>
      </c>
      <c r="BD127" t="str">
        <f ca="1">IFERROR(IF(0=LEN(ReferenceData!$BD$127),"",ReferenceData!$BD$127),"")</f>
        <v/>
      </c>
      <c r="BE127" t="str">
        <f ca="1">IFERROR(IF(0=LEN(ReferenceData!$BE$127),"",ReferenceData!$BE$127),"")</f>
        <v/>
      </c>
      <c r="BF127" t="str">
        <f ca="1">IFERROR(IF(0=LEN(ReferenceData!$BF$127),"",ReferenceData!$BF$127),"")</f>
        <v/>
      </c>
      <c r="BG127" t="str">
        <f ca="1">IFERROR(IF(0=LEN(ReferenceData!$BG$127),"",ReferenceData!$BG$127),"")</f>
        <v/>
      </c>
      <c r="BH127" t="str">
        <f ca="1">IFERROR(IF(0=LEN(ReferenceData!$BH$127),"",ReferenceData!$BH$127),"")</f>
        <v/>
      </c>
      <c r="BI127" t="str">
        <f ca="1">IFERROR(IF(0=LEN(ReferenceData!$BI$127),"",ReferenceData!$BI$127),"")</f>
        <v/>
      </c>
      <c r="BJ127" t="str">
        <f ca="1">IFERROR(IF(0=LEN(ReferenceData!$BJ$127),"",ReferenceData!$BJ$127),"")</f>
        <v/>
      </c>
      <c r="BK127" t="str">
        <f ca="1">IFERROR(IF(0=LEN(ReferenceData!$BK$127),"",ReferenceData!$BK$127),"")</f>
        <v/>
      </c>
      <c r="BL127" t="str">
        <f ca="1">IFERROR(IF(0=LEN(ReferenceData!$BL$127),"",ReferenceData!$BL$127),"")</f>
        <v/>
      </c>
      <c r="BM127" t="str">
        <f ca="1">IFERROR(IF(0=LEN(ReferenceData!$BM$127),"",ReferenceData!$BM$127),"")</f>
        <v/>
      </c>
    </row>
    <row r="128" spans="1:65" x14ac:dyDescent="0.25">
      <c r="A128" t="str">
        <f>IFERROR(IF(0=LEN(ReferenceData!$A$128),"",ReferenceData!$A$128),"")</f>
        <v xml:space="preserve">    Bankinter SA</v>
      </c>
      <c r="B128" t="str">
        <f>IFERROR(IF(0=LEN(ReferenceData!$B$128),"",ReferenceData!$B$128),"")</f>
        <v>BKT SM Equity</v>
      </c>
      <c r="C128" t="str">
        <f>IFERROR(IF(0=LEN(ReferenceData!$C$128),"",ReferenceData!$C$128),"")</f>
        <v>BS016</v>
      </c>
      <c r="D128" t="str">
        <f>IFERROR(IF(0=LEN(ReferenceData!$D$128),"",ReferenceData!$D$128),"")</f>
        <v>BS_COMM_LOAN</v>
      </c>
      <c r="E128" t="str">
        <f>IFERROR(IF(0=LEN(ReferenceData!$E$128),"",ReferenceData!$E$128),"")</f>
        <v>Dynamic</v>
      </c>
      <c r="F128">
        <f ca="1">IFERROR(IF(0=LEN(ReferenceData!$F$128),"",ReferenceData!$F$128),"")</f>
        <v>3589.136</v>
      </c>
      <c r="G128">
        <f ca="1">IFERROR(IF(0=LEN(ReferenceData!$G$128),"",ReferenceData!$G$128),"")</f>
        <v>3228.1770000000001</v>
      </c>
      <c r="H128">
        <f ca="1">IFERROR(IF(0=LEN(ReferenceData!$H$128),"",ReferenceData!$H$128),"")</f>
        <v>3530.0839999999998</v>
      </c>
      <c r="I128">
        <f ca="1">IFERROR(IF(0=LEN(ReferenceData!$I$128),"",ReferenceData!$I$128),"")</f>
        <v>3169.576</v>
      </c>
      <c r="J128">
        <f ca="1">IFERROR(IF(0=LEN(ReferenceData!$J$128),"",ReferenceData!$J$128),"")</f>
        <v>3434.8649999999998</v>
      </c>
      <c r="K128">
        <f ca="1">IFERROR(IF(0=LEN(ReferenceData!$K$128),"",ReferenceData!$K$128),"")</f>
        <v>3115.5439999999999</v>
      </c>
      <c r="L128">
        <f ca="1">IFERROR(IF(0=LEN(ReferenceData!$L$128),"",ReferenceData!$L$128),"")</f>
        <v>3358.3449999999998</v>
      </c>
      <c r="M128">
        <f ca="1">IFERROR(IF(0=LEN(ReferenceData!$M$128),"",ReferenceData!$M$128),"")</f>
        <v>3138.4430000000002</v>
      </c>
      <c r="N128">
        <f ca="1">IFERROR(IF(0=LEN(ReferenceData!$N$128),"",ReferenceData!$N$128),"")</f>
        <v>3757.3159999999998</v>
      </c>
      <c r="O128">
        <f ca="1">IFERROR(IF(0=LEN(ReferenceData!$O$128),"",ReferenceData!$O$128),"")</f>
        <v>3118.24</v>
      </c>
      <c r="P128">
        <f ca="1">IFERROR(IF(0=LEN(ReferenceData!$P$128),"",ReferenceData!$P$128),"")</f>
        <v>3440.7820000000002</v>
      </c>
      <c r="Q128">
        <f ca="1">IFERROR(IF(0=LEN(ReferenceData!$Q$128),"",ReferenceData!$Q$128),"")</f>
        <v>2961.9690000000001</v>
      </c>
      <c r="R128">
        <f ca="1">IFERROR(IF(0=LEN(ReferenceData!$R$128),"",ReferenceData!$R$128),"")</f>
        <v>3004.6770000000001</v>
      </c>
      <c r="S128">
        <f ca="1">IFERROR(IF(0=LEN(ReferenceData!$S$128),"",ReferenceData!$S$128),"")</f>
        <v>2461.6689999999999</v>
      </c>
      <c r="T128">
        <f ca="1">IFERROR(IF(0=LEN(ReferenceData!$T$128),"",ReferenceData!$T$128),"")</f>
        <v>2654.8139999999999</v>
      </c>
      <c r="U128">
        <f ca="1">IFERROR(IF(0=LEN(ReferenceData!$U$128),"",ReferenceData!$U$128),"")</f>
        <v>2285.9279999999999</v>
      </c>
      <c r="V128">
        <f ca="1">IFERROR(IF(0=LEN(ReferenceData!$V$128),"",ReferenceData!$V$128),"")</f>
        <v>2540.2449999999999</v>
      </c>
      <c r="W128">
        <f ca="1">IFERROR(IF(0=LEN(ReferenceData!$W$128),"",ReferenceData!$W$128),"")</f>
        <v>2203.1999999999998</v>
      </c>
      <c r="X128">
        <f ca="1">IFERROR(IF(0=LEN(ReferenceData!$X$128),"",ReferenceData!$X$128),"")</f>
        <v>2231.502</v>
      </c>
      <c r="Y128">
        <f ca="1">IFERROR(IF(0=LEN(ReferenceData!$Y$128),"",ReferenceData!$Y$128),"")</f>
        <v>2772.3629999999998</v>
      </c>
      <c r="Z128">
        <f ca="1">IFERROR(IF(0=LEN(ReferenceData!$Z$128),"",ReferenceData!$Z$128),"")</f>
        <v>3071.06</v>
      </c>
      <c r="AA128">
        <f ca="1">IFERROR(IF(0=LEN(ReferenceData!$AA$128),"",ReferenceData!$AA$128),"")</f>
        <v>2608.951</v>
      </c>
      <c r="AB128">
        <f ca="1">IFERROR(IF(0=LEN(ReferenceData!$AB$128),"",ReferenceData!$AB$128),"")</f>
        <v>2982.4580000000001</v>
      </c>
      <c r="AC128">
        <f ca="1">IFERROR(IF(0=LEN(ReferenceData!$AC$128),"",ReferenceData!$AC$128),"")</f>
        <v>2557.4690000000001</v>
      </c>
      <c r="AD128">
        <f ca="1">IFERROR(IF(0=LEN(ReferenceData!$AD$128),"",ReferenceData!$AD$128),"")</f>
        <v>2634.3539999999998</v>
      </c>
      <c r="AE128">
        <f ca="1">IFERROR(IF(0=LEN(ReferenceData!$AE$128),"",ReferenceData!$AE$128),"")</f>
        <v>2168.2220000000002</v>
      </c>
      <c r="AF128">
        <f ca="1">IFERROR(IF(0=LEN(ReferenceData!$AF$128),"",ReferenceData!$AF$128),"")</f>
        <v>2300</v>
      </c>
      <c r="AG128">
        <f ca="1">IFERROR(IF(0=LEN(ReferenceData!$AG$128),"",ReferenceData!$AG$128),"")</f>
        <v>2081.14</v>
      </c>
      <c r="AH128">
        <f ca="1">IFERROR(IF(0=LEN(ReferenceData!$AH$128),"",ReferenceData!$AH$128),"")</f>
        <v>2370.75</v>
      </c>
      <c r="AI128">
        <f ca="1">IFERROR(IF(0=LEN(ReferenceData!$AI$128),"",ReferenceData!$AI$128),"")</f>
        <v>1992.4280000000001</v>
      </c>
      <c r="AJ128">
        <f ca="1">IFERROR(IF(0=LEN(ReferenceData!$AJ$128),"",ReferenceData!$AJ$128),"")</f>
        <v>2053.7109999999998</v>
      </c>
      <c r="AK128">
        <f ca="1">IFERROR(IF(0=LEN(ReferenceData!$AK$128),"",ReferenceData!$AK$128),"")</f>
        <v>1765.3209999999999</v>
      </c>
      <c r="AL128">
        <f ca="1">IFERROR(IF(0=LEN(ReferenceData!$AL$128),"",ReferenceData!$AL$128),"")</f>
        <v>1963.758</v>
      </c>
      <c r="AM128">
        <f ca="1">IFERROR(IF(0=LEN(ReferenceData!$AM$128),"",ReferenceData!$AM$128),"")</f>
        <v>1557.453</v>
      </c>
      <c r="AN128">
        <f ca="1">IFERROR(IF(0=LEN(ReferenceData!$AN$128),"",ReferenceData!$AN$128),"")</f>
        <v>1691.3330000000001</v>
      </c>
      <c r="AO128">
        <f ca="1">IFERROR(IF(0=LEN(ReferenceData!$AO$128),"",ReferenceData!$AO$128),"")</f>
        <v>1542.653</v>
      </c>
      <c r="AP128">
        <f ca="1">IFERROR(IF(0=LEN(ReferenceData!$AP$128),"",ReferenceData!$AP$128),"")</f>
        <v>1793.057</v>
      </c>
      <c r="AQ128">
        <f ca="1">IFERROR(IF(0=LEN(ReferenceData!$AQ$128),"",ReferenceData!$AQ$128),"")</f>
        <v>1674.95</v>
      </c>
      <c r="AR128">
        <f ca="1">IFERROR(IF(0=LEN(ReferenceData!$AR$128),"",ReferenceData!$AR$128),"")</f>
        <v>3147.799</v>
      </c>
      <c r="AS128">
        <f ca="1">IFERROR(IF(0=LEN(ReferenceData!$AS$128),"",ReferenceData!$AS$128),"")</f>
        <v>3068.48</v>
      </c>
      <c r="AT128">
        <f ca="1">IFERROR(IF(0=LEN(ReferenceData!$AT$128),"",ReferenceData!$AT$128),"")</f>
        <v>2016.9970000000001</v>
      </c>
      <c r="AU128">
        <f ca="1">IFERROR(IF(0=LEN(ReferenceData!$AU$128),"",ReferenceData!$AU$128),"")</f>
        <v>1912.75</v>
      </c>
      <c r="AV128">
        <f ca="1">IFERROR(IF(0=LEN(ReferenceData!$AV$128),"",ReferenceData!$AV$128),"")</f>
        <v>3431.5830000000001</v>
      </c>
      <c r="AW128">
        <f ca="1">IFERROR(IF(0=LEN(ReferenceData!$AW$128),"",ReferenceData!$AW$128),"")</f>
        <v>2985.6219999999998</v>
      </c>
      <c r="AX128">
        <f ca="1">IFERROR(IF(0=LEN(ReferenceData!$AX$128),"",ReferenceData!$AX$128),"")</f>
        <v>2052.5990000000002</v>
      </c>
      <c r="AY128">
        <f ca="1">IFERROR(IF(0=LEN(ReferenceData!$AY$128),"",ReferenceData!$AY$128),"")</f>
        <v>1855.229</v>
      </c>
      <c r="AZ128">
        <f ca="1">IFERROR(IF(0=LEN(ReferenceData!$AZ$128),"",ReferenceData!$AZ$128),"")</f>
        <v>2030.492</v>
      </c>
      <c r="BA128">
        <f ca="1">IFERROR(IF(0=LEN(ReferenceData!$BA$128),"",ReferenceData!$BA$128),"")</f>
        <v>2068.4969999999998</v>
      </c>
      <c r="BB128">
        <f ca="1">IFERROR(IF(0=LEN(ReferenceData!$BB$128),"",ReferenceData!$BB$128),"")</f>
        <v>2177.5839999999998</v>
      </c>
      <c r="BC128">
        <f ca="1">IFERROR(IF(0=LEN(ReferenceData!$BC$128),"",ReferenceData!$BC$128),"")</f>
        <v>1965.9159999999999</v>
      </c>
      <c r="BD128">
        <f ca="1">IFERROR(IF(0=LEN(ReferenceData!$BD$128),"",ReferenceData!$BD$128),"")</f>
        <v>2875.8710000000001</v>
      </c>
      <c r="BE128">
        <f ca="1">IFERROR(IF(0=LEN(ReferenceData!$BE$128),"",ReferenceData!$BE$128),"")</f>
        <v>2635.39</v>
      </c>
      <c r="BF128">
        <f ca="1">IFERROR(IF(0=LEN(ReferenceData!$BF$128),"",ReferenceData!$BF$128),"")</f>
        <v>31537.585999999999</v>
      </c>
      <c r="BG128">
        <f ca="1">IFERROR(IF(0=LEN(ReferenceData!$BG$128),"",ReferenceData!$BG$128),"")</f>
        <v>2622.7939999999999</v>
      </c>
      <c r="BH128">
        <f ca="1">IFERROR(IF(0=LEN(ReferenceData!$BH$128),"",ReferenceData!$BH$128),"")</f>
        <v>2643.1819999999998</v>
      </c>
      <c r="BI128">
        <f ca="1">IFERROR(IF(0=LEN(ReferenceData!$BI$128),"",ReferenceData!$BI$128),"")</f>
        <v>2598.4879999999998</v>
      </c>
      <c r="BJ128">
        <f ca="1">IFERROR(IF(0=LEN(ReferenceData!$BJ$128),"",ReferenceData!$BJ$128),"")</f>
        <v>1930.5820000000001</v>
      </c>
      <c r="BK128">
        <f ca="1">IFERROR(IF(0=LEN(ReferenceData!$BK$128),"",ReferenceData!$BK$128),"")</f>
        <v>2565.3490000000002</v>
      </c>
      <c r="BL128">
        <f ca="1">IFERROR(IF(0=LEN(ReferenceData!$BL$128),"",ReferenceData!$BL$128),"")</f>
        <v>2591.1640000000002</v>
      </c>
      <c r="BM128">
        <f ca="1">IFERROR(IF(0=LEN(ReferenceData!$BM$128),"",ReferenceData!$BM$128),"")</f>
        <v>1976.432</v>
      </c>
    </row>
    <row r="129" spans="1:65" x14ac:dyDescent="0.25">
      <c r="A129" t="str">
        <f>IFERROR(IF(0=LEN(ReferenceData!$A$129),"",ReferenceData!$A$129),"")</f>
        <v xml:space="preserve">    CaixaBank SA</v>
      </c>
      <c r="B129" t="str">
        <f>IFERROR(IF(0=LEN(ReferenceData!$B$129),"",ReferenceData!$B$129),"")</f>
        <v>CABK SM Equity</v>
      </c>
      <c r="C129" t="str">
        <f>IFERROR(IF(0=LEN(ReferenceData!$C$129),"",ReferenceData!$C$129),"")</f>
        <v>BS016</v>
      </c>
      <c r="D129" t="str">
        <f>IFERROR(IF(0=LEN(ReferenceData!$D$129),"",ReferenceData!$D$129),"")</f>
        <v>BS_COMM_LOAN</v>
      </c>
      <c r="E129" t="str">
        <f>IFERROR(IF(0=LEN(ReferenceData!$E$129),"",ReferenceData!$E$129),"")</f>
        <v>Dynamic</v>
      </c>
      <c r="F129">
        <f ca="1">IFERROR(IF(0=LEN(ReferenceData!$F$129),"",ReferenceData!$F$129),"")</f>
        <v>167513</v>
      </c>
      <c r="G129">
        <f ca="1">IFERROR(IF(0=LEN(ReferenceData!$G$129),"",ReferenceData!$G$129),"")</f>
        <v>162377</v>
      </c>
      <c r="H129">
        <f ca="1">IFERROR(IF(0=LEN(ReferenceData!$H$129),"",ReferenceData!$H$129),"")</f>
        <v>163763</v>
      </c>
      <c r="I129">
        <f ca="1">IFERROR(IF(0=LEN(ReferenceData!$I$129),"",ReferenceData!$I$129),"")</f>
        <v>161779</v>
      </c>
      <c r="J129">
        <f ca="1">IFERROR(IF(0=LEN(ReferenceData!$J$129),"",ReferenceData!$J$129),"")</f>
        <v>160018</v>
      </c>
      <c r="K129">
        <f ca="1">IFERROR(IF(0=LEN(ReferenceData!$K$129),"",ReferenceData!$K$129),"")</f>
        <v>159370</v>
      </c>
      <c r="L129">
        <f ca="1">IFERROR(IF(0=LEN(ReferenceData!$L$129),"",ReferenceData!$L$129),"")</f>
        <v>160971</v>
      </c>
      <c r="M129">
        <f ca="1">IFERROR(IF(0=LEN(ReferenceData!$M$129),"",ReferenceData!$M$129),"")</f>
        <v>159538</v>
      </c>
      <c r="N129">
        <f ca="1">IFERROR(IF(0=LEN(ReferenceData!$N$129),"",ReferenceData!$N$129),"")</f>
        <v>156693</v>
      </c>
      <c r="O129">
        <f ca="1">IFERROR(IF(0=LEN(ReferenceData!$O$129),"",ReferenceData!$O$129),"")</f>
        <v>157129</v>
      </c>
      <c r="P129">
        <f ca="1">IFERROR(IF(0=LEN(ReferenceData!$P$129),"",ReferenceData!$P$129),"")</f>
        <v>154513</v>
      </c>
      <c r="Q129">
        <f ca="1">IFERROR(IF(0=LEN(ReferenceData!$Q$129),"",ReferenceData!$Q$129),"")</f>
        <v>148575</v>
      </c>
      <c r="R129">
        <f ca="1">IFERROR(IF(0=LEN(ReferenceData!$R$129),"",ReferenceData!$R$129),"")</f>
        <v>147419</v>
      </c>
      <c r="S129">
        <f ca="1">IFERROR(IF(0=LEN(ReferenceData!$S$129),"",ReferenceData!$S$129),"")</f>
        <v>144642</v>
      </c>
      <c r="T129">
        <f ca="1">IFERROR(IF(0=LEN(ReferenceData!$T$129),"",ReferenceData!$T$129),"")</f>
        <v>146336</v>
      </c>
      <c r="U129">
        <f ca="1">IFERROR(IF(0=LEN(ReferenceData!$U$129),"",ReferenceData!$U$129),"")</f>
        <v>149359</v>
      </c>
      <c r="V129">
        <f ca="1">IFERROR(IF(0=LEN(ReferenceData!$V$129),"",ReferenceData!$V$129),"")</f>
        <v>106425</v>
      </c>
      <c r="W129">
        <f ca="1">IFERROR(IF(0=LEN(ReferenceData!$W$129),"",ReferenceData!$W$129),"")</f>
        <v>107351</v>
      </c>
      <c r="X129">
        <f ca="1">IFERROR(IF(0=LEN(ReferenceData!$X$129),"",ReferenceData!$X$129),"")</f>
        <v>105870</v>
      </c>
      <c r="Y129">
        <f ca="1">IFERROR(IF(0=LEN(ReferenceData!$Y$129),"",ReferenceData!$Y$129),"")</f>
        <v>94119</v>
      </c>
      <c r="Z129">
        <f ca="1">IFERROR(IF(0=LEN(ReferenceData!$Z$129),"",ReferenceData!$Z$129),"")</f>
        <v>91308</v>
      </c>
      <c r="AA129">
        <f ca="1">IFERROR(IF(0=LEN(ReferenceData!$AA$129),"",ReferenceData!$AA$129),"")</f>
        <v>89749</v>
      </c>
      <c r="AB129">
        <f ca="1">IFERROR(IF(0=LEN(ReferenceData!$AB$129),"",ReferenceData!$AB$129),"")</f>
        <v>89074</v>
      </c>
      <c r="AC129">
        <f ca="1">IFERROR(IF(0=LEN(ReferenceData!$AC$129),"",ReferenceData!$AC$129),"")</f>
        <v>87248</v>
      </c>
      <c r="AD129">
        <f ca="1">IFERROR(IF(0=LEN(ReferenceData!$AD$129),"",ReferenceData!$AD$129),"")</f>
        <v>85817</v>
      </c>
      <c r="AE129">
        <f ca="1">IFERROR(IF(0=LEN(ReferenceData!$AE$129),"",ReferenceData!$AE$129),"")</f>
        <v>83872</v>
      </c>
      <c r="AF129">
        <f ca="1">IFERROR(IF(0=LEN(ReferenceData!$AF$129),"",ReferenceData!$AF$129),"")</f>
        <v>83022</v>
      </c>
      <c r="AG129">
        <f ca="1">IFERROR(IF(0=LEN(ReferenceData!$AG$129),"",ReferenceData!$AG$129),"")</f>
        <v>82296</v>
      </c>
      <c r="AH129">
        <f ca="1">IFERROR(IF(0=LEN(ReferenceData!$AH$129),"",ReferenceData!$AH$129),"")</f>
        <v>83463</v>
      </c>
      <c r="AI129">
        <f ca="1">IFERROR(IF(0=LEN(ReferenceData!$AI$129),"",ReferenceData!$AI$129),"")</f>
        <v>83034</v>
      </c>
      <c r="AJ129">
        <f ca="1">IFERROR(IF(0=LEN(ReferenceData!$AJ$129),"",ReferenceData!$AJ$129),"")</f>
        <v>83424</v>
      </c>
      <c r="AK129">
        <f ca="1">IFERROR(IF(0=LEN(ReferenceData!$AK$129),"",ReferenceData!$AK$129),"")</f>
        <v>83324</v>
      </c>
      <c r="AL129">
        <f ca="1">IFERROR(IF(0=LEN(ReferenceData!$AL$129),"",ReferenceData!$AL$129),"")</f>
        <v>72837</v>
      </c>
      <c r="AM129">
        <f ca="1">IFERROR(IF(0=LEN(ReferenceData!$AM$129),"",ReferenceData!$AM$129),"")</f>
        <v>71824</v>
      </c>
      <c r="AN129">
        <f ca="1">IFERROR(IF(0=LEN(ReferenceData!$AN$129),"",ReferenceData!$AN$129),"")</f>
        <v>71235</v>
      </c>
      <c r="AO129">
        <f ca="1">IFERROR(IF(0=LEN(ReferenceData!$AO$129),"",ReferenceData!$AO$129),"")</f>
        <v>69969</v>
      </c>
      <c r="AP129">
        <f ca="1">IFERROR(IF(0=LEN(ReferenceData!$AP$129),"",ReferenceData!$AP$129),"")</f>
        <v>69681</v>
      </c>
      <c r="AQ129">
        <f ca="1">IFERROR(IF(0=LEN(ReferenceData!$AQ$129),"",ReferenceData!$AQ$129),"")</f>
        <v>70092</v>
      </c>
      <c r="AR129">
        <f ca="1">IFERROR(IF(0=LEN(ReferenceData!$AR$129),"",ReferenceData!$AR$129),"")</f>
        <v>70607</v>
      </c>
      <c r="AS129">
        <f ca="1">IFERROR(IF(0=LEN(ReferenceData!$AS$129),"",ReferenceData!$AS$129),"")</f>
        <v>72843</v>
      </c>
      <c r="AT129">
        <f ca="1">IFERROR(IF(0=LEN(ReferenceData!$AT$129),"",ReferenceData!$AT$129),"")</f>
        <v>70862</v>
      </c>
      <c r="AU129">
        <f ca="1">IFERROR(IF(0=LEN(ReferenceData!$AU$129),"",ReferenceData!$AU$129),"")</f>
        <v>68318</v>
      </c>
      <c r="AV129">
        <f ca="1">IFERROR(IF(0=LEN(ReferenceData!$AV$129),"",ReferenceData!$AV$129),"")</f>
        <v>71506</v>
      </c>
      <c r="AW129">
        <f ca="1">IFERROR(IF(0=LEN(ReferenceData!$AW$129),"",ReferenceData!$AW$129),"")</f>
        <v>74938</v>
      </c>
      <c r="AX129">
        <f ca="1">IFERROR(IF(0=LEN(ReferenceData!$AX$129),"",ReferenceData!$AX$129),"")</f>
        <v>78647</v>
      </c>
      <c r="AY129">
        <f ca="1">IFERROR(IF(0=LEN(ReferenceData!$AY$129),"",ReferenceData!$AY$129),"")</f>
        <v>83287</v>
      </c>
      <c r="AZ129">
        <f ca="1">IFERROR(IF(0=LEN(ReferenceData!$AZ$129),"",ReferenceData!$AZ$129),"")</f>
        <v>85910</v>
      </c>
      <c r="BA129">
        <f ca="1">IFERROR(IF(0=LEN(ReferenceData!$BA$129),"",ReferenceData!$BA$129),"")</f>
        <v>90225</v>
      </c>
      <c r="BB129">
        <f ca="1">IFERROR(IF(0=LEN(ReferenceData!$BB$129),"",ReferenceData!$BB$129),"")</f>
        <v>88975</v>
      </c>
      <c r="BC129">
        <f ca="1">IFERROR(IF(0=LEN(ReferenceData!$BC$129),"",ReferenceData!$BC$129),"")</f>
        <v>94171</v>
      </c>
      <c r="BD129">
        <f ca="1">IFERROR(IF(0=LEN(ReferenceData!$BD$129),"",ReferenceData!$BD$129),"")</f>
        <v>78134</v>
      </c>
      <c r="BE129">
        <f ca="1">IFERROR(IF(0=LEN(ReferenceData!$BE$129),"",ReferenceData!$BE$129),"")</f>
        <v>76693</v>
      </c>
      <c r="BF129">
        <f ca="1">IFERROR(IF(0=LEN(ReferenceData!$BF$129),"",ReferenceData!$BF$129),"")</f>
        <v>77919</v>
      </c>
      <c r="BG129">
        <f ca="1">IFERROR(IF(0=LEN(ReferenceData!$BG$129),"",ReferenceData!$BG$129),"")</f>
        <v>78407</v>
      </c>
      <c r="BH129">
        <f ca="1">IFERROR(IF(0=LEN(ReferenceData!$BH$129),"",ReferenceData!$BH$129),"")</f>
        <v>80808</v>
      </c>
      <c r="BI129">
        <f ca="1">IFERROR(IF(0=LEN(ReferenceData!$BI$129),"",ReferenceData!$BI$129),"")</f>
        <v>25592</v>
      </c>
      <c r="BJ129">
        <f ca="1">IFERROR(IF(0=LEN(ReferenceData!$BJ$129),"",ReferenceData!$BJ$129),"")</f>
        <v>81124</v>
      </c>
      <c r="BK129">
        <f ca="1">IFERROR(IF(0=LEN(ReferenceData!$BK$129),"",ReferenceData!$BK$129),"")</f>
        <v>78022</v>
      </c>
      <c r="BL129">
        <f ca="1">IFERROR(IF(0=LEN(ReferenceData!$BL$129),"",ReferenceData!$BL$129),"")</f>
        <v>78699</v>
      </c>
      <c r="BM129">
        <f ca="1">IFERROR(IF(0=LEN(ReferenceData!$BM$129),"",ReferenceData!$BM$129),"")</f>
        <v>27071</v>
      </c>
    </row>
    <row r="130" spans="1:65" x14ac:dyDescent="0.25">
      <c r="A130" t="str">
        <f>IFERROR(IF(0=LEN(ReferenceData!$A$130),"",ReferenceData!$A$130),"")</f>
        <v xml:space="preserve">    Commerzbank AG</v>
      </c>
      <c r="B130" t="str">
        <f>IFERROR(IF(0=LEN(ReferenceData!$B$130),"",ReferenceData!$B$130),"")</f>
        <v>CBK GR Equity</v>
      </c>
      <c r="C130" t="str">
        <f>IFERROR(IF(0=LEN(ReferenceData!$C$130),"",ReferenceData!$C$130),"")</f>
        <v>BS016</v>
      </c>
      <c r="D130" t="str">
        <f>IFERROR(IF(0=LEN(ReferenceData!$D$130),"",ReferenceData!$D$130),"")</f>
        <v>BS_COMM_LOAN</v>
      </c>
      <c r="E130" t="str">
        <f>IFERROR(IF(0=LEN(ReferenceData!$E$130),"",ReferenceData!$E$130),"")</f>
        <v>Dynamic</v>
      </c>
      <c r="F130" t="str">
        <f ca="1">IFERROR(IF(0=LEN(ReferenceData!$F$130),"",ReferenceData!$F$130),"")</f>
        <v/>
      </c>
      <c r="G130" t="str">
        <f ca="1">IFERROR(IF(0=LEN(ReferenceData!$G$130),"",ReferenceData!$G$130),"")</f>
        <v/>
      </c>
      <c r="H130" t="str">
        <f ca="1">IFERROR(IF(0=LEN(ReferenceData!$H$130),"",ReferenceData!$H$130),"")</f>
        <v/>
      </c>
      <c r="I130" t="str">
        <f ca="1">IFERROR(IF(0=LEN(ReferenceData!$I$130),"",ReferenceData!$I$130),"")</f>
        <v/>
      </c>
      <c r="J130">
        <f ca="1">IFERROR(IF(0=LEN(ReferenceData!$J$130),"",ReferenceData!$J$130),"")</f>
        <v>92508</v>
      </c>
      <c r="K130" t="str">
        <f ca="1">IFERROR(IF(0=LEN(ReferenceData!$K$130),"",ReferenceData!$K$130),"")</f>
        <v/>
      </c>
      <c r="L130" t="str">
        <f ca="1">IFERROR(IF(0=LEN(ReferenceData!$L$130),"",ReferenceData!$L$130),"")</f>
        <v/>
      </c>
      <c r="M130" t="str">
        <f ca="1">IFERROR(IF(0=LEN(ReferenceData!$M$130),"",ReferenceData!$M$130),"")</f>
        <v/>
      </c>
      <c r="N130">
        <f ca="1">IFERROR(IF(0=LEN(ReferenceData!$N$130),"",ReferenceData!$N$130),"")</f>
        <v>94269</v>
      </c>
      <c r="O130" t="str">
        <f ca="1">IFERROR(IF(0=LEN(ReferenceData!$O$130),"",ReferenceData!$O$130),"")</f>
        <v/>
      </c>
      <c r="P130" t="str">
        <f ca="1">IFERROR(IF(0=LEN(ReferenceData!$P$130),"",ReferenceData!$P$130),"")</f>
        <v/>
      </c>
      <c r="Q130" t="str">
        <f ca="1">IFERROR(IF(0=LEN(ReferenceData!$Q$130),"",ReferenceData!$Q$130),"")</f>
        <v/>
      </c>
      <c r="R130">
        <f ca="1">IFERROR(IF(0=LEN(ReferenceData!$R$130),"",ReferenceData!$R$130),"")</f>
        <v>92597</v>
      </c>
      <c r="S130" t="str">
        <f ca="1">IFERROR(IF(0=LEN(ReferenceData!$S$130),"",ReferenceData!$S$130),"")</f>
        <v/>
      </c>
      <c r="T130">
        <f ca="1">IFERROR(IF(0=LEN(ReferenceData!$T$130),"",ReferenceData!$T$130),"")</f>
        <v>89749</v>
      </c>
      <c r="U130" t="str">
        <f ca="1">IFERROR(IF(0=LEN(ReferenceData!$U$130),"",ReferenceData!$U$130),"")</f>
        <v/>
      </c>
      <c r="V130">
        <f ca="1">IFERROR(IF(0=LEN(ReferenceData!$V$130),"",ReferenceData!$V$130),"")</f>
        <v>88195</v>
      </c>
      <c r="W130">
        <f ca="1">IFERROR(IF(0=LEN(ReferenceData!$W$130),"",ReferenceData!$W$130),"")</f>
        <v>131876</v>
      </c>
      <c r="X130">
        <f ca="1">IFERROR(IF(0=LEN(ReferenceData!$X$130),"",ReferenceData!$X$130),"")</f>
        <v>102592</v>
      </c>
      <c r="Y130">
        <f ca="1">IFERROR(IF(0=LEN(ReferenceData!$Y$130),"",ReferenceData!$Y$130),"")</f>
        <v>119217</v>
      </c>
      <c r="Z130">
        <f ca="1">IFERROR(IF(0=LEN(ReferenceData!$Z$130),"",ReferenceData!$Z$130),"")</f>
        <v>97431</v>
      </c>
      <c r="AA130">
        <f ca="1">IFERROR(IF(0=LEN(ReferenceData!$AA$130),"",ReferenceData!$AA$130),"")</f>
        <v>137837</v>
      </c>
      <c r="AB130">
        <f ca="1">IFERROR(IF(0=LEN(ReferenceData!$AB$130),"",ReferenceData!$AB$130),"")</f>
        <v>101335</v>
      </c>
      <c r="AC130">
        <f ca="1">IFERROR(IF(0=LEN(ReferenceData!$AC$130),"",ReferenceData!$AC$130),"")</f>
        <v>97305</v>
      </c>
      <c r="AD130">
        <f ca="1">IFERROR(IF(0=LEN(ReferenceData!$AD$130),"",ReferenceData!$AD$130),"")</f>
        <v>92090</v>
      </c>
      <c r="AE130">
        <f ca="1">IFERROR(IF(0=LEN(ReferenceData!$AE$130),"",ReferenceData!$AE$130),"")</f>
        <v>92540</v>
      </c>
      <c r="AF130">
        <f ca="1">IFERROR(IF(0=LEN(ReferenceData!$AF$130),"",ReferenceData!$AF$130),"")</f>
        <v>91307</v>
      </c>
      <c r="AG130">
        <f ca="1">IFERROR(IF(0=LEN(ReferenceData!$AG$130),"",ReferenceData!$AG$130),"")</f>
        <v>88539</v>
      </c>
      <c r="AH130">
        <f ca="1">IFERROR(IF(0=LEN(ReferenceData!$AH$130),"",ReferenceData!$AH$130),"")</f>
        <v>90468</v>
      </c>
      <c r="AI130" t="str">
        <f ca="1">IFERROR(IF(0=LEN(ReferenceData!$AI$130),"",ReferenceData!$AI$130),"")</f>
        <v/>
      </c>
      <c r="AJ130" t="str">
        <f ca="1">IFERROR(IF(0=LEN(ReferenceData!$AJ$130),"",ReferenceData!$AJ$130),"")</f>
        <v/>
      </c>
      <c r="AK130" t="str">
        <f ca="1">IFERROR(IF(0=LEN(ReferenceData!$AK$130),"",ReferenceData!$AK$130),"")</f>
        <v/>
      </c>
      <c r="AL130">
        <f ca="1">IFERROR(IF(0=LEN(ReferenceData!$AL$130),"",ReferenceData!$AL$130),"")</f>
        <v>97590</v>
      </c>
      <c r="AM130" t="str">
        <f ca="1">IFERROR(IF(0=LEN(ReferenceData!$AM$130),"",ReferenceData!$AM$130),"")</f>
        <v/>
      </c>
      <c r="AN130" t="str">
        <f ca="1">IFERROR(IF(0=LEN(ReferenceData!$AN$130),"",ReferenceData!$AN$130),"")</f>
        <v/>
      </c>
      <c r="AO130" t="str">
        <f ca="1">IFERROR(IF(0=LEN(ReferenceData!$AO$130),"",ReferenceData!$AO$130),"")</f>
        <v/>
      </c>
      <c r="AP130">
        <f ca="1">IFERROR(IF(0=LEN(ReferenceData!$AP$130),"",ReferenceData!$AP$130),"")</f>
        <v>61369</v>
      </c>
      <c r="AQ130" t="str">
        <f ca="1">IFERROR(IF(0=LEN(ReferenceData!$AQ$130),"",ReferenceData!$AQ$130),"")</f>
        <v/>
      </c>
      <c r="AR130" t="str">
        <f ca="1">IFERROR(IF(0=LEN(ReferenceData!$AR$130),"",ReferenceData!$AR$130),"")</f>
        <v/>
      </c>
      <c r="AS130" t="str">
        <f ca="1">IFERROR(IF(0=LEN(ReferenceData!$AS$130),"",ReferenceData!$AS$130),"")</f>
        <v/>
      </c>
      <c r="AT130">
        <f ca="1">IFERROR(IF(0=LEN(ReferenceData!$AT$130),"",ReferenceData!$AT$130),"")</f>
        <v>67235</v>
      </c>
      <c r="AU130" t="str">
        <f ca="1">IFERROR(IF(0=LEN(ReferenceData!$AU$130),"",ReferenceData!$AU$130),"")</f>
        <v/>
      </c>
      <c r="AV130" t="str">
        <f ca="1">IFERROR(IF(0=LEN(ReferenceData!$AV$130),"",ReferenceData!$AV$130),"")</f>
        <v/>
      </c>
      <c r="AW130" t="str">
        <f ca="1">IFERROR(IF(0=LEN(ReferenceData!$AW$130),"",ReferenceData!$AW$130),"")</f>
        <v/>
      </c>
      <c r="AX130">
        <f ca="1">IFERROR(IF(0=LEN(ReferenceData!$AX$130),"",ReferenceData!$AX$130),"")</f>
        <v>70217</v>
      </c>
      <c r="AY130" t="str">
        <f ca="1">IFERROR(IF(0=LEN(ReferenceData!$AY$130),"",ReferenceData!$AY$130),"")</f>
        <v/>
      </c>
      <c r="AZ130" t="str">
        <f ca="1">IFERROR(IF(0=LEN(ReferenceData!$AZ$130),"",ReferenceData!$AZ$130),"")</f>
        <v/>
      </c>
      <c r="BA130" t="str">
        <f ca="1">IFERROR(IF(0=LEN(ReferenceData!$BA$130),"",ReferenceData!$BA$130),"")</f>
        <v/>
      </c>
      <c r="BB130">
        <f ca="1">IFERROR(IF(0=LEN(ReferenceData!$BB$130),"",ReferenceData!$BB$130),"")</f>
        <v>87532</v>
      </c>
      <c r="BC130" t="str">
        <f ca="1">IFERROR(IF(0=LEN(ReferenceData!$BC$130),"",ReferenceData!$BC$130),"")</f>
        <v/>
      </c>
      <c r="BD130" t="str">
        <f ca="1">IFERROR(IF(0=LEN(ReferenceData!$BD$130),"",ReferenceData!$BD$130),"")</f>
        <v/>
      </c>
      <c r="BE130" t="str">
        <f ca="1">IFERROR(IF(0=LEN(ReferenceData!$BE$130),"",ReferenceData!$BE$130),"")</f>
        <v/>
      </c>
      <c r="BF130">
        <f ca="1">IFERROR(IF(0=LEN(ReferenceData!$BF$130),"",ReferenceData!$BF$130),"")</f>
        <v>201935</v>
      </c>
      <c r="BG130" t="str">
        <f ca="1">IFERROR(IF(0=LEN(ReferenceData!$BG$130),"",ReferenceData!$BG$130),"")</f>
        <v/>
      </c>
      <c r="BH130" t="str">
        <f ca="1">IFERROR(IF(0=LEN(ReferenceData!$BH$130),"",ReferenceData!$BH$130),"")</f>
        <v/>
      </c>
      <c r="BI130" t="str">
        <f ca="1">IFERROR(IF(0=LEN(ReferenceData!$BI$130),"",ReferenceData!$BI$130),"")</f>
        <v/>
      </c>
      <c r="BJ130" t="str">
        <f ca="1">IFERROR(IF(0=LEN(ReferenceData!$BJ$130),"",ReferenceData!$BJ$130),"")</f>
        <v/>
      </c>
      <c r="BK130" t="str">
        <f ca="1">IFERROR(IF(0=LEN(ReferenceData!$BK$130),"",ReferenceData!$BK$130),"")</f>
        <v/>
      </c>
      <c r="BL130" t="str">
        <f ca="1">IFERROR(IF(0=LEN(ReferenceData!$BL$130),"",ReferenceData!$BL$130),"")</f>
        <v/>
      </c>
      <c r="BM130" t="str">
        <f ca="1">IFERROR(IF(0=LEN(ReferenceData!$BM$130),"",ReferenceData!$BM$130),"")</f>
        <v/>
      </c>
    </row>
    <row r="131" spans="1:65" x14ac:dyDescent="0.25">
      <c r="A131" t="str">
        <f>IFERROR(IF(0=LEN(ReferenceData!$A$131),"",ReferenceData!$A$131),"")</f>
        <v xml:space="preserve">    Credit Agricole SA</v>
      </c>
      <c r="B131" t="str">
        <f>IFERROR(IF(0=LEN(ReferenceData!$B$131),"",ReferenceData!$B$131),"")</f>
        <v>ACA FP Equity</v>
      </c>
      <c r="C131" t="str">
        <f>IFERROR(IF(0=LEN(ReferenceData!$C$131),"",ReferenceData!$C$131),"")</f>
        <v>BS016</v>
      </c>
      <c r="D131" t="str">
        <f>IFERROR(IF(0=LEN(ReferenceData!$D$131),"",ReferenceData!$D$131),"")</f>
        <v>BS_COMM_LOAN</v>
      </c>
      <c r="E131" t="str">
        <f>IFERROR(IF(0=LEN(ReferenceData!$E$131),"",ReferenceData!$E$131),"")</f>
        <v>Dynamic</v>
      </c>
      <c r="F131" t="str">
        <f ca="1">IFERROR(IF(0=LEN(ReferenceData!$F$131),"",ReferenceData!$F$131),"")</f>
        <v/>
      </c>
      <c r="G131" t="str">
        <f ca="1">IFERROR(IF(0=LEN(ReferenceData!$G$131),"",ReferenceData!$G$131),"")</f>
        <v/>
      </c>
      <c r="H131" t="str">
        <f ca="1">IFERROR(IF(0=LEN(ReferenceData!$H$131),"",ReferenceData!$H$131),"")</f>
        <v/>
      </c>
      <c r="I131" t="str">
        <f ca="1">IFERROR(IF(0=LEN(ReferenceData!$I$131),"",ReferenceData!$I$131),"")</f>
        <v/>
      </c>
      <c r="J131" t="str">
        <f ca="1">IFERROR(IF(0=LEN(ReferenceData!$J$131),"",ReferenceData!$J$131),"")</f>
        <v/>
      </c>
      <c r="K131" t="str">
        <f ca="1">IFERROR(IF(0=LEN(ReferenceData!$K$131),"",ReferenceData!$K$131),"")</f>
        <v/>
      </c>
      <c r="L131" t="str">
        <f ca="1">IFERROR(IF(0=LEN(ReferenceData!$L$131),"",ReferenceData!$L$131),"")</f>
        <v/>
      </c>
      <c r="M131" t="str">
        <f ca="1">IFERROR(IF(0=LEN(ReferenceData!$M$131),"",ReferenceData!$M$131),"")</f>
        <v/>
      </c>
      <c r="N131" t="str">
        <f ca="1">IFERROR(IF(0=LEN(ReferenceData!$N$131),"",ReferenceData!$N$131),"")</f>
        <v/>
      </c>
      <c r="O131" t="str">
        <f ca="1">IFERROR(IF(0=LEN(ReferenceData!$O$131),"",ReferenceData!$O$131),"")</f>
        <v/>
      </c>
      <c r="P131" t="str">
        <f ca="1">IFERROR(IF(0=LEN(ReferenceData!$P$131),"",ReferenceData!$P$131),"")</f>
        <v/>
      </c>
      <c r="Q131" t="str">
        <f ca="1">IFERROR(IF(0=LEN(ReferenceData!$Q$131),"",ReferenceData!$Q$131),"")</f>
        <v/>
      </c>
      <c r="R131" t="str">
        <f ca="1">IFERROR(IF(0=LEN(ReferenceData!$R$131),"",ReferenceData!$R$131),"")</f>
        <v/>
      </c>
      <c r="S131" t="str">
        <f ca="1">IFERROR(IF(0=LEN(ReferenceData!$S$131),"",ReferenceData!$S$131),"")</f>
        <v/>
      </c>
      <c r="T131" t="str">
        <f ca="1">IFERROR(IF(0=LEN(ReferenceData!$T$131),"",ReferenceData!$T$131),"")</f>
        <v/>
      </c>
      <c r="U131" t="str">
        <f ca="1">IFERROR(IF(0=LEN(ReferenceData!$U$131),"",ReferenceData!$U$131),"")</f>
        <v/>
      </c>
      <c r="V131" t="str">
        <f ca="1">IFERROR(IF(0=LEN(ReferenceData!$V$131),"",ReferenceData!$V$131),"")</f>
        <v/>
      </c>
      <c r="W131" t="str">
        <f ca="1">IFERROR(IF(0=LEN(ReferenceData!$W$131),"",ReferenceData!$W$131),"")</f>
        <v/>
      </c>
      <c r="X131" t="str">
        <f ca="1">IFERROR(IF(0=LEN(ReferenceData!$X$131),"",ReferenceData!$X$131),"")</f>
        <v/>
      </c>
      <c r="Y131" t="str">
        <f ca="1">IFERROR(IF(0=LEN(ReferenceData!$Y$131),"",ReferenceData!$Y$131),"")</f>
        <v/>
      </c>
      <c r="Z131" t="str">
        <f ca="1">IFERROR(IF(0=LEN(ReferenceData!$Z$131),"",ReferenceData!$Z$131),"")</f>
        <v/>
      </c>
      <c r="AA131" t="str">
        <f ca="1">IFERROR(IF(0=LEN(ReferenceData!$AA$131),"",ReferenceData!$AA$131),"")</f>
        <v/>
      </c>
      <c r="AB131" t="str">
        <f ca="1">IFERROR(IF(0=LEN(ReferenceData!$AB$131),"",ReferenceData!$AB$131),"")</f>
        <v/>
      </c>
      <c r="AC131" t="str">
        <f ca="1">IFERROR(IF(0=LEN(ReferenceData!$AC$131),"",ReferenceData!$AC$131),"")</f>
        <v/>
      </c>
      <c r="AD131" t="str">
        <f ca="1">IFERROR(IF(0=LEN(ReferenceData!$AD$131),"",ReferenceData!$AD$131),"")</f>
        <v/>
      </c>
      <c r="AE131" t="str">
        <f ca="1">IFERROR(IF(0=LEN(ReferenceData!$AE$131),"",ReferenceData!$AE$131),"")</f>
        <v/>
      </c>
      <c r="AF131" t="str">
        <f ca="1">IFERROR(IF(0=LEN(ReferenceData!$AF$131),"",ReferenceData!$AF$131),"")</f>
        <v/>
      </c>
      <c r="AG131" t="str">
        <f ca="1">IFERROR(IF(0=LEN(ReferenceData!$AG$131),"",ReferenceData!$AG$131),"")</f>
        <v/>
      </c>
      <c r="AH131" t="str">
        <f ca="1">IFERROR(IF(0=LEN(ReferenceData!$AH$131),"",ReferenceData!$AH$131),"")</f>
        <v/>
      </c>
      <c r="AI131" t="str">
        <f ca="1">IFERROR(IF(0=LEN(ReferenceData!$AI$131),"",ReferenceData!$AI$131),"")</f>
        <v/>
      </c>
      <c r="AJ131" t="str">
        <f ca="1">IFERROR(IF(0=LEN(ReferenceData!$AJ$131),"",ReferenceData!$AJ$131),"")</f>
        <v/>
      </c>
      <c r="AK131" t="str">
        <f ca="1">IFERROR(IF(0=LEN(ReferenceData!$AK$131),"",ReferenceData!$AK$131),"")</f>
        <v/>
      </c>
      <c r="AL131" t="str">
        <f ca="1">IFERROR(IF(0=LEN(ReferenceData!$AL$131),"",ReferenceData!$AL$131),"")</f>
        <v/>
      </c>
      <c r="AM131" t="str">
        <f ca="1">IFERROR(IF(0=LEN(ReferenceData!$AM$131),"",ReferenceData!$AM$131),"")</f>
        <v/>
      </c>
      <c r="AN131" t="str">
        <f ca="1">IFERROR(IF(0=LEN(ReferenceData!$AN$131),"",ReferenceData!$AN$131),"")</f>
        <v/>
      </c>
      <c r="AO131" t="str">
        <f ca="1">IFERROR(IF(0=LEN(ReferenceData!$AO$131),"",ReferenceData!$AO$131),"")</f>
        <v/>
      </c>
      <c r="AP131" t="str">
        <f ca="1">IFERROR(IF(0=LEN(ReferenceData!$AP$131),"",ReferenceData!$AP$131),"")</f>
        <v/>
      </c>
      <c r="AQ131" t="str">
        <f ca="1">IFERROR(IF(0=LEN(ReferenceData!$AQ$131),"",ReferenceData!$AQ$131),"")</f>
        <v/>
      </c>
      <c r="AR131" t="str">
        <f ca="1">IFERROR(IF(0=LEN(ReferenceData!$AR$131),"",ReferenceData!$AR$131),"")</f>
        <v/>
      </c>
      <c r="AS131" t="str">
        <f ca="1">IFERROR(IF(0=LEN(ReferenceData!$AS$131),"",ReferenceData!$AS$131),"")</f>
        <v/>
      </c>
      <c r="AT131" t="str">
        <f ca="1">IFERROR(IF(0=LEN(ReferenceData!$AT$131),"",ReferenceData!$AT$131),"")</f>
        <v/>
      </c>
      <c r="AU131" t="str">
        <f ca="1">IFERROR(IF(0=LEN(ReferenceData!$AU$131),"",ReferenceData!$AU$131),"")</f>
        <v/>
      </c>
      <c r="AV131" t="str">
        <f ca="1">IFERROR(IF(0=LEN(ReferenceData!$AV$131),"",ReferenceData!$AV$131),"")</f>
        <v/>
      </c>
      <c r="AW131" t="str">
        <f ca="1">IFERROR(IF(0=LEN(ReferenceData!$AW$131),"",ReferenceData!$AW$131),"")</f>
        <v/>
      </c>
      <c r="AX131" t="str">
        <f ca="1">IFERROR(IF(0=LEN(ReferenceData!$AX$131),"",ReferenceData!$AX$131),"")</f>
        <v/>
      </c>
      <c r="AY131" t="str">
        <f ca="1">IFERROR(IF(0=LEN(ReferenceData!$AY$131),"",ReferenceData!$AY$131),"")</f>
        <v/>
      </c>
      <c r="AZ131" t="str">
        <f ca="1">IFERROR(IF(0=LEN(ReferenceData!$AZ$131),"",ReferenceData!$AZ$131),"")</f>
        <v/>
      </c>
      <c r="BA131" t="str">
        <f ca="1">IFERROR(IF(0=LEN(ReferenceData!$BA$131),"",ReferenceData!$BA$131),"")</f>
        <v/>
      </c>
      <c r="BB131" t="str">
        <f ca="1">IFERROR(IF(0=LEN(ReferenceData!$BB$131),"",ReferenceData!$BB$131),"")</f>
        <v/>
      </c>
      <c r="BC131" t="str">
        <f ca="1">IFERROR(IF(0=LEN(ReferenceData!$BC$131),"",ReferenceData!$BC$131),"")</f>
        <v/>
      </c>
      <c r="BD131" t="str">
        <f ca="1">IFERROR(IF(0=LEN(ReferenceData!$BD$131),"",ReferenceData!$BD$131),"")</f>
        <v/>
      </c>
      <c r="BE131" t="str">
        <f ca="1">IFERROR(IF(0=LEN(ReferenceData!$BE$131),"",ReferenceData!$BE$131),"")</f>
        <v/>
      </c>
      <c r="BF131" t="str">
        <f ca="1">IFERROR(IF(0=LEN(ReferenceData!$BF$131),"",ReferenceData!$BF$131),"")</f>
        <v/>
      </c>
      <c r="BG131" t="str">
        <f ca="1">IFERROR(IF(0=LEN(ReferenceData!$BG$131),"",ReferenceData!$BG$131),"")</f>
        <v/>
      </c>
      <c r="BH131" t="str">
        <f ca="1">IFERROR(IF(0=LEN(ReferenceData!$BH$131),"",ReferenceData!$BH$131),"")</f>
        <v/>
      </c>
      <c r="BI131" t="str">
        <f ca="1">IFERROR(IF(0=LEN(ReferenceData!$BI$131),"",ReferenceData!$BI$131),"")</f>
        <v/>
      </c>
      <c r="BJ131" t="str">
        <f ca="1">IFERROR(IF(0=LEN(ReferenceData!$BJ$131),"",ReferenceData!$BJ$131),"")</f>
        <v/>
      </c>
      <c r="BK131" t="str">
        <f ca="1">IFERROR(IF(0=LEN(ReferenceData!$BK$131),"",ReferenceData!$BK$131),"")</f>
        <v/>
      </c>
      <c r="BL131" t="str">
        <f ca="1">IFERROR(IF(0=LEN(ReferenceData!$BL$131),"",ReferenceData!$BL$131),"")</f>
        <v/>
      </c>
      <c r="BM131" t="str">
        <f ca="1">IFERROR(IF(0=LEN(ReferenceData!$BM$131),"",ReferenceData!$BM$131),"")</f>
        <v/>
      </c>
    </row>
    <row r="132" spans="1:65" x14ac:dyDescent="0.25">
      <c r="A132" t="str">
        <f>IFERROR(IF(0=LEN(ReferenceData!$A$132),"",ReferenceData!$A$132),"")</f>
        <v xml:space="preserve">    Deutsche Bank AG</v>
      </c>
      <c r="B132" t="str">
        <f>IFERROR(IF(0=LEN(ReferenceData!$B$132),"",ReferenceData!$B$132),"")</f>
        <v>DBK GR Equity</v>
      </c>
      <c r="C132" t="str">
        <f>IFERROR(IF(0=LEN(ReferenceData!$C$132),"",ReferenceData!$C$132),"")</f>
        <v>BS016</v>
      </c>
      <c r="D132" t="str">
        <f>IFERROR(IF(0=LEN(ReferenceData!$D$132),"",ReferenceData!$D$132),"")</f>
        <v>BS_COMM_LOAN</v>
      </c>
      <c r="E132" t="str">
        <f>IFERROR(IF(0=LEN(ReferenceData!$E$132),"",ReferenceData!$E$132),"")</f>
        <v>Dynamic</v>
      </c>
      <c r="F132">
        <f ca="1">IFERROR(IF(0=LEN(ReferenceData!$F$132),"",ReferenceData!$F$132),"")</f>
        <v>279326</v>
      </c>
      <c r="G132" t="str">
        <f ca="1">IFERROR(IF(0=LEN(ReferenceData!$G$132),"",ReferenceData!$G$132),"")</f>
        <v/>
      </c>
      <c r="H132" t="str">
        <f ca="1">IFERROR(IF(0=LEN(ReferenceData!$H$132),"",ReferenceData!$H$132),"")</f>
        <v/>
      </c>
      <c r="I132" t="str">
        <f ca="1">IFERROR(IF(0=LEN(ReferenceData!$I$132),"",ReferenceData!$I$132),"")</f>
        <v/>
      </c>
      <c r="J132">
        <f ca="1">IFERROR(IF(0=LEN(ReferenceData!$J$132),"",ReferenceData!$J$132),"")</f>
        <v>26458</v>
      </c>
      <c r="K132" t="str">
        <f ca="1">IFERROR(IF(0=LEN(ReferenceData!$K$132),"",ReferenceData!$K$132),"")</f>
        <v/>
      </c>
      <c r="L132" t="str">
        <f ca="1">IFERROR(IF(0=LEN(ReferenceData!$L$132),"",ReferenceData!$L$132),"")</f>
        <v/>
      </c>
      <c r="M132" t="str">
        <f ca="1">IFERROR(IF(0=LEN(ReferenceData!$M$132),"",ReferenceData!$M$132),"")</f>
        <v/>
      </c>
      <c r="N132">
        <f ca="1">IFERROR(IF(0=LEN(ReferenceData!$N$132),"",ReferenceData!$N$132),"")</f>
        <v>187960</v>
      </c>
      <c r="O132" t="str">
        <f ca="1">IFERROR(IF(0=LEN(ReferenceData!$O$132),"",ReferenceData!$O$132),"")</f>
        <v/>
      </c>
      <c r="P132" t="str">
        <f ca="1">IFERROR(IF(0=LEN(ReferenceData!$P$132),"",ReferenceData!$P$132),"")</f>
        <v/>
      </c>
      <c r="Q132" t="str">
        <f ca="1">IFERROR(IF(0=LEN(ReferenceData!$Q$132),"",ReferenceData!$Q$132),"")</f>
        <v/>
      </c>
      <c r="R132">
        <f ca="1">IFERROR(IF(0=LEN(ReferenceData!$R$132),"",ReferenceData!$R$132),"")</f>
        <v>258729</v>
      </c>
      <c r="S132" t="str">
        <f ca="1">IFERROR(IF(0=LEN(ReferenceData!$S$132),"",ReferenceData!$S$132),"")</f>
        <v/>
      </c>
      <c r="T132" t="str">
        <f ca="1">IFERROR(IF(0=LEN(ReferenceData!$T$132),"",ReferenceData!$T$132),"")</f>
        <v/>
      </c>
      <c r="U132" t="str">
        <f ca="1">IFERROR(IF(0=LEN(ReferenceData!$U$132),"",ReferenceData!$U$132),"")</f>
        <v/>
      </c>
      <c r="V132">
        <f ca="1">IFERROR(IF(0=LEN(ReferenceData!$V$132),"",ReferenceData!$V$132),"")</f>
        <v>235892</v>
      </c>
      <c r="W132" t="str">
        <f ca="1">IFERROR(IF(0=LEN(ReferenceData!$W$132),"",ReferenceData!$W$132),"")</f>
        <v/>
      </c>
      <c r="X132" t="str">
        <f ca="1">IFERROR(IF(0=LEN(ReferenceData!$X$132),"",ReferenceData!$X$132),"")</f>
        <v/>
      </c>
      <c r="Y132" t="str">
        <f ca="1">IFERROR(IF(0=LEN(ReferenceData!$Y$132),"",ReferenceData!$Y$132),"")</f>
        <v/>
      </c>
      <c r="Z132">
        <f ca="1">IFERROR(IF(0=LEN(ReferenceData!$Z$132),"",ReferenceData!$Z$132),"")</f>
        <v>251720</v>
      </c>
      <c r="AA132" t="str">
        <f ca="1">IFERROR(IF(0=LEN(ReferenceData!$AA$132),"",ReferenceData!$AA$132),"")</f>
        <v/>
      </c>
      <c r="AB132" t="str">
        <f ca="1">IFERROR(IF(0=LEN(ReferenceData!$AB$132),"",ReferenceData!$AB$132),"")</f>
        <v/>
      </c>
      <c r="AC132" t="str">
        <f ca="1">IFERROR(IF(0=LEN(ReferenceData!$AC$132),"",ReferenceData!$AC$132),"")</f>
        <v/>
      </c>
      <c r="AD132">
        <f ca="1">IFERROR(IF(0=LEN(ReferenceData!$AD$132),"",ReferenceData!$AD$132),"")</f>
        <v>240009</v>
      </c>
      <c r="AE132" t="str">
        <f ca="1">IFERROR(IF(0=LEN(ReferenceData!$AE$132),"",ReferenceData!$AE$132),"")</f>
        <v/>
      </c>
      <c r="AF132" t="str">
        <f ca="1">IFERROR(IF(0=LEN(ReferenceData!$AF$132),"",ReferenceData!$AF$132),"")</f>
        <v/>
      </c>
      <c r="AG132" t="str">
        <f ca="1">IFERROR(IF(0=LEN(ReferenceData!$AG$132),"",ReferenceData!$AG$132),"")</f>
        <v/>
      </c>
      <c r="AH132">
        <f ca="1">IFERROR(IF(0=LEN(ReferenceData!$AH$132),"",ReferenceData!$AH$132),"")</f>
        <v>141892</v>
      </c>
      <c r="AI132" t="str">
        <f ca="1">IFERROR(IF(0=LEN(ReferenceData!$AI$132),"",ReferenceData!$AI$132),"")</f>
        <v/>
      </c>
      <c r="AJ132" t="str">
        <f ca="1">IFERROR(IF(0=LEN(ReferenceData!$AJ$132),"",ReferenceData!$AJ$132),"")</f>
        <v/>
      </c>
      <c r="AK132" t="str">
        <f ca="1">IFERROR(IF(0=LEN(ReferenceData!$AK$132),"",ReferenceData!$AK$132),"")</f>
        <v/>
      </c>
      <c r="AL132">
        <f ca="1">IFERROR(IF(0=LEN(ReferenceData!$AL$132),"",ReferenceData!$AL$132),"")</f>
        <v>138761</v>
      </c>
      <c r="AM132" t="str">
        <f ca="1">IFERROR(IF(0=LEN(ReferenceData!$AM$132),"",ReferenceData!$AM$132),"")</f>
        <v/>
      </c>
      <c r="AN132" t="str">
        <f ca="1">IFERROR(IF(0=LEN(ReferenceData!$AN$132),"",ReferenceData!$AN$132),"")</f>
        <v/>
      </c>
      <c r="AO132" t="str">
        <f ca="1">IFERROR(IF(0=LEN(ReferenceData!$AO$132),"",ReferenceData!$AO$132),"")</f>
        <v/>
      </c>
      <c r="AP132">
        <f ca="1">IFERROR(IF(0=LEN(ReferenceData!$AP$132),"",ReferenceData!$AP$132),"")</f>
        <v>161152</v>
      </c>
      <c r="AQ132" t="str">
        <f ca="1">IFERROR(IF(0=LEN(ReferenceData!$AQ$132),"",ReferenceData!$AQ$132),"")</f>
        <v/>
      </c>
      <c r="AR132" t="str">
        <f ca="1">IFERROR(IF(0=LEN(ReferenceData!$AR$132),"",ReferenceData!$AR$132),"")</f>
        <v/>
      </c>
      <c r="AS132" t="str">
        <f ca="1">IFERROR(IF(0=LEN(ReferenceData!$AS$132),"",ReferenceData!$AS$132),"")</f>
        <v/>
      </c>
      <c r="AT132">
        <f ca="1">IFERROR(IF(0=LEN(ReferenceData!$AT$132),"",ReferenceData!$AT$132),"")</f>
        <v>118118</v>
      </c>
      <c r="AU132" t="str">
        <f ca="1">IFERROR(IF(0=LEN(ReferenceData!$AU$132),"",ReferenceData!$AU$132),"")</f>
        <v/>
      </c>
      <c r="AV132" t="str">
        <f ca="1">IFERROR(IF(0=LEN(ReferenceData!$AV$132),"",ReferenceData!$AV$132),"")</f>
        <v/>
      </c>
      <c r="AW132" t="str">
        <f ca="1">IFERROR(IF(0=LEN(ReferenceData!$AW$132),"",ReferenceData!$AW$132),"")</f>
        <v/>
      </c>
      <c r="AX132">
        <f ca="1">IFERROR(IF(0=LEN(ReferenceData!$AX$132),"",ReferenceData!$AX$132),"")</f>
        <v>110958</v>
      </c>
      <c r="AY132" t="str">
        <f ca="1">IFERROR(IF(0=LEN(ReferenceData!$AY$132),"",ReferenceData!$AY$132),"")</f>
        <v/>
      </c>
      <c r="AZ132" t="str">
        <f ca="1">IFERROR(IF(0=LEN(ReferenceData!$AZ$132),"",ReferenceData!$AZ$132),"")</f>
        <v/>
      </c>
      <c r="BA132" t="str">
        <f ca="1">IFERROR(IF(0=LEN(ReferenceData!$BA$132),"",ReferenceData!$BA$132),"")</f>
        <v/>
      </c>
      <c r="BB132">
        <f ca="1">IFERROR(IF(0=LEN(ReferenceData!$BB$132),"",ReferenceData!$BB$132),"")</f>
        <v>128762</v>
      </c>
      <c r="BC132" t="str">
        <f ca="1">IFERROR(IF(0=LEN(ReferenceData!$BC$132),"",ReferenceData!$BC$132),"")</f>
        <v/>
      </c>
      <c r="BD132" t="str">
        <f ca="1">IFERROR(IF(0=LEN(ReferenceData!$BD$132),"",ReferenceData!$BD$132),"")</f>
        <v/>
      </c>
      <c r="BE132" t="str">
        <f ca="1">IFERROR(IF(0=LEN(ReferenceData!$BE$132),"",ReferenceData!$BE$132),"")</f>
        <v/>
      </c>
      <c r="BF132">
        <f ca="1">IFERROR(IF(0=LEN(ReferenceData!$BF$132),"",ReferenceData!$BF$132),"")</f>
        <v>135662</v>
      </c>
      <c r="BG132" t="str">
        <f ca="1">IFERROR(IF(0=LEN(ReferenceData!$BG$132),"",ReferenceData!$BG$132),"")</f>
        <v/>
      </c>
      <c r="BH132" t="str">
        <f ca="1">IFERROR(IF(0=LEN(ReferenceData!$BH$132),"",ReferenceData!$BH$132),"")</f>
        <v/>
      </c>
      <c r="BI132" t="str">
        <f ca="1">IFERROR(IF(0=LEN(ReferenceData!$BI$132),"",ReferenceData!$BI$132),"")</f>
        <v/>
      </c>
      <c r="BJ132">
        <f ca="1">IFERROR(IF(0=LEN(ReferenceData!$BJ$132),"",ReferenceData!$BJ$132),"")</f>
        <v>141416</v>
      </c>
      <c r="BK132" t="str">
        <f ca="1">IFERROR(IF(0=LEN(ReferenceData!$BK$132),"",ReferenceData!$BK$132),"")</f>
        <v/>
      </c>
      <c r="BL132" t="str">
        <f ca="1">IFERROR(IF(0=LEN(ReferenceData!$BL$132),"",ReferenceData!$BL$132),"")</f>
        <v/>
      </c>
      <c r="BM132" t="str">
        <f ca="1">IFERROR(IF(0=LEN(ReferenceData!$BM$132),"",ReferenceData!$BM$132),"")</f>
        <v/>
      </c>
    </row>
    <row r="133" spans="1:65" x14ac:dyDescent="0.25">
      <c r="A133" t="str">
        <f>IFERROR(IF(0=LEN(ReferenceData!$A$133),"",ReferenceData!$A$133),"")</f>
        <v xml:space="preserve">    DNB Bank ASA</v>
      </c>
      <c r="B133" t="str">
        <f>IFERROR(IF(0=LEN(ReferenceData!$B$133),"",ReferenceData!$B$133),"")</f>
        <v>DNB NO Equity</v>
      </c>
      <c r="C133" t="str">
        <f>IFERROR(IF(0=LEN(ReferenceData!$C$133),"",ReferenceData!$C$133),"")</f>
        <v>BS016</v>
      </c>
      <c r="D133" t="str">
        <f>IFERROR(IF(0=LEN(ReferenceData!$D$133),"",ReferenceData!$D$133),"")</f>
        <v>BS_COMM_LOAN</v>
      </c>
      <c r="E133" t="str">
        <f>IFERROR(IF(0=LEN(ReferenceData!$E$133),"",ReferenceData!$E$133),"")</f>
        <v>Dynamic</v>
      </c>
      <c r="F133">
        <f ca="1">IFERROR(IF(0=LEN(ReferenceData!$F$133),"",ReferenceData!$F$133),"")</f>
        <v>101625.05130000001</v>
      </c>
      <c r="G133">
        <f ca="1">IFERROR(IF(0=LEN(ReferenceData!$G$133),"",ReferenceData!$G$133),"")</f>
        <v>87778.483179999996</v>
      </c>
      <c r="H133">
        <f ca="1">IFERROR(IF(0=LEN(ReferenceData!$H$133),"",ReferenceData!$H$133),"")</f>
        <v>85724.537349999999</v>
      </c>
      <c r="I133">
        <f ca="1">IFERROR(IF(0=LEN(ReferenceData!$I$133),"",ReferenceData!$I$133),"")</f>
        <v>83900.048779999997</v>
      </c>
      <c r="J133">
        <f ca="1">IFERROR(IF(0=LEN(ReferenceData!$J$133),"",ReferenceData!$J$133),"")</f>
        <v>85661.949179999996</v>
      </c>
      <c r="K133">
        <f ca="1">IFERROR(IF(0=LEN(ReferenceData!$K$133),"",ReferenceData!$K$133),"")</f>
        <v>86167.869600000005</v>
      </c>
      <c r="L133">
        <f ca="1">IFERROR(IF(0=LEN(ReferenceData!$L$133),"",ReferenceData!$L$133),"")</f>
        <v>83849.383170000001</v>
      </c>
      <c r="M133">
        <f ca="1">IFERROR(IF(0=LEN(ReferenceData!$M$133),"",ReferenceData!$M$133),"")</f>
        <v>84955.735939999999</v>
      </c>
      <c r="N133">
        <f ca="1">IFERROR(IF(0=LEN(ReferenceData!$N$133),"",ReferenceData!$N$133),"")</f>
        <v>87788.229290000003</v>
      </c>
      <c r="O133">
        <f ca="1">IFERROR(IF(0=LEN(ReferenceData!$O$133),"",ReferenceData!$O$133),"")</f>
        <v>82661.970419999998</v>
      </c>
      <c r="P133">
        <f ca="1">IFERROR(IF(0=LEN(ReferenceData!$P$133),"",ReferenceData!$P$133),"")</f>
        <v>90299.980899999995</v>
      </c>
      <c r="Q133">
        <f ca="1">IFERROR(IF(0=LEN(ReferenceData!$Q$133),"",ReferenceData!$Q$133),"")</f>
        <v>86272.804029999999</v>
      </c>
      <c r="R133">
        <f ca="1">IFERROR(IF(0=LEN(ReferenceData!$R$133),"",ReferenceData!$R$133),"")</f>
        <v>83876.49987</v>
      </c>
      <c r="S133">
        <f ca="1">IFERROR(IF(0=LEN(ReferenceData!$S$133),"",ReferenceData!$S$133),"")</f>
        <v>81226.027319999994</v>
      </c>
      <c r="T133">
        <f ca="1">IFERROR(IF(0=LEN(ReferenceData!$T$133),"",ReferenceData!$T$133),"")</f>
        <v>80053.634099999996</v>
      </c>
      <c r="U133">
        <f ca="1">IFERROR(IF(0=LEN(ReferenceData!$U$133),"",ReferenceData!$U$133),"")</f>
        <v>80463.408989999996</v>
      </c>
      <c r="V133">
        <f ca="1">IFERROR(IF(0=LEN(ReferenceData!$V$133),"",ReferenceData!$V$133),"")</f>
        <v>77839.075549999994</v>
      </c>
      <c r="W133">
        <f ca="1">IFERROR(IF(0=LEN(ReferenceData!$W$133),"",ReferenceData!$W$133),"")</f>
        <v>76257.783819999997</v>
      </c>
      <c r="X133">
        <f ca="1">IFERROR(IF(0=LEN(ReferenceData!$X$133),"",ReferenceData!$X$133),"")</f>
        <v>78077.658169999995</v>
      </c>
      <c r="Y133">
        <f ca="1">IFERROR(IF(0=LEN(ReferenceData!$Y$133),"",ReferenceData!$Y$133),"")</f>
        <v>77337.628299999997</v>
      </c>
      <c r="Z133">
        <f ca="1">IFERROR(IF(0=LEN(ReferenceData!$Z$133),"",ReferenceData!$Z$133),"")</f>
        <v>76411.538820000002</v>
      </c>
      <c r="AA133">
        <f ca="1">IFERROR(IF(0=LEN(ReferenceData!$AA$133),"",ReferenceData!$AA$133),"")</f>
        <v>76591.147410000005</v>
      </c>
      <c r="AB133">
        <f ca="1">IFERROR(IF(0=LEN(ReferenceData!$AB$133),"",ReferenceData!$AB$133),"")</f>
        <v>82905.275510000007</v>
      </c>
      <c r="AC133">
        <f ca="1">IFERROR(IF(0=LEN(ReferenceData!$AC$133),"",ReferenceData!$AC$133),"")</f>
        <v>82151.868390000003</v>
      </c>
      <c r="AD133">
        <f ca="1">IFERROR(IF(0=LEN(ReferenceData!$AD$133),"",ReferenceData!$AD$133),"")</f>
        <v>76998.118090000004</v>
      </c>
      <c r="AE133">
        <f ca="1">IFERROR(IF(0=LEN(ReferenceData!$AE$133),"",ReferenceData!$AE$133),"")</f>
        <v>68086.491219999996</v>
      </c>
      <c r="AF133">
        <f ca="1">IFERROR(IF(0=LEN(ReferenceData!$AF$133),"",ReferenceData!$AF$133),"")</f>
        <v>75145.138229999997</v>
      </c>
      <c r="AG133">
        <f ca="1">IFERROR(IF(0=LEN(ReferenceData!$AG$133),"",ReferenceData!$AG$133),"")</f>
        <v>72514.213029999999</v>
      </c>
      <c r="AH133">
        <f ca="1">IFERROR(IF(0=LEN(ReferenceData!$AH$133),"",ReferenceData!$AH$133),"")</f>
        <v>72582.332569999999</v>
      </c>
      <c r="AI133" t="str">
        <f ca="1">IFERROR(IF(0=LEN(ReferenceData!$AI$133),"",ReferenceData!$AI$133),"")</f>
        <v/>
      </c>
      <c r="AJ133" t="str">
        <f ca="1">IFERROR(IF(0=LEN(ReferenceData!$AJ$133),"",ReferenceData!$AJ$133),"")</f>
        <v/>
      </c>
      <c r="AK133" t="str">
        <f ca="1">IFERROR(IF(0=LEN(ReferenceData!$AK$133),"",ReferenceData!$AK$133),"")</f>
        <v/>
      </c>
      <c r="AL133">
        <f ca="1">IFERROR(IF(0=LEN(ReferenceData!$AL$133),"",ReferenceData!$AL$133),"")</f>
        <v>80142.303509999998</v>
      </c>
      <c r="AM133" t="str">
        <f ca="1">IFERROR(IF(0=LEN(ReferenceData!$AM$133),"",ReferenceData!$AM$133),"")</f>
        <v/>
      </c>
      <c r="AN133" t="str">
        <f ca="1">IFERROR(IF(0=LEN(ReferenceData!$AN$133),"",ReferenceData!$AN$133),"")</f>
        <v/>
      </c>
      <c r="AO133" t="str">
        <f ca="1">IFERROR(IF(0=LEN(ReferenceData!$AO$133),"",ReferenceData!$AO$133),"")</f>
        <v/>
      </c>
      <c r="AP133">
        <f ca="1">IFERROR(IF(0=LEN(ReferenceData!$AP$133),"",ReferenceData!$AP$133),"")</f>
        <v>80951.240529999995</v>
      </c>
      <c r="AQ133" t="str">
        <f ca="1">IFERROR(IF(0=LEN(ReferenceData!$AQ$133),"",ReferenceData!$AQ$133),"")</f>
        <v/>
      </c>
      <c r="AR133" t="str">
        <f ca="1">IFERROR(IF(0=LEN(ReferenceData!$AR$133),"",ReferenceData!$AR$133),"")</f>
        <v/>
      </c>
      <c r="AS133" t="str">
        <f ca="1">IFERROR(IF(0=LEN(ReferenceData!$AS$133),"",ReferenceData!$AS$133),"")</f>
        <v/>
      </c>
      <c r="AT133">
        <f ca="1">IFERROR(IF(0=LEN(ReferenceData!$AT$133),"",ReferenceData!$AT$133),"")</f>
        <v>79160.642879999999</v>
      </c>
      <c r="AU133" t="str">
        <f ca="1">IFERROR(IF(0=LEN(ReferenceData!$AU$133),"",ReferenceData!$AU$133),"")</f>
        <v/>
      </c>
      <c r="AV133" t="str">
        <f ca="1">IFERROR(IF(0=LEN(ReferenceData!$AV$133),"",ReferenceData!$AV$133),"")</f>
        <v/>
      </c>
      <c r="AW133" t="str">
        <f ca="1">IFERROR(IF(0=LEN(ReferenceData!$AW$133),"",ReferenceData!$AW$133),"")</f>
        <v/>
      </c>
      <c r="AX133" t="str">
        <f ca="1">IFERROR(IF(0=LEN(ReferenceData!$AX$133),"",ReferenceData!$AX$133),"")</f>
        <v/>
      </c>
      <c r="AY133" t="str">
        <f ca="1">IFERROR(IF(0=LEN(ReferenceData!$AY$133),"",ReferenceData!$AY$133),"")</f>
        <v/>
      </c>
      <c r="AZ133" t="str">
        <f ca="1">IFERROR(IF(0=LEN(ReferenceData!$AZ$133),"",ReferenceData!$AZ$133),"")</f>
        <v/>
      </c>
      <c r="BA133" t="str">
        <f ca="1">IFERROR(IF(0=LEN(ReferenceData!$BA$133),"",ReferenceData!$BA$133),"")</f>
        <v/>
      </c>
      <c r="BB133" t="str">
        <f ca="1">IFERROR(IF(0=LEN(ReferenceData!$BB$133),"",ReferenceData!$BB$133),"")</f>
        <v/>
      </c>
      <c r="BC133" t="str">
        <f ca="1">IFERROR(IF(0=LEN(ReferenceData!$BC$133),"",ReferenceData!$BC$133),"")</f>
        <v/>
      </c>
      <c r="BD133" t="str">
        <f ca="1">IFERROR(IF(0=LEN(ReferenceData!$BD$133),"",ReferenceData!$BD$133),"")</f>
        <v/>
      </c>
      <c r="BE133" t="str">
        <f ca="1">IFERROR(IF(0=LEN(ReferenceData!$BE$133),"",ReferenceData!$BE$133),"")</f>
        <v/>
      </c>
      <c r="BF133" t="str">
        <f ca="1">IFERROR(IF(0=LEN(ReferenceData!$BF$133),"",ReferenceData!$BF$133),"")</f>
        <v/>
      </c>
      <c r="BG133" t="str">
        <f ca="1">IFERROR(IF(0=LEN(ReferenceData!$BG$133),"",ReferenceData!$BG$133),"")</f>
        <v/>
      </c>
      <c r="BH133" t="str">
        <f ca="1">IFERROR(IF(0=LEN(ReferenceData!$BH$133),"",ReferenceData!$BH$133),"")</f>
        <v/>
      </c>
      <c r="BI133" t="str">
        <f ca="1">IFERROR(IF(0=LEN(ReferenceData!$BI$133),"",ReferenceData!$BI$133),"")</f>
        <v/>
      </c>
      <c r="BJ133" t="str">
        <f ca="1">IFERROR(IF(0=LEN(ReferenceData!$BJ$133),"",ReferenceData!$BJ$133),"")</f>
        <v/>
      </c>
      <c r="BK133" t="str">
        <f ca="1">IFERROR(IF(0=LEN(ReferenceData!$BK$133),"",ReferenceData!$BK$133),"")</f>
        <v/>
      </c>
      <c r="BL133" t="str">
        <f ca="1">IFERROR(IF(0=LEN(ReferenceData!$BL$133),"",ReferenceData!$BL$133),"")</f>
        <v/>
      </c>
      <c r="BM133" t="str">
        <f ca="1">IFERROR(IF(0=LEN(ReferenceData!$BM$133),"",ReferenceData!$BM$133),"")</f>
        <v/>
      </c>
    </row>
    <row r="134" spans="1:65" x14ac:dyDescent="0.25">
      <c r="A134" t="str">
        <f>IFERROR(IF(0=LEN(ReferenceData!$A$134),"",ReferenceData!$A$134),"")</f>
        <v xml:space="preserve">    Danske Bank A/S</v>
      </c>
      <c r="B134" t="str">
        <f>IFERROR(IF(0=LEN(ReferenceData!$B$134),"",ReferenceData!$B$134),"")</f>
        <v>DANSKE DC Equity</v>
      </c>
      <c r="C134" t="str">
        <f>IFERROR(IF(0=LEN(ReferenceData!$C$134),"",ReferenceData!$C$134),"")</f>
        <v>BS016</v>
      </c>
      <c r="D134" t="str">
        <f>IFERROR(IF(0=LEN(ReferenceData!$D$134),"",ReferenceData!$D$134),"")</f>
        <v>BS_COMM_LOAN</v>
      </c>
      <c r="E134" t="str">
        <f>IFERROR(IF(0=LEN(ReferenceData!$E$134),"",ReferenceData!$E$134),"")</f>
        <v>Dynamic</v>
      </c>
      <c r="F134" t="str">
        <f ca="1">IFERROR(IF(0=LEN(ReferenceData!$F$134),"",ReferenceData!$F$134),"")</f>
        <v/>
      </c>
      <c r="G134" t="str">
        <f ca="1">IFERROR(IF(0=LEN(ReferenceData!$G$134),"",ReferenceData!$G$134),"")</f>
        <v/>
      </c>
      <c r="H134" t="str">
        <f ca="1">IFERROR(IF(0=LEN(ReferenceData!$H$134),"",ReferenceData!$H$134),"")</f>
        <v/>
      </c>
      <c r="I134" t="str">
        <f ca="1">IFERROR(IF(0=LEN(ReferenceData!$I$134),"",ReferenceData!$I$134),"")</f>
        <v/>
      </c>
      <c r="J134" t="str">
        <f ca="1">IFERROR(IF(0=LEN(ReferenceData!$J$134),"",ReferenceData!$J$134),"")</f>
        <v/>
      </c>
      <c r="K134" t="str">
        <f ca="1">IFERROR(IF(0=LEN(ReferenceData!$K$134),"",ReferenceData!$K$134),"")</f>
        <v/>
      </c>
      <c r="L134" t="str">
        <f ca="1">IFERROR(IF(0=LEN(ReferenceData!$L$134),"",ReferenceData!$L$134),"")</f>
        <v/>
      </c>
      <c r="M134" t="str">
        <f ca="1">IFERROR(IF(0=LEN(ReferenceData!$M$134),"",ReferenceData!$M$134),"")</f>
        <v/>
      </c>
      <c r="N134" t="str">
        <f ca="1">IFERROR(IF(0=LEN(ReferenceData!$N$134),"",ReferenceData!$N$134),"")</f>
        <v/>
      </c>
      <c r="O134" t="str">
        <f ca="1">IFERROR(IF(0=LEN(ReferenceData!$O$134),"",ReferenceData!$O$134),"")</f>
        <v/>
      </c>
      <c r="P134" t="str">
        <f ca="1">IFERROR(IF(0=LEN(ReferenceData!$P$134),"",ReferenceData!$P$134),"")</f>
        <v/>
      </c>
      <c r="Q134" t="str">
        <f ca="1">IFERROR(IF(0=LEN(ReferenceData!$Q$134),"",ReferenceData!$Q$134),"")</f>
        <v/>
      </c>
      <c r="R134" t="str">
        <f ca="1">IFERROR(IF(0=LEN(ReferenceData!$R$134),"",ReferenceData!$R$134),"")</f>
        <v/>
      </c>
      <c r="S134" t="str">
        <f ca="1">IFERROR(IF(0=LEN(ReferenceData!$S$134),"",ReferenceData!$S$134),"")</f>
        <v/>
      </c>
      <c r="T134" t="str">
        <f ca="1">IFERROR(IF(0=LEN(ReferenceData!$T$134),"",ReferenceData!$T$134),"")</f>
        <v/>
      </c>
      <c r="U134" t="str">
        <f ca="1">IFERROR(IF(0=LEN(ReferenceData!$U$134),"",ReferenceData!$U$134),"")</f>
        <v/>
      </c>
      <c r="V134" t="str">
        <f ca="1">IFERROR(IF(0=LEN(ReferenceData!$V$134),"",ReferenceData!$V$134),"")</f>
        <v/>
      </c>
      <c r="W134" t="str">
        <f ca="1">IFERROR(IF(0=LEN(ReferenceData!$W$134),"",ReferenceData!$W$134),"")</f>
        <v/>
      </c>
      <c r="X134" t="str">
        <f ca="1">IFERROR(IF(0=LEN(ReferenceData!$X$134),"",ReferenceData!$X$134),"")</f>
        <v/>
      </c>
      <c r="Y134" t="str">
        <f ca="1">IFERROR(IF(0=LEN(ReferenceData!$Y$134),"",ReferenceData!$Y$134),"")</f>
        <v/>
      </c>
      <c r="Z134" t="str">
        <f ca="1">IFERROR(IF(0=LEN(ReferenceData!$Z$134),"",ReferenceData!$Z$134),"")</f>
        <v/>
      </c>
      <c r="AA134" t="str">
        <f ca="1">IFERROR(IF(0=LEN(ReferenceData!$AA$134),"",ReferenceData!$AA$134),"")</f>
        <v/>
      </c>
      <c r="AB134" t="str">
        <f ca="1">IFERROR(IF(0=LEN(ReferenceData!$AB$134),"",ReferenceData!$AB$134),"")</f>
        <v/>
      </c>
      <c r="AC134" t="str">
        <f ca="1">IFERROR(IF(0=LEN(ReferenceData!$AC$134),"",ReferenceData!$AC$134),"")</f>
        <v/>
      </c>
      <c r="AD134" t="str">
        <f ca="1">IFERROR(IF(0=LEN(ReferenceData!$AD$134),"",ReferenceData!$AD$134),"")</f>
        <v/>
      </c>
      <c r="AE134" t="str">
        <f ca="1">IFERROR(IF(0=LEN(ReferenceData!$AE$134),"",ReferenceData!$AE$134),"")</f>
        <v/>
      </c>
      <c r="AF134" t="str">
        <f ca="1">IFERROR(IF(0=LEN(ReferenceData!$AF$134),"",ReferenceData!$AF$134),"")</f>
        <v/>
      </c>
      <c r="AG134" t="str">
        <f ca="1">IFERROR(IF(0=LEN(ReferenceData!$AG$134),"",ReferenceData!$AG$134),"")</f>
        <v/>
      </c>
      <c r="AH134" t="str">
        <f ca="1">IFERROR(IF(0=LEN(ReferenceData!$AH$134),"",ReferenceData!$AH$134),"")</f>
        <v/>
      </c>
      <c r="AI134" t="str">
        <f ca="1">IFERROR(IF(0=LEN(ReferenceData!$AI$134),"",ReferenceData!$AI$134),"")</f>
        <v/>
      </c>
      <c r="AJ134" t="str">
        <f ca="1">IFERROR(IF(0=LEN(ReferenceData!$AJ$134),"",ReferenceData!$AJ$134),"")</f>
        <v/>
      </c>
      <c r="AK134" t="str">
        <f ca="1">IFERROR(IF(0=LEN(ReferenceData!$AK$134),"",ReferenceData!$AK$134),"")</f>
        <v/>
      </c>
      <c r="AL134" t="str">
        <f ca="1">IFERROR(IF(0=LEN(ReferenceData!$AL$134),"",ReferenceData!$AL$134),"")</f>
        <v/>
      </c>
      <c r="AM134" t="str">
        <f ca="1">IFERROR(IF(0=LEN(ReferenceData!$AM$134),"",ReferenceData!$AM$134),"")</f>
        <v/>
      </c>
      <c r="AN134" t="str">
        <f ca="1">IFERROR(IF(0=LEN(ReferenceData!$AN$134),"",ReferenceData!$AN$134),"")</f>
        <v/>
      </c>
      <c r="AO134" t="str">
        <f ca="1">IFERROR(IF(0=LEN(ReferenceData!$AO$134),"",ReferenceData!$AO$134),"")</f>
        <v/>
      </c>
      <c r="AP134" t="str">
        <f ca="1">IFERROR(IF(0=LEN(ReferenceData!$AP$134),"",ReferenceData!$AP$134),"")</f>
        <v/>
      </c>
      <c r="AQ134" t="str">
        <f ca="1">IFERROR(IF(0=LEN(ReferenceData!$AQ$134),"",ReferenceData!$AQ$134),"")</f>
        <v/>
      </c>
      <c r="AR134" t="str">
        <f ca="1">IFERROR(IF(0=LEN(ReferenceData!$AR$134),"",ReferenceData!$AR$134),"")</f>
        <v/>
      </c>
      <c r="AS134" t="str">
        <f ca="1">IFERROR(IF(0=LEN(ReferenceData!$AS$134),"",ReferenceData!$AS$134),"")</f>
        <v/>
      </c>
      <c r="AT134" t="str">
        <f ca="1">IFERROR(IF(0=LEN(ReferenceData!$AT$134),"",ReferenceData!$AT$134),"")</f>
        <v/>
      </c>
      <c r="AU134" t="str">
        <f ca="1">IFERROR(IF(0=LEN(ReferenceData!$AU$134),"",ReferenceData!$AU$134),"")</f>
        <v/>
      </c>
      <c r="AV134" t="str">
        <f ca="1">IFERROR(IF(0=LEN(ReferenceData!$AV$134),"",ReferenceData!$AV$134),"")</f>
        <v/>
      </c>
      <c r="AW134" t="str">
        <f ca="1">IFERROR(IF(0=LEN(ReferenceData!$AW$134),"",ReferenceData!$AW$134),"")</f>
        <v/>
      </c>
      <c r="AX134" t="str">
        <f ca="1">IFERROR(IF(0=LEN(ReferenceData!$AX$134),"",ReferenceData!$AX$134),"")</f>
        <v/>
      </c>
      <c r="AY134" t="str">
        <f ca="1">IFERROR(IF(0=LEN(ReferenceData!$AY$134),"",ReferenceData!$AY$134),"")</f>
        <v/>
      </c>
      <c r="AZ134" t="str">
        <f ca="1">IFERROR(IF(0=LEN(ReferenceData!$AZ$134),"",ReferenceData!$AZ$134),"")</f>
        <v/>
      </c>
      <c r="BA134" t="str">
        <f ca="1">IFERROR(IF(0=LEN(ReferenceData!$BA$134),"",ReferenceData!$BA$134),"")</f>
        <v/>
      </c>
      <c r="BB134" t="str">
        <f ca="1">IFERROR(IF(0=LEN(ReferenceData!$BB$134),"",ReferenceData!$BB$134),"")</f>
        <v/>
      </c>
      <c r="BC134" t="str">
        <f ca="1">IFERROR(IF(0=LEN(ReferenceData!$BC$134),"",ReferenceData!$BC$134),"")</f>
        <v/>
      </c>
      <c r="BD134" t="str">
        <f ca="1">IFERROR(IF(0=LEN(ReferenceData!$BD$134),"",ReferenceData!$BD$134),"")</f>
        <v/>
      </c>
      <c r="BE134" t="str">
        <f ca="1">IFERROR(IF(0=LEN(ReferenceData!$BE$134),"",ReferenceData!$BE$134),"")</f>
        <v/>
      </c>
      <c r="BF134" t="str">
        <f ca="1">IFERROR(IF(0=LEN(ReferenceData!$BF$134),"",ReferenceData!$BF$134),"")</f>
        <v/>
      </c>
      <c r="BG134" t="str">
        <f ca="1">IFERROR(IF(0=LEN(ReferenceData!$BG$134),"",ReferenceData!$BG$134),"")</f>
        <v/>
      </c>
      <c r="BH134" t="str">
        <f ca="1">IFERROR(IF(0=LEN(ReferenceData!$BH$134),"",ReferenceData!$BH$134),"")</f>
        <v/>
      </c>
      <c r="BI134" t="str">
        <f ca="1">IFERROR(IF(0=LEN(ReferenceData!$BI$134),"",ReferenceData!$BI$134),"")</f>
        <v/>
      </c>
      <c r="BJ134" t="str">
        <f ca="1">IFERROR(IF(0=LEN(ReferenceData!$BJ$134),"",ReferenceData!$BJ$134),"")</f>
        <v/>
      </c>
      <c r="BK134" t="str">
        <f ca="1">IFERROR(IF(0=LEN(ReferenceData!$BK$134),"",ReferenceData!$BK$134),"")</f>
        <v/>
      </c>
      <c r="BL134" t="str">
        <f ca="1">IFERROR(IF(0=LEN(ReferenceData!$BL$134),"",ReferenceData!$BL$134),"")</f>
        <v/>
      </c>
      <c r="BM134" t="str">
        <f ca="1">IFERROR(IF(0=LEN(ReferenceData!$BM$134),"",ReferenceData!$BM$134),"")</f>
        <v/>
      </c>
    </row>
    <row r="135" spans="1:65" x14ac:dyDescent="0.25">
      <c r="A135" t="str">
        <f>IFERROR(IF(0=LEN(ReferenceData!$A$135),"",ReferenceData!$A$135),"")</f>
        <v xml:space="preserve">    Erste Group Bank AG</v>
      </c>
      <c r="B135" t="str">
        <f>IFERROR(IF(0=LEN(ReferenceData!$B$135),"",ReferenceData!$B$135),"")</f>
        <v>EBS AV Equity</v>
      </c>
      <c r="C135" t="str">
        <f>IFERROR(IF(0=LEN(ReferenceData!$C$135),"",ReferenceData!$C$135),"")</f>
        <v>BS016</v>
      </c>
      <c r="D135" t="str">
        <f>IFERROR(IF(0=LEN(ReferenceData!$D$135),"",ReferenceData!$D$135),"")</f>
        <v>BS_COMM_LOAN</v>
      </c>
      <c r="E135" t="str">
        <f>IFERROR(IF(0=LEN(ReferenceData!$E$135),"",ReferenceData!$E$135),"")</f>
        <v>Dynamic</v>
      </c>
      <c r="F135" t="str">
        <f ca="1">IFERROR(IF(0=LEN(ReferenceData!$F$135),"",ReferenceData!$F$135),"")</f>
        <v/>
      </c>
      <c r="G135">
        <f ca="1">IFERROR(IF(0=LEN(ReferenceData!$G$135),"",ReferenceData!$G$135),"")</f>
        <v>204790</v>
      </c>
      <c r="H135">
        <f ca="1">IFERROR(IF(0=LEN(ReferenceData!$H$135),"",ReferenceData!$H$135),"")</f>
        <v>202471</v>
      </c>
      <c r="I135">
        <f ca="1">IFERROR(IF(0=LEN(ReferenceData!$I$135),"",ReferenceData!$I$135),"")</f>
        <v>199570.00700000001</v>
      </c>
      <c r="J135">
        <f ca="1">IFERROR(IF(0=LEN(ReferenceData!$J$135),"",ReferenceData!$J$135),"")</f>
        <v>199241</v>
      </c>
      <c r="K135">
        <f ca="1">IFERROR(IF(0=LEN(ReferenceData!$K$135),"",ReferenceData!$K$135),"")</f>
        <v>197824.859</v>
      </c>
      <c r="L135">
        <f ca="1">IFERROR(IF(0=LEN(ReferenceData!$L$135),"",ReferenceData!$L$135),"")</f>
        <v>96471</v>
      </c>
      <c r="M135">
        <f ca="1">IFERROR(IF(0=LEN(ReferenceData!$M$135),"",ReferenceData!$M$135),"")</f>
        <v>194755.35200000001</v>
      </c>
      <c r="N135">
        <f ca="1">IFERROR(IF(0=LEN(ReferenceData!$N$135),"",ReferenceData!$N$135),"")</f>
        <v>194312.8</v>
      </c>
      <c r="O135">
        <f ca="1">IFERROR(IF(0=LEN(ReferenceData!$O$135),"",ReferenceData!$O$135),"")</f>
        <v>93206</v>
      </c>
      <c r="P135">
        <f ca="1">IFERROR(IF(0=LEN(ReferenceData!$P$135),"",ReferenceData!$P$135),"")</f>
        <v>88108</v>
      </c>
      <c r="Q135">
        <f ca="1">IFERROR(IF(0=LEN(ReferenceData!$Q$135),"",ReferenceData!$Q$135),"")</f>
        <v>84722.323000000004</v>
      </c>
      <c r="R135">
        <f ca="1">IFERROR(IF(0=LEN(ReferenceData!$R$135),"",ReferenceData!$R$135),"")</f>
        <v>173099.1</v>
      </c>
      <c r="S135">
        <f ca="1">IFERROR(IF(0=LEN(ReferenceData!$S$135),"",ReferenceData!$S$135),"")</f>
        <v>79517</v>
      </c>
      <c r="T135">
        <f ca="1">IFERROR(IF(0=LEN(ReferenceData!$T$135),"",ReferenceData!$T$135),"")</f>
        <v>77386</v>
      </c>
      <c r="U135">
        <f ca="1">IFERROR(IF(0=LEN(ReferenceData!$U$135),"",ReferenceData!$U$135),"")</f>
        <v>76089</v>
      </c>
      <c r="V135">
        <f ca="1">IFERROR(IF(0=LEN(ReferenceData!$V$135),"",ReferenceData!$V$135),"")</f>
        <v>159895.29999999999</v>
      </c>
      <c r="W135">
        <f ca="1">IFERROR(IF(0=LEN(ReferenceData!$W$135),"",ReferenceData!$W$135),"")</f>
        <v>74802</v>
      </c>
      <c r="X135">
        <f ca="1">IFERROR(IF(0=LEN(ReferenceData!$X$135),"",ReferenceData!$X$135),"")</f>
        <v>72799</v>
      </c>
      <c r="Y135">
        <f ca="1">IFERROR(IF(0=LEN(ReferenceData!$Y$135),"",ReferenceData!$Y$135),"")</f>
        <v>73390</v>
      </c>
      <c r="Z135">
        <f ca="1">IFERROR(IF(0=LEN(ReferenceData!$Z$135),"",ReferenceData!$Z$135),"")</f>
        <v>71386</v>
      </c>
      <c r="AA135">
        <f ca="1">IFERROR(IF(0=LEN(ReferenceData!$AA$135),"",ReferenceData!$AA$135),"")</f>
        <v>70994</v>
      </c>
      <c r="AB135">
        <f ca="1">IFERROR(IF(0=LEN(ReferenceData!$AB$135),"",ReferenceData!$AB$135),"")</f>
        <v>69601</v>
      </c>
      <c r="AC135">
        <f ca="1">IFERROR(IF(0=LEN(ReferenceData!$AC$135),"",ReferenceData!$AC$135),"")</f>
        <v>67981</v>
      </c>
      <c r="AD135">
        <f ca="1">IFERROR(IF(0=LEN(ReferenceData!$AD$135),"",ReferenceData!$AD$135),"")</f>
        <v>65562</v>
      </c>
      <c r="AE135">
        <f ca="1">IFERROR(IF(0=LEN(ReferenceData!$AE$135),"",ReferenceData!$AE$135),"")</f>
        <v>66216</v>
      </c>
      <c r="AF135">
        <f ca="1">IFERROR(IF(0=LEN(ReferenceData!$AF$135),"",ReferenceData!$AF$135),"")</f>
        <v>64727</v>
      </c>
      <c r="AG135">
        <f ca="1">IFERROR(IF(0=LEN(ReferenceData!$AG$135),"",ReferenceData!$AG$135),"")</f>
        <v>63799</v>
      </c>
      <c r="AH135">
        <f ca="1">IFERROR(IF(0=LEN(ReferenceData!$AH$135),"",ReferenceData!$AH$135),"")</f>
        <v>66292</v>
      </c>
      <c r="AI135">
        <f ca="1">IFERROR(IF(0=LEN(ReferenceData!$AI$135),"",ReferenceData!$AI$135),"")</f>
        <v>66015</v>
      </c>
      <c r="AJ135">
        <f ca="1">IFERROR(IF(0=LEN(ReferenceData!$AJ$135),"",ReferenceData!$AJ$135),"")</f>
        <v>64383</v>
      </c>
      <c r="AK135">
        <f ca="1">IFERROR(IF(0=LEN(ReferenceData!$AK$135),"",ReferenceData!$AK$135),"")</f>
        <v>63478</v>
      </c>
      <c r="AL135">
        <f ca="1">IFERROR(IF(0=LEN(ReferenceData!$AL$135),"",ReferenceData!$AL$135),"")</f>
        <v>61916</v>
      </c>
      <c r="AM135">
        <f ca="1">IFERROR(IF(0=LEN(ReferenceData!$AM$135),"",ReferenceData!$AM$135),"")</f>
        <v>61179</v>
      </c>
      <c r="AN135">
        <f ca="1">IFERROR(IF(0=LEN(ReferenceData!$AN$135),"",ReferenceData!$AN$135),"")</f>
        <v>60698</v>
      </c>
      <c r="AO135" t="str">
        <f ca="1">IFERROR(IF(0=LEN(ReferenceData!$AO$135),"",ReferenceData!$AO$135),"")</f>
        <v/>
      </c>
      <c r="AP135">
        <f ca="1">IFERROR(IF(0=LEN(ReferenceData!$AP$135),"",ReferenceData!$AP$135),"")</f>
        <v>61142</v>
      </c>
      <c r="AQ135" t="str">
        <f ca="1">IFERROR(IF(0=LEN(ReferenceData!$AQ$135),"",ReferenceData!$AQ$135),"")</f>
        <v/>
      </c>
      <c r="AR135" t="str">
        <f ca="1">IFERROR(IF(0=LEN(ReferenceData!$AR$135),"",ReferenceData!$AR$135),"")</f>
        <v/>
      </c>
      <c r="AS135" t="str">
        <f ca="1">IFERROR(IF(0=LEN(ReferenceData!$AS$135),"",ReferenceData!$AS$135),"")</f>
        <v/>
      </c>
      <c r="AT135" t="str">
        <f ca="1">IFERROR(IF(0=LEN(ReferenceData!$AT$135),"",ReferenceData!$AT$135),"")</f>
        <v/>
      </c>
      <c r="AU135" t="str">
        <f ca="1">IFERROR(IF(0=LEN(ReferenceData!$AU$135),"",ReferenceData!$AU$135),"")</f>
        <v/>
      </c>
      <c r="AV135" t="str">
        <f ca="1">IFERROR(IF(0=LEN(ReferenceData!$AV$135),"",ReferenceData!$AV$135),"")</f>
        <v/>
      </c>
      <c r="AW135" t="str">
        <f ca="1">IFERROR(IF(0=LEN(ReferenceData!$AW$135),"",ReferenceData!$AW$135),"")</f>
        <v/>
      </c>
      <c r="AX135" t="str">
        <f ca="1">IFERROR(IF(0=LEN(ReferenceData!$AX$135),"",ReferenceData!$AX$135),"")</f>
        <v/>
      </c>
      <c r="AY135">
        <f ca="1">IFERROR(IF(0=LEN(ReferenceData!$AY$135),"",ReferenceData!$AY$135),"")</f>
        <v>66398</v>
      </c>
      <c r="AZ135">
        <f ca="1">IFERROR(IF(0=LEN(ReferenceData!$AZ$135),"",ReferenceData!$AZ$135),"")</f>
        <v>67173</v>
      </c>
      <c r="BA135">
        <f ca="1">IFERROR(IF(0=LEN(ReferenceData!$BA$135),"",ReferenceData!$BA$135),"")</f>
        <v>68961</v>
      </c>
      <c r="BB135">
        <f ca="1">IFERROR(IF(0=LEN(ReferenceData!$BB$135),"",ReferenceData!$BB$135),"")</f>
        <v>69855</v>
      </c>
      <c r="BC135">
        <f ca="1">IFERROR(IF(0=LEN(ReferenceData!$BC$135),"",ReferenceData!$BC$135),"")</f>
        <v>71204</v>
      </c>
      <c r="BD135">
        <f ca="1">IFERROR(IF(0=LEN(ReferenceData!$BD$135),"",ReferenceData!$BD$135),"")</f>
        <v>71908</v>
      </c>
      <c r="BE135">
        <f ca="1">IFERROR(IF(0=LEN(ReferenceData!$BE$135),"",ReferenceData!$BE$135),"")</f>
        <v>72081</v>
      </c>
      <c r="BF135">
        <f ca="1">IFERROR(IF(0=LEN(ReferenceData!$BF$135),"",ReferenceData!$BF$135),"")</f>
        <v>71854</v>
      </c>
      <c r="BG135">
        <f ca="1">IFERROR(IF(0=LEN(ReferenceData!$BG$135),"",ReferenceData!$BG$135),"")</f>
        <v>72237</v>
      </c>
      <c r="BH135">
        <f ca="1">IFERROR(IF(0=LEN(ReferenceData!$BH$135),"",ReferenceData!$BH$135),"")</f>
        <v>71022</v>
      </c>
      <c r="BI135">
        <f ca="1">IFERROR(IF(0=LEN(ReferenceData!$BI$135),"",ReferenceData!$BI$135),"")</f>
        <v>70755</v>
      </c>
      <c r="BJ135">
        <f ca="1">IFERROR(IF(0=LEN(ReferenceData!$BJ$135),"",ReferenceData!$BJ$135),"")</f>
        <v>70518</v>
      </c>
      <c r="BK135">
        <f ca="1">IFERROR(IF(0=LEN(ReferenceData!$BK$135),"",ReferenceData!$BK$135),"")</f>
        <v>69956</v>
      </c>
      <c r="BL135">
        <f ca="1">IFERROR(IF(0=LEN(ReferenceData!$BL$135),"",ReferenceData!$BL$135),"")</f>
        <v>69949</v>
      </c>
      <c r="BM135" t="str">
        <f ca="1">IFERROR(IF(0=LEN(ReferenceData!$BM$135),"",ReferenceData!$BM$135),"")</f>
        <v/>
      </c>
    </row>
    <row r="136" spans="1:65" x14ac:dyDescent="0.25">
      <c r="A136" t="str">
        <f>IFERROR(IF(0=LEN(ReferenceData!$A$136),"",ReferenceData!$A$136),"")</f>
        <v xml:space="preserve">    FinecoBank Banca Fineco SpA</v>
      </c>
      <c r="B136" t="str">
        <f>IFERROR(IF(0=LEN(ReferenceData!$B$136),"",ReferenceData!$B$136),"")</f>
        <v>FBK IM Equity</v>
      </c>
      <c r="C136" t="str">
        <f>IFERROR(IF(0=LEN(ReferenceData!$C$136),"",ReferenceData!$C$136),"")</f>
        <v>BS016</v>
      </c>
      <c r="D136" t="str">
        <f>IFERROR(IF(0=LEN(ReferenceData!$D$136),"",ReferenceData!$D$136),"")</f>
        <v>BS_COMM_LOAN</v>
      </c>
      <c r="E136" t="str">
        <f>IFERROR(IF(0=LEN(ReferenceData!$E$136),"",ReferenceData!$E$136),"")</f>
        <v>Dynamic</v>
      </c>
      <c r="F136" t="str">
        <f ca="1">IFERROR(IF(0=LEN(ReferenceData!$F$136),"",ReferenceData!$F$136),"")</f>
        <v/>
      </c>
      <c r="G136" t="str">
        <f ca="1">IFERROR(IF(0=LEN(ReferenceData!$G$136),"",ReferenceData!$G$136),"")</f>
        <v/>
      </c>
      <c r="H136" t="str">
        <f ca="1">IFERROR(IF(0=LEN(ReferenceData!$H$136),"",ReferenceData!$H$136),"")</f>
        <v/>
      </c>
      <c r="I136" t="str">
        <f ca="1">IFERROR(IF(0=LEN(ReferenceData!$I$136),"",ReferenceData!$I$136),"")</f>
        <v/>
      </c>
      <c r="J136" t="str">
        <f ca="1">IFERROR(IF(0=LEN(ReferenceData!$J$136),"",ReferenceData!$J$136),"")</f>
        <v/>
      </c>
      <c r="K136" t="str">
        <f ca="1">IFERROR(IF(0=LEN(ReferenceData!$K$136),"",ReferenceData!$K$136),"")</f>
        <v/>
      </c>
      <c r="L136" t="str">
        <f ca="1">IFERROR(IF(0=LEN(ReferenceData!$L$136),"",ReferenceData!$L$136),"")</f>
        <v/>
      </c>
      <c r="M136" t="str">
        <f ca="1">IFERROR(IF(0=LEN(ReferenceData!$M$136),"",ReferenceData!$M$136),"")</f>
        <v/>
      </c>
      <c r="N136" t="str">
        <f ca="1">IFERROR(IF(0=LEN(ReferenceData!$N$136),"",ReferenceData!$N$136),"")</f>
        <v/>
      </c>
      <c r="O136" t="str">
        <f ca="1">IFERROR(IF(0=LEN(ReferenceData!$O$136),"",ReferenceData!$O$136),"")</f>
        <v/>
      </c>
      <c r="P136" t="str">
        <f ca="1">IFERROR(IF(0=LEN(ReferenceData!$P$136),"",ReferenceData!$P$136),"")</f>
        <v/>
      </c>
      <c r="Q136" t="str">
        <f ca="1">IFERROR(IF(0=LEN(ReferenceData!$Q$136),"",ReferenceData!$Q$136),"")</f>
        <v/>
      </c>
      <c r="R136" t="str">
        <f ca="1">IFERROR(IF(0=LEN(ReferenceData!$R$136),"",ReferenceData!$R$136),"")</f>
        <v/>
      </c>
      <c r="S136" t="str">
        <f ca="1">IFERROR(IF(0=LEN(ReferenceData!$S$136),"",ReferenceData!$S$136),"")</f>
        <v/>
      </c>
      <c r="T136" t="str">
        <f ca="1">IFERROR(IF(0=LEN(ReferenceData!$T$136),"",ReferenceData!$T$136),"")</f>
        <v/>
      </c>
      <c r="U136" t="str">
        <f ca="1">IFERROR(IF(0=LEN(ReferenceData!$U$136),"",ReferenceData!$U$136),"")</f>
        <v/>
      </c>
      <c r="V136" t="str">
        <f ca="1">IFERROR(IF(0=LEN(ReferenceData!$V$136),"",ReferenceData!$V$136),"")</f>
        <v/>
      </c>
      <c r="W136" t="str">
        <f ca="1">IFERROR(IF(0=LEN(ReferenceData!$W$136),"",ReferenceData!$W$136),"")</f>
        <v/>
      </c>
      <c r="X136" t="str">
        <f ca="1">IFERROR(IF(0=LEN(ReferenceData!$X$136),"",ReferenceData!$X$136),"")</f>
        <v/>
      </c>
      <c r="Y136" t="str">
        <f ca="1">IFERROR(IF(0=LEN(ReferenceData!$Y$136),"",ReferenceData!$Y$136),"")</f>
        <v/>
      </c>
      <c r="Z136" t="str">
        <f ca="1">IFERROR(IF(0=LEN(ReferenceData!$Z$136),"",ReferenceData!$Z$136),"")</f>
        <v/>
      </c>
      <c r="AA136" t="str">
        <f ca="1">IFERROR(IF(0=LEN(ReferenceData!$AA$136),"",ReferenceData!$AA$136),"")</f>
        <v/>
      </c>
      <c r="AB136" t="str">
        <f ca="1">IFERROR(IF(0=LEN(ReferenceData!$AB$136),"",ReferenceData!$AB$136),"")</f>
        <v/>
      </c>
      <c r="AC136" t="str">
        <f ca="1">IFERROR(IF(0=LEN(ReferenceData!$AC$136),"",ReferenceData!$AC$136),"")</f>
        <v/>
      </c>
      <c r="AD136" t="str">
        <f ca="1">IFERROR(IF(0=LEN(ReferenceData!$AD$136),"",ReferenceData!$AD$136),"")</f>
        <v/>
      </c>
      <c r="AE136" t="str">
        <f ca="1">IFERROR(IF(0=LEN(ReferenceData!$AE$136),"",ReferenceData!$AE$136),"")</f>
        <v/>
      </c>
      <c r="AF136" t="str">
        <f ca="1">IFERROR(IF(0=LEN(ReferenceData!$AF$136),"",ReferenceData!$AF$136),"")</f>
        <v/>
      </c>
      <c r="AG136" t="str">
        <f ca="1">IFERROR(IF(0=LEN(ReferenceData!$AG$136),"",ReferenceData!$AG$136),"")</f>
        <v/>
      </c>
      <c r="AH136" t="str">
        <f ca="1">IFERROR(IF(0=LEN(ReferenceData!$AH$136),"",ReferenceData!$AH$136),"")</f>
        <v/>
      </c>
      <c r="AI136" t="str">
        <f ca="1">IFERROR(IF(0=LEN(ReferenceData!$AI$136),"",ReferenceData!$AI$136),"")</f>
        <v/>
      </c>
      <c r="AJ136" t="str">
        <f ca="1">IFERROR(IF(0=LEN(ReferenceData!$AJ$136),"",ReferenceData!$AJ$136),"")</f>
        <v/>
      </c>
      <c r="AK136" t="str">
        <f ca="1">IFERROR(IF(0=LEN(ReferenceData!$AK$136),"",ReferenceData!$AK$136),"")</f>
        <v/>
      </c>
      <c r="AL136" t="str">
        <f ca="1">IFERROR(IF(0=LEN(ReferenceData!$AL$136),"",ReferenceData!$AL$136),"")</f>
        <v/>
      </c>
      <c r="AM136" t="str">
        <f ca="1">IFERROR(IF(0=LEN(ReferenceData!$AM$136),"",ReferenceData!$AM$136),"")</f>
        <v/>
      </c>
      <c r="AN136" t="str">
        <f ca="1">IFERROR(IF(0=LEN(ReferenceData!$AN$136),"",ReferenceData!$AN$136),"")</f>
        <v/>
      </c>
      <c r="AO136" t="str">
        <f ca="1">IFERROR(IF(0=LEN(ReferenceData!$AO$136),"",ReferenceData!$AO$136),"")</f>
        <v/>
      </c>
      <c r="AP136" t="str">
        <f ca="1">IFERROR(IF(0=LEN(ReferenceData!$AP$136),"",ReferenceData!$AP$136),"")</f>
        <v/>
      </c>
      <c r="AQ136" t="str">
        <f ca="1">IFERROR(IF(0=LEN(ReferenceData!$AQ$136),"",ReferenceData!$AQ$136),"")</f>
        <v/>
      </c>
      <c r="AR136" t="str">
        <f ca="1">IFERROR(IF(0=LEN(ReferenceData!$AR$136),"",ReferenceData!$AR$136),"")</f>
        <v/>
      </c>
      <c r="AS136" t="str">
        <f ca="1">IFERROR(IF(0=LEN(ReferenceData!$AS$136),"",ReferenceData!$AS$136),"")</f>
        <v/>
      </c>
      <c r="AT136" t="str">
        <f ca="1">IFERROR(IF(0=LEN(ReferenceData!$AT$136),"",ReferenceData!$AT$136),"")</f>
        <v/>
      </c>
      <c r="AU136" t="str">
        <f ca="1">IFERROR(IF(0=LEN(ReferenceData!$AU$136),"",ReferenceData!$AU$136),"")</f>
        <v/>
      </c>
      <c r="AV136" t="str">
        <f ca="1">IFERROR(IF(0=LEN(ReferenceData!$AV$136),"",ReferenceData!$AV$136),"")</f>
        <v/>
      </c>
      <c r="AW136" t="str">
        <f ca="1">IFERROR(IF(0=LEN(ReferenceData!$AW$136),"",ReferenceData!$AW$136),"")</f>
        <v/>
      </c>
      <c r="AX136" t="str">
        <f ca="1">IFERROR(IF(0=LEN(ReferenceData!$AX$136),"",ReferenceData!$AX$136),"")</f>
        <v/>
      </c>
      <c r="AY136" t="str">
        <f ca="1">IFERROR(IF(0=LEN(ReferenceData!$AY$136),"",ReferenceData!$AY$136),"")</f>
        <v/>
      </c>
      <c r="AZ136" t="str">
        <f ca="1">IFERROR(IF(0=LEN(ReferenceData!$AZ$136),"",ReferenceData!$AZ$136),"")</f>
        <v/>
      </c>
      <c r="BA136" t="str">
        <f ca="1">IFERROR(IF(0=LEN(ReferenceData!$BA$136),"",ReferenceData!$BA$136),"")</f>
        <v/>
      </c>
      <c r="BB136" t="str">
        <f ca="1">IFERROR(IF(0=LEN(ReferenceData!$BB$136),"",ReferenceData!$BB$136),"")</f>
        <v/>
      </c>
      <c r="BC136" t="str">
        <f ca="1">IFERROR(IF(0=LEN(ReferenceData!$BC$136),"",ReferenceData!$BC$136),"")</f>
        <v/>
      </c>
      <c r="BD136" t="str">
        <f ca="1">IFERROR(IF(0=LEN(ReferenceData!$BD$136),"",ReferenceData!$BD$136),"")</f>
        <v/>
      </c>
      <c r="BE136" t="str">
        <f ca="1">IFERROR(IF(0=LEN(ReferenceData!$BE$136),"",ReferenceData!$BE$136),"")</f>
        <v/>
      </c>
      <c r="BF136" t="str">
        <f ca="1">IFERROR(IF(0=LEN(ReferenceData!$BF$136),"",ReferenceData!$BF$136),"")</f>
        <v/>
      </c>
      <c r="BG136" t="str">
        <f ca="1">IFERROR(IF(0=LEN(ReferenceData!$BG$136),"",ReferenceData!$BG$136),"")</f>
        <v/>
      </c>
      <c r="BH136" t="str">
        <f ca="1">IFERROR(IF(0=LEN(ReferenceData!$BH$136),"",ReferenceData!$BH$136),"")</f>
        <v/>
      </c>
      <c r="BI136" t="str">
        <f ca="1">IFERROR(IF(0=LEN(ReferenceData!$BI$136),"",ReferenceData!$BI$136),"")</f>
        <v/>
      </c>
      <c r="BJ136" t="str">
        <f ca="1">IFERROR(IF(0=LEN(ReferenceData!$BJ$136),"",ReferenceData!$BJ$136),"")</f>
        <v/>
      </c>
      <c r="BK136" t="str">
        <f ca="1">IFERROR(IF(0=LEN(ReferenceData!$BK$136),"",ReferenceData!$BK$136),"")</f>
        <v/>
      </c>
      <c r="BL136" t="str">
        <f ca="1">IFERROR(IF(0=LEN(ReferenceData!$BL$136),"",ReferenceData!$BL$136),"")</f>
        <v/>
      </c>
      <c r="BM136" t="str">
        <f ca="1">IFERROR(IF(0=LEN(ReferenceData!$BM$136),"",ReferenceData!$BM$136),"")</f>
        <v/>
      </c>
    </row>
    <row r="137" spans="1:65" x14ac:dyDescent="0.25">
      <c r="A137" t="str">
        <f>IFERROR(IF(0=LEN(ReferenceData!$A$137),"",ReferenceData!$A$137),"")</f>
        <v xml:space="preserve">    HSBC Holdings PLC</v>
      </c>
      <c r="B137" t="str">
        <f>IFERROR(IF(0=LEN(ReferenceData!$B$137),"",ReferenceData!$B$137),"")</f>
        <v>HSBA LN Equity</v>
      </c>
      <c r="C137" t="str">
        <f>IFERROR(IF(0=LEN(ReferenceData!$C$137),"",ReferenceData!$C$137),"")</f>
        <v>BS016</v>
      </c>
      <c r="D137" t="str">
        <f>IFERROR(IF(0=LEN(ReferenceData!$D$137),"",ReferenceData!$D$137),"")</f>
        <v>BS_COMM_LOAN</v>
      </c>
      <c r="E137" t="str">
        <f>IFERROR(IF(0=LEN(ReferenceData!$E$137),"",ReferenceData!$E$137),"")</f>
        <v>Dynamic</v>
      </c>
      <c r="F137">
        <f ca="1">IFERROR(IF(0=LEN(ReferenceData!$F$137),"",ReferenceData!$F$137),"")</f>
        <v>396834.4768</v>
      </c>
      <c r="G137" t="str">
        <f ca="1">IFERROR(IF(0=LEN(ReferenceData!$G$137),"",ReferenceData!$G$137),"")</f>
        <v/>
      </c>
      <c r="H137">
        <f ca="1">IFERROR(IF(0=LEN(ReferenceData!$H$137),"",ReferenceData!$H$137),"")</f>
        <v>467044.60619999998</v>
      </c>
      <c r="I137" t="str">
        <f ca="1">IFERROR(IF(0=LEN(ReferenceData!$I$137),"",ReferenceData!$I$137),"")</f>
        <v/>
      </c>
      <c r="J137">
        <f ca="1">IFERROR(IF(0=LEN(ReferenceData!$J$137),"",ReferenceData!$J$137),"")</f>
        <v>386528.38030000002</v>
      </c>
      <c r="K137" t="str">
        <f ca="1">IFERROR(IF(0=LEN(ReferenceData!$K$137),"",ReferenceData!$K$137),"")</f>
        <v/>
      </c>
      <c r="L137">
        <f ca="1">IFERROR(IF(0=LEN(ReferenceData!$L$137),"",ReferenceData!$L$137),"")</f>
        <v>404156.43890000001</v>
      </c>
      <c r="M137" t="str">
        <f ca="1">IFERROR(IF(0=LEN(ReferenceData!$M$137),"",ReferenceData!$M$137),"")</f>
        <v/>
      </c>
      <c r="N137">
        <f ca="1">IFERROR(IF(0=LEN(ReferenceData!$N$137),"",ReferenceData!$N$137),"")</f>
        <v>423118.28960000002</v>
      </c>
      <c r="O137" t="str">
        <f ca="1">IFERROR(IF(0=LEN(ReferenceData!$O$137),"",ReferenceData!$O$137),"")</f>
        <v/>
      </c>
      <c r="P137">
        <f ca="1">IFERROR(IF(0=LEN(ReferenceData!$P$137),"",ReferenceData!$P$137),"")</f>
        <v>486087.95189999999</v>
      </c>
      <c r="Q137" t="str">
        <f ca="1">IFERROR(IF(0=LEN(ReferenceData!$Q$137),"",ReferenceData!$Q$137),"")</f>
        <v/>
      </c>
      <c r="R137">
        <f ca="1">IFERROR(IF(0=LEN(ReferenceData!$R$137),"",ReferenceData!$R$137),"")</f>
        <v>451026.69949999999</v>
      </c>
      <c r="S137">
        <f ca="1">IFERROR(IF(0=LEN(ReferenceData!$S$137),"",ReferenceData!$S$137),"")</f>
        <v>444086.94150000002</v>
      </c>
      <c r="T137">
        <f ca="1">IFERROR(IF(0=LEN(ReferenceData!$T$137),"",ReferenceData!$T$137),"")</f>
        <v>439025.23420000001</v>
      </c>
      <c r="U137">
        <f ca="1">IFERROR(IF(0=LEN(ReferenceData!$U$137),"",ReferenceData!$U$137),"")</f>
        <v>445900.42550000001</v>
      </c>
      <c r="V137">
        <f ca="1">IFERROR(IF(0=LEN(ReferenceData!$V$137),"",ReferenceData!$V$137),"")</f>
        <v>431155.82819999999</v>
      </c>
      <c r="W137">
        <f ca="1">IFERROR(IF(0=LEN(ReferenceData!$W$137),"",ReferenceData!$W$137),"")</f>
        <v>454565.77380000002</v>
      </c>
      <c r="X137">
        <f ca="1">IFERROR(IF(0=LEN(ReferenceData!$X$137),"",ReferenceData!$X$137),"")</f>
        <v>480572.80089999997</v>
      </c>
      <c r="Y137">
        <f ca="1">IFERROR(IF(0=LEN(ReferenceData!$Y$137),"",ReferenceData!$Y$137),"")</f>
        <v>577572.69160000002</v>
      </c>
      <c r="Z137">
        <f ca="1">IFERROR(IF(0=LEN(ReferenceData!$Z$137),"",ReferenceData!$Z$137),"")</f>
        <v>481342.06069999997</v>
      </c>
      <c r="AA137">
        <f ca="1">IFERROR(IF(0=LEN(ReferenceData!$AA$137),"",ReferenceData!$AA$137),"")</f>
        <v>493461.4326</v>
      </c>
      <c r="AB137">
        <f ca="1">IFERROR(IF(0=LEN(ReferenceData!$AB$137),"",ReferenceData!$AB$137),"")</f>
        <v>481052.02919999999</v>
      </c>
      <c r="AC137">
        <f ca="1">IFERROR(IF(0=LEN(ReferenceData!$AC$137),"",ReferenceData!$AC$137),"")</f>
        <v>483823.1887</v>
      </c>
      <c r="AD137">
        <f ca="1">IFERROR(IF(0=LEN(ReferenceData!$AD$137),"",ReferenceData!$AD$137),"")</f>
        <v>466797.93920000002</v>
      </c>
      <c r="AE137">
        <f ca="1">IFERROR(IF(0=LEN(ReferenceData!$AE$137),"",ReferenceData!$AE$137),"")</f>
        <v>464277.59600000002</v>
      </c>
      <c r="AF137">
        <f ca="1">IFERROR(IF(0=LEN(ReferenceData!$AF$137),"",ReferenceData!$AF$137),"")</f>
        <v>461575.74719999998</v>
      </c>
      <c r="AG137">
        <f ca="1">IFERROR(IF(0=LEN(ReferenceData!$AG$137),"",ReferenceData!$AG$137),"")</f>
        <v>439734.72859999997</v>
      </c>
      <c r="AH137">
        <f ca="1">IFERROR(IF(0=LEN(ReferenceData!$AH$137),"",ReferenceData!$AH$137),"")</f>
        <v>494066.71100000001</v>
      </c>
      <c r="AI137">
        <f ca="1">IFERROR(IF(0=LEN(ReferenceData!$AI$137),"",ReferenceData!$AI$137),"")</f>
        <v>496038.2953</v>
      </c>
      <c r="AJ137">
        <f ca="1">IFERROR(IF(0=LEN(ReferenceData!$AJ$137),"",ReferenceData!$AJ$137),"")</f>
        <v>501606.06329999998</v>
      </c>
      <c r="AK137">
        <f ca="1">IFERROR(IF(0=LEN(ReferenceData!$AK$137),"",ReferenceData!$AK$137),"")</f>
        <v>505986.72529999999</v>
      </c>
      <c r="AL137">
        <f ca="1">IFERROR(IF(0=LEN(ReferenceData!$AL$137),"",ReferenceData!$AL$137),"")</f>
        <v>502091.59</v>
      </c>
      <c r="AM137">
        <f ca="1">IFERROR(IF(0=LEN(ReferenceData!$AM$137),"",ReferenceData!$AM$137),"")</f>
        <v>475537.0502</v>
      </c>
      <c r="AN137">
        <f ca="1">IFERROR(IF(0=LEN(ReferenceData!$AN$137),"",ReferenceData!$AN$137),"")</f>
        <v>484778.28950000001</v>
      </c>
      <c r="AO137">
        <f ca="1">IFERROR(IF(0=LEN(ReferenceData!$AO$137),"",ReferenceData!$AO$137),"")</f>
        <v>491975.2219</v>
      </c>
      <c r="AP137">
        <f ca="1">IFERROR(IF(0=LEN(ReferenceData!$AP$137),"",ReferenceData!$AP$137),"")</f>
        <v>515301.859</v>
      </c>
      <c r="AQ137">
        <f ca="1">IFERROR(IF(0=LEN(ReferenceData!$AQ$137),"",ReferenceData!$AQ$137),"")</f>
        <v>502336.79129999998</v>
      </c>
      <c r="AR137">
        <f ca="1">IFERROR(IF(0=LEN(ReferenceData!$AR$137),"",ReferenceData!$AR$137),"")</f>
        <v>518627.27519999997</v>
      </c>
      <c r="AS137">
        <f ca="1">IFERROR(IF(0=LEN(ReferenceData!$AS$137),"",ReferenceData!$AS$137),"")</f>
        <v>543903.80310000002</v>
      </c>
      <c r="AT137">
        <f ca="1">IFERROR(IF(0=LEN(ReferenceData!$AT$137),"",ReferenceData!$AT$137),"")</f>
        <v>488738.84299999999</v>
      </c>
      <c r="AU137">
        <f ca="1">IFERROR(IF(0=LEN(ReferenceData!$AU$137),"",ReferenceData!$AU$137),"")</f>
        <v>504145.22129999998</v>
      </c>
      <c r="AV137">
        <f ca="1">IFERROR(IF(0=LEN(ReferenceData!$AV$137),"",ReferenceData!$AV$137),"")</f>
        <v>469641.34399999998</v>
      </c>
      <c r="AW137">
        <f ca="1">IFERROR(IF(0=LEN(ReferenceData!$AW$137),"",ReferenceData!$AW$137),"")</f>
        <v>444158.4374</v>
      </c>
      <c r="AX137">
        <f ca="1">IFERROR(IF(0=LEN(ReferenceData!$AX$137),"",ReferenceData!$AX$137),"")</f>
        <v>494599.31829999998</v>
      </c>
      <c r="AY137">
        <f ca="1">IFERROR(IF(0=LEN(ReferenceData!$AY$137),"",ReferenceData!$AY$137),"")</f>
        <v>459881.75300000003</v>
      </c>
      <c r="AZ137">
        <f ca="1">IFERROR(IF(0=LEN(ReferenceData!$AZ$137),"",ReferenceData!$AZ$137),"")</f>
        <v>451340.2537</v>
      </c>
      <c r="BA137">
        <f ca="1">IFERROR(IF(0=LEN(ReferenceData!$BA$137),"",ReferenceData!$BA$137),"")</f>
        <v>447622.2794</v>
      </c>
      <c r="BB137">
        <f ca="1">IFERROR(IF(0=LEN(ReferenceData!$BB$137),"",ReferenceData!$BB$137),"")</f>
        <v>450671.36469999998</v>
      </c>
      <c r="BC137">
        <f ca="1">IFERROR(IF(0=LEN(ReferenceData!$BC$137),"",ReferenceData!$BC$137),"")</f>
        <v>469499.84470000002</v>
      </c>
      <c r="BD137">
        <f ca="1">IFERROR(IF(0=LEN(ReferenceData!$BD$137),"",ReferenceData!$BD$137),"")</f>
        <v>463802.071</v>
      </c>
      <c r="BE137">
        <f ca="1">IFERROR(IF(0=LEN(ReferenceData!$BE$137),"",ReferenceData!$BE$137),"")</f>
        <v>429216.1716</v>
      </c>
      <c r="BF137">
        <f ca="1">IFERROR(IF(0=LEN(ReferenceData!$BF$137),"",ReferenceData!$BF$137),"")</f>
        <v>431354.1667</v>
      </c>
      <c r="BG137">
        <f ca="1">IFERROR(IF(0=LEN(ReferenceData!$BG$137),"",ReferenceData!$BG$137),"")</f>
        <v>432058.14559999999</v>
      </c>
      <c r="BH137">
        <f ca="1">IFERROR(IF(0=LEN(ReferenceData!$BH$137),"",ReferenceData!$BH$137),"")</f>
        <v>421506.54719999997</v>
      </c>
      <c r="BI137">
        <f ca="1">IFERROR(IF(0=LEN(ReferenceData!$BI$137),"",ReferenceData!$BI$137),"")</f>
        <v>407631.43060000002</v>
      </c>
      <c r="BJ137">
        <f ca="1">IFERROR(IF(0=LEN(ReferenceData!$BJ$137),"",ReferenceData!$BJ$137),"")</f>
        <v>409424.65960000001</v>
      </c>
      <c r="BK137" t="str">
        <f ca="1">IFERROR(IF(0=LEN(ReferenceData!$BK$137),"",ReferenceData!$BK$137),"")</f>
        <v/>
      </c>
      <c r="BL137">
        <f ca="1">IFERROR(IF(0=LEN(ReferenceData!$BL$137),"",ReferenceData!$BL$137),"")</f>
        <v>407233.41759999999</v>
      </c>
      <c r="BM137" t="str">
        <f ca="1">IFERROR(IF(0=LEN(ReferenceData!$BM$137),"",ReferenceData!$BM$137),"")</f>
        <v/>
      </c>
    </row>
    <row r="138" spans="1:65" x14ac:dyDescent="0.25">
      <c r="A138" t="str">
        <f>IFERROR(IF(0=LEN(ReferenceData!$A$138),"",ReferenceData!$A$138),"")</f>
        <v xml:space="preserve">    ING Groep NV</v>
      </c>
      <c r="B138" t="str">
        <f>IFERROR(IF(0=LEN(ReferenceData!$B$138),"",ReferenceData!$B$138),"")</f>
        <v>INGA NA Equity</v>
      </c>
      <c r="C138" t="str">
        <f>IFERROR(IF(0=LEN(ReferenceData!$C$138),"",ReferenceData!$C$138),"")</f>
        <v>BS016</v>
      </c>
      <c r="D138" t="str">
        <f>IFERROR(IF(0=LEN(ReferenceData!$D$138),"",ReferenceData!$D$138),"")</f>
        <v>BS_COMM_LOAN</v>
      </c>
      <c r="E138" t="str">
        <f>IFERROR(IF(0=LEN(ReferenceData!$E$138),"",ReferenceData!$E$138),"")</f>
        <v>Dynamic</v>
      </c>
      <c r="F138">
        <f ca="1">IFERROR(IF(0=LEN(ReferenceData!$F$138),"",ReferenceData!$F$138),"")</f>
        <v>285393</v>
      </c>
      <c r="G138" t="str">
        <f ca="1">IFERROR(IF(0=LEN(ReferenceData!$G$138),"",ReferenceData!$G$138),"")</f>
        <v/>
      </c>
      <c r="H138">
        <f ca="1">IFERROR(IF(0=LEN(ReferenceData!$H$138),"",ReferenceData!$H$138),"")</f>
        <v>276394</v>
      </c>
      <c r="I138" t="str">
        <f ca="1">IFERROR(IF(0=LEN(ReferenceData!$I$138),"",ReferenceData!$I$138),"")</f>
        <v/>
      </c>
      <c r="J138">
        <f ca="1">IFERROR(IF(0=LEN(ReferenceData!$J$138),"",ReferenceData!$J$138),"")</f>
        <v>272472</v>
      </c>
      <c r="K138" t="str">
        <f ca="1">IFERROR(IF(0=LEN(ReferenceData!$K$138),"",ReferenceData!$K$138),"")</f>
        <v/>
      </c>
      <c r="L138">
        <f ca="1">IFERROR(IF(0=LEN(ReferenceData!$L$138),"",ReferenceData!$L$138),"")</f>
        <v>276556</v>
      </c>
      <c r="M138" t="str">
        <f ca="1">IFERROR(IF(0=LEN(ReferenceData!$M$138),"",ReferenceData!$M$138),"")</f>
        <v/>
      </c>
      <c r="N138">
        <f ca="1">IFERROR(IF(0=LEN(ReferenceData!$N$138),"",ReferenceData!$N$138),"")</f>
        <v>279169</v>
      </c>
      <c r="O138" t="str">
        <f ca="1">IFERROR(IF(0=LEN(ReferenceData!$O$138),"",ReferenceData!$O$138),"")</f>
        <v/>
      </c>
      <c r="P138">
        <f ca="1">IFERROR(IF(0=LEN(ReferenceData!$P$138),"",ReferenceData!$P$138),"")</f>
        <v>277335</v>
      </c>
      <c r="Q138" t="str">
        <f ca="1">IFERROR(IF(0=LEN(ReferenceData!$Q$138),"",ReferenceData!$Q$138),"")</f>
        <v/>
      </c>
      <c r="R138">
        <f ca="1">IFERROR(IF(0=LEN(ReferenceData!$R$138),"",ReferenceData!$R$138),"")</f>
        <v>190930</v>
      </c>
      <c r="S138" t="str">
        <f ca="1">IFERROR(IF(0=LEN(ReferenceData!$S$138),"",ReferenceData!$S$138),"")</f>
        <v/>
      </c>
      <c r="T138">
        <f ca="1">IFERROR(IF(0=LEN(ReferenceData!$T$138),"",ReferenceData!$T$138),"")</f>
        <v>181453</v>
      </c>
      <c r="U138" t="str">
        <f ca="1">IFERROR(IF(0=LEN(ReferenceData!$U$138),"",ReferenceData!$U$138),"")</f>
        <v/>
      </c>
      <c r="V138">
        <f ca="1">IFERROR(IF(0=LEN(ReferenceData!$V$138),"",ReferenceData!$V$138),"")</f>
        <v>173121</v>
      </c>
      <c r="W138" t="str">
        <f ca="1">IFERROR(IF(0=LEN(ReferenceData!$W$138),"",ReferenceData!$W$138),"")</f>
        <v/>
      </c>
      <c r="X138">
        <f ca="1">IFERROR(IF(0=LEN(ReferenceData!$X$138),"",ReferenceData!$X$138),"")</f>
        <v>194511</v>
      </c>
      <c r="Y138" t="str">
        <f ca="1">IFERROR(IF(0=LEN(ReferenceData!$Y$138),"",ReferenceData!$Y$138),"")</f>
        <v/>
      </c>
      <c r="Z138">
        <f ca="1">IFERROR(IF(0=LEN(ReferenceData!$Z$138),"",ReferenceData!$Z$138),"")</f>
        <v>189878</v>
      </c>
      <c r="AA138" t="str">
        <f ca="1">IFERROR(IF(0=LEN(ReferenceData!$AA$138),"",ReferenceData!$AA$138),"")</f>
        <v/>
      </c>
      <c r="AB138">
        <f ca="1">IFERROR(IF(0=LEN(ReferenceData!$AB$138),"",ReferenceData!$AB$138),"")</f>
        <v>195801</v>
      </c>
      <c r="AC138" t="str">
        <f ca="1">IFERROR(IF(0=LEN(ReferenceData!$AC$138),"",ReferenceData!$AC$138),"")</f>
        <v/>
      </c>
      <c r="AD138">
        <f ca="1">IFERROR(IF(0=LEN(ReferenceData!$AD$138),"",ReferenceData!$AD$138),"")</f>
        <v>187000</v>
      </c>
      <c r="AE138" t="str">
        <f ca="1">IFERROR(IF(0=LEN(ReferenceData!$AE$138),"",ReferenceData!$AE$138),"")</f>
        <v/>
      </c>
      <c r="AF138">
        <f ca="1">IFERROR(IF(0=LEN(ReferenceData!$AF$138),"",ReferenceData!$AF$138),"")</f>
        <v>190443</v>
      </c>
      <c r="AG138" t="str">
        <f ca="1">IFERROR(IF(0=LEN(ReferenceData!$AG$138),"",ReferenceData!$AG$138),"")</f>
        <v/>
      </c>
      <c r="AH138">
        <f ca="1">IFERROR(IF(0=LEN(ReferenceData!$AH$138),"",ReferenceData!$AH$138),"")</f>
        <v>178669</v>
      </c>
      <c r="AI138" t="str">
        <f ca="1">IFERROR(IF(0=LEN(ReferenceData!$AI$138),"",ReferenceData!$AI$138),"")</f>
        <v/>
      </c>
      <c r="AJ138">
        <f ca="1">IFERROR(IF(0=LEN(ReferenceData!$AJ$138),"",ReferenceData!$AJ$138),"")</f>
        <v>178007</v>
      </c>
      <c r="AK138" t="str">
        <f ca="1">IFERROR(IF(0=LEN(ReferenceData!$AK$138),"",ReferenceData!$AK$138),"")</f>
        <v/>
      </c>
      <c r="AL138">
        <f ca="1">IFERROR(IF(0=LEN(ReferenceData!$AL$138),"",ReferenceData!$AL$138),"")</f>
        <v>176205</v>
      </c>
      <c r="AM138" t="str">
        <f ca="1">IFERROR(IF(0=LEN(ReferenceData!$AM$138),"",ReferenceData!$AM$138),"")</f>
        <v/>
      </c>
      <c r="AN138">
        <f ca="1">IFERROR(IF(0=LEN(ReferenceData!$AN$138),"",ReferenceData!$AN$138),"")</f>
        <v>183186</v>
      </c>
      <c r="AO138" t="str">
        <f ca="1">IFERROR(IF(0=LEN(ReferenceData!$AO$138),"",ReferenceData!$AO$138),"")</f>
        <v/>
      </c>
      <c r="AP138">
        <f ca="1">IFERROR(IF(0=LEN(ReferenceData!$AP$138),"",ReferenceData!$AP$138),"")</f>
        <v>316231</v>
      </c>
      <c r="AQ138">
        <f ca="1">IFERROR(IF(0=LEN(ReferenceData!$AQ$138),"",ReferenceData!$AQ$138),"")</f>
        <v>162224</v>
      </c>
      <c r="AR138">
        <f ca="1">IFERROR(IF(0=LEN(ReferenceData!$AR$138),"",ReferenceData!$AR$138),"")</f>
        <v>173463</v>
      </c>
      <c r="AS138">
        <f ca="1">IFERROR(IF(0=LEN(ReferenceData!$AS$138),"",ReferenceData!$AS$138),"")</f>
        <v>168395</v>
      </c>
      <c r="AT138">
        <f ca="1">IFERROR(IF(0=LEN(ReferenceData!$AT$138),"",ReferenceData!$AT$138),"")</f>
        <v>151031</v>
      </c>
      <c r="AU138">
        <f ca="1">IFERROR(IF(0=LEN(ReferenceData!$AU$138),"",ReferenceData!$AU$138),"")</f>
        <v>156925</v>
      </c>
      <c r="AV138">
        <f ca="1">IFERROR(IF(0=LEN(ReferenceData!$AV$138),"",ReferenceData!$AV$138),"")</f>
        <v>150168</v>
      </c>
      <c r="AW138">
        <f ca="1">IFERROR(IF(0=LEN(ReferenceData!$AW$138),"",ReferenceData!$AW$138),"")</f>
        <v>148485</v>
      </c>
      <c r="AX138">
        <f ca="1">IFERROR(IF(0=LEN(ReferenceData!$AX$138),"",ReferenceData!$AX$138),"")</f>
        <v>143772</v>
      </c>
      <c r="AY138">
        <f ca="1">IFERROR(IF(0=LEN(ReferenceData!$AY$138),"",ReferenceData!$AY$138),"")</f>
        <v>144208</v>
      </c>
      <c r="AZ138">
        <f ca="1">IFERROR(IF(0=LEN(ReferenceData!$AZ$138),"",ReferenceData!$AZ$138),"")</f>
        <v>149397</v>
      </c>
      <c r="BA138">
        <f ca="1">IFERROR(IF(0=LEN(ReferenceData!$BA$138),"",ReferenceData!$BA$138),"")</f>
        <v>154014</v>
      </c>
      <c r="BB138" t="str">
        <f ca="1">IFERROR(IF(0=LEN(ReferenceData!$BB$138),"",ReferenceData!$BB$138),"")</f>
        <v/>
      </c>
      <c r="BC138">
        <f ca="1">IFERROR(IF(0=LEN(ReferenceData!$BC$138),"",ReferenceData!$BC$138),"")</f>
        <v>153301</v>
      </c>
      <c r="BD138" t="str">
        <f ca="1">IFERROR(IF(0=LEN(ReferenceData!$BD$138),"",ReferenceData!$BD$138),"")</f>
        <v/>
      </c>
      <c r="BE138">
        <f ca="1">IFERROR(IF(0=LEN(ReferenceData!$BE$138),"",ReferenceData!$BE$138),"")</f>
        <v>154779</v>
      </c>
      <c r="BF138">
        <f ca="1">IFERROR(IF(0=LEN(ReferenceData!$BF$138),"",ReferenceData!$BF$138),"")</f>
        <v>152560</v>
      </c>
      <c r="BG138">
        <f ca="1">IFERROR(IF(0=LEN(ReferenceData!$BG$138),"",ReferenceData!$BG$138),"")</f>
        <v>152903</v>
      </c>
      <c r="BH138">
        <f ca="1">IFERROR(IF(0=LEN(ReferenceData!$BH$138),"",ReferenceData!$BH$138),"")</f>
        <v>151294</v>
      </c>
      <c r="BI138">
        <f ca="1">IFERROR(IF(0=LEN(ReferenceData!$BI$138),"",ReferenceData!$BI$138),"")</f>
        <v>152279</v>
      </c>
      <c r="BJ138">
        <f ca="1">IFERROR(IF(0=LEN(ReferenceData!$BJ$138),"",ReferenceData!$BJ$138),"")</f>
        <v>154509</v>
      </c>
      <c r="BK138">
        <f ca="1">IFERROR(IF(0=LEN(ReferenceData!$BK$138),"",ReferenceData!$BK$138),"")</f>
        <v>156745</v>
      </c>
      <c r="BL138">
        <f ca="1">IFERROR(IF(0=LEN(ReferenceData!$BL$138),"",ReferenceData!$BL$138),"")</f>
        <v>162295</v>
      </c>
      <c r="BM138" t="str">
        <f ca="1">IFERROR(IF(0=LEN(ReferenceData!$BM$138),"",ReferenceData!$BM$138),"")</f>
        <v/>
      </c>
    </row>
    <row r="139" spans="1:65" x14ac:dyDescent="0.25">
      <c r="A139" t="str">
        <f>IFERROR(IF(0=LEN(ReferenceData!$A$139),"",ReferenceData!$A$139),"")</f>
        <v xml:space="preserve">    Intesa Sanpaolo SpA</v>
      </c>
      <c r="B139" t="str">
        <f>IFERROR(IF(0=LEN(ReferenceData!$B$139),"",ReferenceData!$B$139),"")</f>
        <v>ISP IM Equity</v>
      </c>
      <c r="C139" t="str">
        <f>IFERROR(IF(0=LEN(ReferenceData!$C$139),"",ReferenceData!$C$139),"")</f>
        <v>BS016</v>
      </c>
      <c r="D139" t="str">
        <f>IFERROR(IF(0=LEN(ReferenceData!$D$139),"",ReferenceData!$D$139),"")</f>
        <v>BS_COMM_LOAN</v>
      </c>
      <c r="E139" t="str">
        <f>IFERROR(IF(0=LEN(ReferenceData!$E$139),"",ReferenceData!$E$139),"")</f>
        <v>Dynamic</v>
      </c>
      <c r="F139" t="str">
        <f ca="1">IFERROR(IF(0=LEN(ReferenceData!$F$139),"",ReferenceData!$F$139),"")</f>
        <v/>
      </c>
      <c r="G139" t="str">
        <f ca="1">IFERROR(IF(0=LEN(ReferenceData!$G$139),"",ReferenceData!$G$139),"")</f>
        <v/>
      </c>
      <c r="H139" t="str">
        <f ca="1">IFERROR(IF(0=LEN(ReferenceData!$H$139),"",ReferenceData!$H$139),"")</f>
        <v/>
      </c>
      <c r="I139" t="str">
        <f ca="1">IFERROR(IF(0=LEN(ReferenceData!$I$139),"",ReferenceData!$I$139),"")</f>
        <v/>
      </c>
      <c r="J139" t="str">
        <f ca="1">IFERROR(IF(0=LEN(ReferenceData!$J$139),"",ReferenceData!$J$139),"")</f>
        <v/>
      </c>
      <c r="K139" t="str">
        <f ca="1">IFERROR(IF(0=LEN(ReferenceData!$K$139),"",ReferenceData!$K$139),"")</f>
        <v/>
      </c>
      <c r="L139" t="str">
        <f ca="1">IFERROR(IF(0=LEN(ReferenceData!$L$139),"",ReferenceData!$L$139),"")</f>
        <v/>
      </c>
      <c r="M139" t="str">
        <f ca="1">IFERROR(IF(0=LEN(ReferenceData!$M$139),"",ReferenceData!$M$139),"")</f>
        <v/>
      </c>
      <c r="N139" t="str">
        <f ca="1">IFERROR(IF(0=LEN(ReferenceData!$N$139),"",ReferenceData!$N$139),"")</f>
        <v/>
      </c>
      <c r="O139" t="str">
        <f ca="1">IFERROR(IF(0=LEN(ReferenceData!$O$139),"",ReferenceData!$O$139),"")</f>
        <v/>
      </c>
      <c r="P139" t="str">
        <f ca="1">IFERROR(IF(0=LEN(ReferenceData!$P$139),"",ReferenceData!$P$139),"")</f>
        <v/>
      </c>
      <c r="Q139" t="str">
        <f ca="1">IFERROR(IF(0=LEN(ReferenceData!$Q$139),"",ReferenceData!$Q$139),"")</f>
        <v/>
      </c>
      <c r="R139" t="str">
        <f ca="1">IFERROR(IF(0=LEN(ReferenceData!$R$139),"",ReferenceData!$R$139),"")</f>
        <v/>
      </c>
      <c r="S139" t="str">
        <f ca="1">IFERROR(IF(0=LEN(ReferenceData!$S$139),"",ReferenceData!$S$139),"")</f>
        <v/>
      </c>
      <c r="T139" t="str">
        <f ca="1">IFERROR(IF(0=LEN(ReferenceData!$T$139),"",ReferenceData!$T$139),"")</f>
        <v/>
      </c>
      <c r="U139" t="str">
        <f ca="1">IFERROR(IF(0=LEN(ReferenceData!$U$139),"",ReferenceData!$U$139),"")</f>
        <v/>
      </c>
      <c r="V139" t="str">
        <f ca="1">IFERROR(IF(0=LEN(ReferenceData!$V$139),"",ReferenceData!$V$139),"")</f>
        <v/>
      </c>
      <c r="W139" t="str">
        <f ca="1">IFERROR(IF(0=LEN(ReferenceData!$W$139),"",ReferenceData!$W$139),"")</f>
        <v/>
      </c>
      <c r="X139" t="str">
        <f ca="1">IFERROR(IF(0=LEN(ReferenceData!$X$139),"",ReferenceData!$X$139),"")</f>
        <v/>
      </c>
      <c r="Y139" t="str">
        <f ca="1">IFERROR(IF(0=LEN(ReferenceData!$Y$139),"",ReferenceData!$Y$139),"")</f>
        <v/>
      </c>
      <c r="Z139" t="str">
        <f ca="1">IFERROR(IF(0=LEN(ReferenceData!$Z$139),"",ReferenceData!$Z$139),"")</f>
        <v/>
      </c>
      <c r="AA139" t="str">
        <f ca="1">IFERROR(IF(0=LEN(ReferenceData!$AA$139),"",ReferenceData!$AA$139),"")</f>
        <v/>
      </c>
      <c r="AB139" t="str">
        <f ca="1">IFERROR(IF(0=LEN(ReferenceData!$AB$139),"",ReferenceData!$AB$139),"")</f>
        <v/>
      </c>
      <c r="AC139" t="str">
        <f ca="1">IFERROR(IF(0=LEN(ReferenceData!$AC$139),"",ReferenceData!$AC$139),"")</f>
        <v/>
      </c>
      <c r="AD139" t="str">
        <f ca="1">IFERROR(IF(0=LEN(ReferenceData!$AD$139),"",ReferenceData!$AD$139),"")</f>
        <v/>
      </c>
      <c r="AE139" t="str">
        <f ca="1">IFERROR(IF(0=LEN(ReferenceData!$AE$139),"",ReferenceData!$AE$139),"")</f>
        <v/>
      </c>
      <c r="AF139" t="str">
        <f ca="1">IFERROR(IF(0=LEN(ReferenceData!$AF$139),"",ReferenceData!$AF$139),"")</f>
        <v/>
      </c>
      <c r="AG139" t="str">
        <f ca="1">IFERROR(IF(0=LEN(ReferenceData!$AG$139),"",ReferenceData!$AG$139),"")</f>
        <v/>
      </c>
      <c r="AH139" t="str">
        <f ca="1">IFERROR(IF(0=LEN(ReferenceData!$AH$139),"",ReferenceData!$AH$139),"")</f>
        <v/>
      </c>
      <c r="AI139" t="str">
        <f ca="1">IFERROR(IF(0=LEN(ReferenceData!$AI$139),"",ReferenceData!$AI$139),"")</f>
        <v/>
      </c>
      <c r="AJ139" t="str">
        <f ca="1">IFERROR(IF(0=LEN(ReferenceData!$AJ$139),"",ReferenceData!$AJ$139),"")</f>
        <v/>
      </c>
      <c r="AK139" t="str">
        <f ca="1">IFERROR(IF(0=LEN(ReferenceData!$AK$139),"",ReferenceData!$AK$139),"")</f>
        <v/>
      </c>
      <c r="AL139" t="str">
        <f ca="1">IFERROR(IF(0=LEN(ReferenceData!$AL$139),"",ReferenceData!$AL$139),"")</f>
        <v/>
      </c>
      <c r="AM139" t="str">
        <f ca="1">IFERROR(IF(0=LEN(ReferenceData!$AM$139),"",ReferenceData!$AM$139),"")</f>
        <v/>
      </c>
      <c r="AN139" t="str">
        <f ca="1">IFERROR(IF(0=LEN(ReferenceData!$AN$139),"",ReferenceData!$AN$139),"")</f>
        <v/>
      </c>
      <c r="AO139" t="str">
        <f ca="1">IFERROR(IF(0=LEN(ReferenceData!$AO$139),"",ReferenceData!$AO$139),"")</f>
        <v/>
      </c>
      <c r="AP139" t="str">
        <f ca="1">IFERROR(IF(0=LEN(ReferenceData!$AP$139),"",ReferenceData!$AP$139),"")</f>
        <v/>
      </c>
      <c r="AQ139" t="str">
        <f ca="1">IFERROR(IF(0=LEN(ReferenceData!$AQ$139),"",ReferenceData!$AQ$139),"")</f>
        <v/>
      </c>
      <c r="AR139" t="str">
        <f ca="1">IFERROR(IF(0=LEN(ReferenceData!$AR$139),"",ReferenceData!$AR$139),"")</f>
        <v/>
      </c>
      <c r="AS139" t="str">
        <f ca="1">IFERROR(IF(0=LEN(ReferenceData!$AS$139),"",ReferenceData!$AS$139),"")</f>
        <v/>
      </c>
      <c r="AT139" t="str">
        <f ca="1">IFERROR(IF(0=LEN(ReferenceData!$AT$139),"",ReferenceData!$AT$139),"")</f>
        <v/>
      </c>
      <c r="AU139" t="str">
        <f ca="1">IFERROR(IF(0=LEN(ReferenceData!$AU$139),"",ReferenceData!$AU$139),"")</f>
        <v/>
      </c>
      <c r="AV139" t="str">
        <f ca="1">IFERROR(IF(0=LEN(ReferenceData!$AV$139),"",ReferenceData!$AV$139),"")</f>
        <v/>
      </c>
      <c r="AW139" t="str">
        <f ca="1">IFERROR(IF(0=LEN(ReferenceData!$AW$139),"",ReferenceData!$AW$139),"")</f>
        <v/>
      </c>
      <c r="AX139" t="str">
        <f ca="1">IFERROR(IF(0=LEN(ReferenceData!$AX$139),"",ReferenceData!$AX$139),"")</f>
        <v/>
      </c>
      <c r="AY139" t="str">
        <f ca="1">IFERROR(IF(0=LEN(ReferenceData!$AY$139),"",ReferenceData!$AY$139),"")</f>
        <v/>
      </c>
      <c r="AZ139" t="str">
        <f ca="1">IFERROR(IF(0=LEN(ReferenceData!$AZ$139),"",ReferenceData!$AZ$139),"")</f>
        <v/>
      </c>
      <c r="BA139" t="str">
        <f ca="1">IFERROR(IF(0=LEN(ReferenceData!$BA$139),"",ReferenceData!$BA$139),"")</f>
        <v/>
      </c>
      <c r="BB139" t="str">
        <f ca="1">IFERROR(IF(0=LEN(ReferenceData!$BB$139),"",ReferenceData!$BB$139),"")</f>
        <v/>
      </c>
      <c r="BC139" t="str">
        <f ca="1">IFERROR(IF(0=LEN(ReferenceData!$BC$139),"",ReferenceData!$BC$139),"")</f>
        <v/>
      </c>
      <c r="BD139" t="str">
        <f ca="1">IFERROR(IF(0=LEN(ReferenceData!$BD$139),"",ReferenceData!$BD$139),"")</f>
        <v/>
      </c>
      <c r="BE139" t="str">
        <f ca="1">IFERROR(IF(0=LEN(ReferenceData!$BE$139),"",ReferenceData!$BE$139),"")</f>
        <v/>
      </c>
      <c r="BF139" t="str">
        <f ca="1">IFERROR(IF(0=LEN(ReferenceData!$BF$139),"",ReferenceData!$BF$139),"")</f>
        <v/>
      </c>
      <c r="BG139" t="str">
        <f ca="1">IFERROR(IF(0=LEN(ReferenceData!$BG$139),"",ReferenceData!$BG$139),"")</f>
        <v/>
      </c>
      <c r="BH139" t="str">
        <f ca="1">IFERROR(IF(0=LEN(ReferenceData!$BH$139),"",ReferenceData!$BH$139),"")</f>
        <v/>
      </c>
      <c r="BI139" t="str">
        <f ca="1">IFERROR(IF(0=LEN(ReferenceData!$BI$139),"",ReferenceData!$BI$139),"")</f>
        <v/>
      </c>
      <c r="BJ139" t="str">
        <f ca="1">IFERROR(IF(0=LEN(ReferenceData!$BJ$139),"",ReferenceData!$BJ$139),"")</f>
        <v/>
      </c>
      <c r="BK139" t="str">
        <f ca="1">IFERROR(IF(0=LEN(ReferenceData!$BK$139),"",ReferenceData!$BK$139),"")</f>
        <v/>
      </c>
      <c r="BL139" t="str">
        <f ca="1">IFERROR(IF(0=LEN(ReferenceData!$BL$139),"",ReferenceData!$BL$139),"")</f>
        <v/>
      </c>
      <c r="BM139" t="str">
        <f ca="1">IFERROR(IF(0=LEN(ReferenceData!$BM$139),"",ReferenceData!$BM$139),"")</f>
        <v/>
      </c>
    </row>
    <row r="140" spans="1:65" x14ac:dyDescent="0.25">
      <c r="A140" t="str">
        <f>IFERROR(IF(0=LEN(ReferenceData!$A$140),"",ReferenceData!$A$140),"")</f>
        <v xml:space="preserve">    Jyske Bank A/S</v>
      </c>
      <c r="B140" t="str">
        <f>IFERROR(IF(0=LEN(ReferenceData!$B$140),"",ReferenceData!$B$140),"")</f>
        <v>JYSK DC Equity</v>
      </c>
      <c r="C140" t="str">
        <f>IFERROR(IF(0=LEN(ReferenceData!$C$140),"",ReferenceData!$C$140),"")</f>
        <v>BS016</v>
      </c>
      <c r="D140" t="str">
        <f>IFERROR(IF(0=LEN(ReferenceData!$D$140),"",ReferenceData!$D$140),"")</f>
        <v>BS_COMM_LOAN</v>
      </c>
      <c r="E140" t="str">
        <f>IFERROR(IF(0=LEN(ReferenceData!$E$140),"",ReferenceData!$E$140),"")</f>
        <v>Dynamic</v>
      </c>
      <c r="F140">
        <f ca="1">IFERROR(IF(0=LEN(ReferenceData!$F$140),"",ReferenceData!$F$140),"")</f>
        <v>22897.38421</v>
      </c>
      <c r="G140">
        <f ca="1">IFERROR(IF(0=LEN(ReferenceData!$G$140),"",ReferenceData!$G$140),"")</f>
        <v>22258.855640000002</v>
      </c>
      <c r="H140">
        <f ca="1">IFERROR(IF(0=LEN(ReferenceData!$H$140),"",ReferenceData!$H$140),"")</f>
        <v>22178.105960000001</v>
      </c>
      <c r="I140" t="str">
        <f ca="1">IFERROR(IF(0=LEN(ReferenceData!$I$140),"",ReferenceData!$I$140),"")</f>
        <v/>
      </c>
      <c r="J140" t="str">
        <f ca="1">IFERROR(IF(0=LEN(ReferenceData!$J$140),"",ReferenceData!$J$140),"")</f>
        <v/>
      </c>
      <c r="K140">
        <f ca="1">IFERROR(IF(0=LEN(ReferenceData!$K$140),"",ReferenceData!$K$140),"")</f>
        <v>22782.110390000002</v>
      </c>
      <c r="L140">
        <f ca="1">IFERROR(IF(0=LEN(ReferenceData!$L$140),"",ReferenceData!$L$140),"")</f>
        <v>23156.104329999998</v>
      </c>
      <c r="M140" t="str">
        <f ca="1">IFERROR(IF(0=LEN(ReferenceData!$M$140),"",ReferenceData!$M$140),"")</f>
        <v/>
      </c>
      <c r="N140" t="str">
        <f ca="1">IFERROR(IF(0=LEN(ReferenceData!$N$140),"",ReferenceData!$N$140),"")</f>
        <v/>
      </c>
      <c r="O140" t="str">
        <f ca="1">IFERROR(IF(0=LEN(ReferenceData!$O$140),"",ReferenceData!$O$140),"")</f>
        <v/>
      </c>
      <c r="P140" t="str">
        <f ca="1">IFERROR(IF(0=LEN(ReferenceData!$P$140),"",ReferenceData!$P$140),"")</f>
        <v/>
      </c>
      <c r="Q140" t="str">
        <f ca="1">IFERROR(IF(0=LEN(ReferenceData!$Q$140),"",ReferenceData!$Q$140),"")</f>
        <v/>
      </c>
      <c r="R140" t="str">
        <f ca="1">IFERROR(IF(0=LEN(ReferenceData!$R$140),"",ReferenceData!$R$140),"")</f>
        <v/>
      </c>
      <c r="S140" t="str">
        <f ca="1">IFERROR(IF(0=LEN(ReferenceData!$S$140),"",ReferenceData!$S$140),"")</f>
        <v/>
      </c>
      <c r="T140" t="str">
        <f ca="1">IFERROR(IF(0=LEN(ReferenceData!$T$140),"",ReferenceData!$T$140),"")</f>
        <v/>
      </c>
      <c r="U140" t="str">
        <f ca="1">IFERROR(IF(0=LEN(ReferenceData!$U$140),"",ReferenceData!$U$140),"")</f>
        <v/>
      </c>
      <c r="V140" t="str">
        <f ca="1">IFERROR(IF(0=LEN(ReferenceData!$V$140),"",ReferenceData!$V$140),"")</f>
        <v/>
      </c>
      <c r="W140" t="str">
        <f ca="1">IFERROR(IF(0=LEN(ReferenceData!$W$140),"",ReferenceData!$W$140),"")</f>
        <v/>
      </c>
      <c r="X140" t="str">
        <f ca="1">IFERROR(IF(0=LEN(ReferenceData!$X$140),"",ReferenceData!$X$140),"")</f>
        <v/>
      </c>
      <c r="Y140" t="str">
        <f ca="1">IFERROR(IF(0=LEN(ReferenceData!$Y$140),"",ReferenceData!$Y$140),"")</f>
        <v/>
      </c>
      <c r="Z140" t="str">
        <f ca="1">IFERROR(IF(0=LEN(ReferenceData!$Z$140),"",ReferenceData!$Z$140),"")</f>
        <v/>
      </c>
      <c r="AA140" t="str">
        <f ca="1">IFERROR(IF(0=LEN(ReferenceData!$AA$140),"",ReferenceData!$AA$140),"")</f>
        <v/>
      </c>
      <c r="AB140" t="str">
        <f ca="1">IFERROR(IF(0=LEN(ReferenceData!$AB$140),"",ReferenceData!$AB$140),"")</f>
        <v/>
      </c>
      <c r="AC140" t="str">
        <f ca="1">IFERROR(IF(0=LEN(ReferenceData!$AC$140),"",ReferenceData!$AC$140),"")</f>
        <v/>
      </c>
      <c r="AD140" t="str">
        <f ca="1">IFERROR(IF(0=LEN(ReferenceData!$AD$140),"",ReferenceData!$AD$140),"")</f>
        <v/>
      </c>
      <c r="AE140" t="str">
        <f ca="1">IFERROR(IF(0=LEN(ReferenceData!$AE$140),"",ReferenceData!$AE$140),"")</f>
        <v/>
      </c>
      <c r="AF140" t="str">
        <f ca="1">IFERROR(IF(0=LEN(ReferenceData!$AF$140),"",ReferenceData!$AF$140),"")</f>
        <v/>
      </c>
      <c r="AG140" t="str">
        <f ca="1">IFERROR(IF(0=LEN(ReferenceData!$AG$140),"",ReferenceData!$AG$140),"")</f>
        <v/>
      </c>
      <c r="AH140" t="str">
        <f ca="1">IFERROR(IF(0=LEN(ReferenceData!$AH$140),"",ReferenceData!$AH$140),"")</f>
        <v/>
      </c>
      <c r="AI140" t="str">
        <f ca="1">IFERROR(IF(0=LEN(ReferenceData!$AI$140),"",ReferenceData!$AI$140),"")</f>
        <v/>
      </c>
      <c r="AJ140" t="str">
        <f ca="1">IFERROR(IF(0=LEN(ReferenceData!$AJ$140),"",ReferenceData!$AJ$140),"")</f>
        <v/>
      </c>
      <c r="AK140" t="str">
        <f ca="1">IFERROR(IF(0=LEN(ReferenceData!$AK$140),"",ReferenceData!$AK$140),"")</f>
        <v/>
      </c>
      <c r="AL140" t="str">
        <f ca="1">IFERROR(IF(0=LEN(ReferenceData!$AL$140),"",ReferenceData!$AL$140),"")</f>
        <v/>
      </c>
      <c r="AM140" t="str">
        <f ca="1">IFERROR(IF(0=LEN(ReferenceData!$AM$140),"",ReferenceData!$AM$140),"")</f>
        <v/>
      </c>
      <c r="AN140" t="str">
        <f ca="1">IFERROR(IF(0=LEN(ReferenceData!$AN$140),"",ReferenceData!$AN$140),"")</f>
        <v/>
      </c>
      <c r="AO140" t="str">
        <f ca="1">IFERROR(IF(0=LEN(ReferenceData!$AO$140),"",ReferenceData!$AO$140),"")</f>
        <v/>
      </c>
      <c r="AP140" t="str">
        <f ca="1">IFERROR(IF(0=LEN(ReferenceData!$AP$140),"",ReferenceData!$AP$140),"")</f>
        <v/>
      </c>
      <c r="AQ140" t="str">
        <f ca="1">IFERROR(IF(0=LEN(ReferenceData!$AQ$140),"",ReferenceData!$AQ$140),"")</f>
        <v/>
      </c>
      <c r="AR140" t="str">
        <f ca="1">IFERROR(IF(0=LEN(ReferenceData!$AR$140),"",ReferenceData!$AR$140),"")</f>
        <v/>
      </c>
      <c r="AS140" t="str">
        <f ca="1">IFERROR(IF(0=LEN(ReferenceData!$AS$140),"",ReferenceData!$AS$140),"")</f>
        <v/>
      </c>
      <c r="AT140" t="str">
        <f ca="1">IFERROR(IF(0=LEN(ReferenceData!$AT$140),"",ReferenceData!$AT$140),"")</f>
        <v/>
      </c>
      <c r="AU140" t="str">
        <f ca="1">IFERROR(IF(0=LEN(ReferenceData!$AU$140),"",ReferenceData!$AU$140),"")</f>
        <v/>
      </c>
      <c r="AV140" t="str">
        <f ca="1">IFERROR(IF(0=LEN(ReferenceData!$AV$140),"",ReferenceData!$AV$140),"")</f>
        <v/>
      </c>
      <c r="AW140" t="str">
        <f ca="1">IFERROR(IF(0=LEN(ReferenceData!$AW$140),"",ReferenceData!$AW$140),"")</f>
        <v/>
      </c>
      <c r="AX140" t="str">
        <f ca="1">IFERROR(IF(0=LEN(ReferenceData!$AX$140),"",ReferenceData!$AX$140),"")</f>
        <v/>
      </c>
      <c r="AY140" t="str">
        <f ca="1">IFERROR(IF(0=LEN(ReferenceData!$AY$140),"",ReferenceData!$AY$140),"")</f>
        <v/>
      </c>
      <c r="AZ140" t="str">
        <f ca="1">IFERROR(IF(0=LEN(ReferenceData!$AZ$140),"",ReferenceData!$AZ$140),"")</f>
        <v/>
      </c>
      <c r="BA140" t="str">
        <f ca="1">IFERROR(IF(0=LEN(ReferenceData!$BA$140),"",ReferenceData!$BA$140),"")</f>
        <v/>
      </c>
      <c r="BB140" t="str">
        <f ca="1">IFERROR(IF(0=LEN(ReferenceData!$BB$140),"",ReferenceData!$BB$140),"")</f>
        <v/>
      </c>
      <c r="BC140" t="str">
        <f ca="1">IFERROR(IF(0=LEN(ReferenceData!$BC$140),"",ReferenceData!$BC$140),"")</f>
        <v/>
      </c>
      <c r="BD140" t="str">
        <f ca="1">IFERROR(IF(0=LEN(ReferenceData!$BD$140),"",ReferenceData!$BD$140),"")</f>
        <v/>
      </c>
      <c r="BE140" t="str">
        <f ca="1">IFERROR(IF(0=LEN(ReferenceData!$BE$140),"",ReferenceData!$BE$140),"")</f>
        <v/>
      </c>
      <c r="BF140" t="str">
        <f ca="1">IFERROR(IF(0=LEN(ReferenceData!$BF$140),"",ReferenceData!$BF$140),"")</f>
        <v/>
      </c>
      <c r="BG140" t="str">
        <f ca="1">IFERROR(IF(0=LEN(ReferenceData!$BG$140),"",ReferenceData!$BG$140),"")</f>
        <v/>
      </c>
      <c r="BH140" t="str">
        <f ca="1">IFERROR(IF(0=LEN(ReferenceData!$BH$140),"",ReferenceData!$BH$140),"")</f>
        <v/>
      </c>
      <c r="BI140" t="str">
        <f ca="1">IFERROR(IF(0=LEN(ReferenceData!$BI$140),"",ReferenceData!$BI$140),"")</f>
        <v/>
      </c>
      <c r="BJ140" t="str">
        <f ca="1">IFERROR(IF(0=LEN(ReferenceData!$BJ$140),"",ReferenceData!$BJ$140),"")</f>
        <v/>
      </c>
      <c r="BK140" t="str">
        <f ca="1">IFERROR(IF(0=LEN(ReferenceData!$BK$140),"",ReferenceData!$BK$140),"")</f>
        <v/>
      </c>
      <c r="BL140" t="str">
        <f ca="1">IFERROR(IF(0=LEN(ReferenceData!$BL$140),"",ReferenceData!$BL$140),"")</f>
        <v/>
      </c>
      <c r="BM140" t="str">
        <f ca="1">IFERROR(IF(0=LEN(ReferenceData!$BM$140),"",ReferenceData!$BM$140),"")</f>
        <v/>
      </c>
    </row>
    <row r="141" spans="1:65" x14ac:dyDescent="0.25">
      <c r="A141" t="str">
        <f>IFERROR(IF(0=LEN(ReferenceData!$A$141),"",ReferenceData!$A$141),"")</f>
        <v xml:space="preserve">    KBC Group NV</v>
      </c>
      <c r="B141" t="str">
        <f>IFERROR(IF(0=LEN(ReferenceData!$B$141),"",ReferenceData!$B$141),"")</f>
        <v>KBC BB Equity</v>
      </c>
      <c r="C141" t="str">
        <f>IFERROR(IF(0=LEN(ReferenceData!$C$141),"",ReferenceData!$C$141),"")</f>
        <v>BS016</v>
      </c>
      <c r="D141" t="str">
        <f>IFERROR(IF(0=LEN(ReferenceData!$D$141),"",ReferenceData!$D$141),"")</f>
        <v>BS_COMM_LOAN</v>
      </c>
      <c r="E141" t="str">
        <f>IFERROR(IF(0=LEN(ReferenceData!$E$141),"",ReferenceData!$E$141),"")</f>
        <v>Dynamic</v>
      </c>
      <c r="F141" t="str">
        <f ca="1">IFERROR(IF(0=LEN(ReferenceData!$F$141),"",ReferenceData!$F$141),"")</f>
        <v/>
      </c>
      <c r="G141" t="str">
        <f ca="1">IFERROR(IF(0=LEN(ReferenceData!$G$141),"",ReferenceData!$G$141),"")</f>
        <v/>
      </c>
      <c r="H141" t="str">
        <f ca="1">IFERROR(IF(0=LEN(ReferenceData!$H$141),"",ReferenceData!$H$141),"")</f>
        <v/>
      </c>
      <c r="I141" t="str">
        <f ca="1">IFERROR(IF(0=LEN(ReferenceData!$I$141),"",ReferenceData!$I$141),"")</f>
        <v/>
      </c>
      <c r="J141" t="str">
        <f ca="1">IFERROR(IF(0=LEN(ReferenceData!$J$141),"",ReferenceData!$J$141),"")</f>
        <v/>
      </c>
      <c r="K141" t="str">
        <f ca="1">IFERROR(IF(0=LEN(ReferenceData!$K$141),"",ReferenceData!$K$141),"")</f>
        <v/>
      </c>
      <c r="L141" t="str">
        <f ca="1">IFERROR(IF(0=LEN(ReferenceData!$L$141),"",ReferenceData!$L$141),"")</f>
        <v/>
      </c>
      <c r="M141" t="str">
        <f ca="1">IFERROR(IF(0=LEN(ReferenceData!$M$141),"",ReferenceData!$M$141),"")</f>
        <v/>
      </c>
      <c r="N141" t="str">
        <f ca="1">IFERROR(IF(0=LEN(ReferenceData!$N$141),"",ReferenceData!$N$141),"")</f>
        <v/>
      </c>
      <c r="O141" t="str">
        <f ca="1">IFERROR(IF(0=LEN(ReferenceData!$O$141),"",ReferenceData!$O$141),"")</f>
        <v/>
      </c>
      <c r="P141" t="str">
        <f ca="1">IFERROR(IF(0=LEN(ReferenceData!$P$141),"",ReferenceData!$P$141),"")</f>
        <v/>
      </c>
      <c r="Q141" t="str">
        <f ca="1">IFERROR(IF(0=LEN(ReferenceData!$Q$141),"",ReferenceData!$Q$141),"")</f>
        <v/>
      </c>
      <c r="R141" t="str">
        <f ca="1">IFERROR(IF(0=LEN(ReferenceData!$R$141),"",ReferenceData!$R$141),"")</f>
        <v/>
      </c>
      <c r="S141" t="str">
        <f ca="1">IFERROR(IF(0=LEN(ReferenceData!$S$141),"",ReferenceData!$S$141),"")</f>
        <v/>
      </c>
      <c r="T141" t="str">
        <f ca="1">IFERROR(IF(0=LEN(ReferenceData!$T$141),"",ReferenceData!$T$141),"")</f>
        <v/>
      </c>
      <c r="U141" t="str">
        <f ca="1">IFERROR(IF(0=LEN(ReferenceData!$U$141),"",ReferenceData!$U$141),"")</f>
        <v/>
      </c>
      <c r="V141" t="str">
        <f ca="1">IFERROR(IF(0=LEN(ReferenceData!$V$141),"",ReferenceData!$V$141),"")</f>
        <v/>
      </c>
      <c r="W141" t="str">
        <f ca="1">IFERROR(IF(0=LEN(ReferenceData!$W$141),"",ReferenceData!$W$141),"")</f>
        <v/>
      </c>
      <c r="X141" t="str">
        <f ca="1">IFERROR(IF(0=LEN(ReferenceData!$X$141),"",ReferenceData!$X$141),"")</f>
        <v/>
      </c>
      <c r="Y141" t="str">
        <f ca="1">IFERROR(IF(0=LEN(ReferenceData!$Y$141),"",ReferenceData!$Y$141),"")</f>
        <v/>
      </c>
      <c r="Z141" t="str">
        <f ca="1">IFERROR(IF(0=LEN(ReferenceData!$Z$141),"",ReferenceData!$Z$141),"")</f>
        <v/>
      </c>
      <c r="AA141" t="str">
        <f ca="1">IFERROR(IF(0=LEN(ReferenceData!$AA$141),"",ReferenceData!$AA$141),"")</f>
        <v/>
      </c>
      <c r="AB141" t="str">
        <f ca="1">IFERROR(IF(0=LEN(ReferenceData!$AB$141),"",ReferenceData!$AB$141),"")</f>
        <v/>
      </c>
      <c r="AC141" t="str">
        <f ca="1">IFERROR(IF(0=LEN(ReferenceData!$AC$141),"",ReferenceData!$AC$141),"")</f>
        <v/>
      </c>
      <c r="AD141" t="str">
        <f ca="1">IFERROR(IF(0=LEN(ReferenceData!$AD$141),"",ReferenceData!$AD$141),"")</f>
        <v/>
      </c>
      <c r="AE141" t="str">
        <f ca="1">IFERROR(IF(0=LEN(ReferenceData!$AE$141),"",ReferenceData!$AE$141),"")</f>
        <v/>
      </c>
      <c r="AF141" t="str">
        <f ca="1">IFERROR(IF(0=LEN(ReferenceData!$AF$141),"",ReferenceData!$AF$141),"")</f>
        <v/>
      </c>
      <c r="AG141" t="str">
        <f ca="1">IFERROR(IF(0=LEN(ReferenceData!$AG$141),"",ReferenceData!$AG$141),"")</f>
        <v/>
      </c>
      <c r="AH141" t="str">
        <f ca="1">IFERROR(IF(0=LEN(ReferenceData!$AH$141),"",ReferenceData!$AH$141),"")</f>
        <v/>
      </c>
      <c r="AI141" t="str">
        <f ca="1">IFERROR(IF(0=LEN(ReferenceData!$AI$141),"",ReferenceData!$AI$141),"")</f>
        <v/>
      </c>
      <c r="AJ141" t="str">
        <f ca="1">IFERROR(IF(0=LEN(ReferenceData!$AJ$141),"",ReferenceData!$AJ$141),"")</f>
        <v/>
      </c>
      <c r="AK141" t="str">
        <f ca="1">IFERROR(IF(0=LEN(ReferenceData!$AK$141),"",ReferenceData!$AK$141),"")</f>
        <v/>
      </c>
      <c r="AL141" t="str">
        <f ca="1">IFERROR(IF(0=LEN(ReferenceData!$AL$141),"",ReferenceData!$AL$141),"")</f>
        <v/>
      </c>
      <c r="AM141" t="str">
        <f ca="1">IFERROR(IF(0=LEN(ReferenceData!$AM$141),"",ReferenceData!$AM$141),"")</f>
        <v/>
      </c>
      <c r="AN141" t="str">
        <f ca="1">IFERROR(IF(0=LEN(ReferenceData!$AN$141),"",ReferenceData!$AN$141),"")</f>
        <v/>
      </c>
      <c r="AO141" t="str">
        <f ca="1">IFERROR(IF(0=LEN(ReferenceData!$AO$141),"",ReferenceData!$AO$141),"")</f>
        <v/>
      </c>
      <c r="AP141" t="str">
        <f ca="1">IFERROR(IF(0=LEN(ReferenceData!$AP$141),"",ReferenceData!$AP$141),"")</f>
        <v/>
      </c>
      <c r="AQ141" t="str">
        <f ca="1">IFERROR(IF(0=LEN(ReferenceData!$AQ$141),"",ReferenceData!$AQ$141),"")</f>
        <v/>
      </c>
      <c r="AR141" t="str">
        <f ca="1">IFERROR(IF(0=LEN(ReferenceData!$AR$141),"",ReferenceData!$AR$141),"")</f>
        <v/>
      </c>
      <c r="AS141" t="str">
        <f ca="1">IFERROR(IF(0=LEN(ReferenceData!$AS$141),"",ReferenceData!$AS$141),"")</f>
        <v/>
      </c>
      <c r="AT141" t="str">
        <f ca="1">IFERROR(IF(0=LEN(ReferenceData!$AT$141),"",ReferenceData!$AT$141),"")</f>
        <v/>
      </c>
      <c r="AU141" t="str">
        <f ca="1">IFERROR(IF(0=LEN(ReferenceData!$AU$141),"",ReferenceData!$AU$141),"")</f>
        <v/>
      </c>
      <c r="AV141" t="str">
        <f ca="1">IFERROR(IF(0=LEN(ReferenceData!$AV$141),"",ReferenceData!$AV$141),"")</f>
        <v/>
      </c>
      <c r="AW141" t="str">
        <f ca="1">IFERROR(IF(0=LEN(ReferenceData!$AW$141),"",ReferenceData!$AW$141),"")</f>
        <v/>
      </c>
      <c r="AX141" t="str">
        <f ca="1">IFERROR(IF(0=LEN(ReferenceData!$AX$141),"",ReferenceData!$AX$141),"")</f>
        <v/>
      </c>
      <c r="AY141" t="str">
        <f ca="1">IFERROR(IF(0=LEN(ReferenceData!$AY$141),"",ReferenceData!$AY$141),"")</f>
        <v/>
      </c>
      <c r="AZ141" t="str">
        <f ca="1">IFERROR(IF(0=LEN(ReferenceData!$AZ$141),"",ReferenceData!$AZ$141),"")</f>
        <v/>
      </c>
      <c r="BA141" t="str">
        <f ca="1">IFERROR(IF(0=LEN(ReferenceData!$BA$141),"",ReferenceData!$BA$141),"")</f>
        <v/>
      </c>
      <c r="BB141" t="str">
        <f ca="1">IFERROR(IF(0=LEN(ReferenceData!$BB$141),"",ReferenceData!$BB$141),"")</f>
        <v/>
      </c>
      <c r="BC141" t="str">
        <f ca="1">IFERROR(IF(0=LEN(ReferenceData!$BC$141),"",ReferenceData!$BC$141),"")</f>
        <v/>
      </c>
      <c r="BD141" t="str">
        <f ca="1">IFERROR(IF(0=LEN(ReferenceData!$BD$141),"",ReferenceData!$BD$141),"")</f>
        <v/>
      </c>
      <c r="BE141" t="str">
        <f ca="1">IFERROR(IF(0=LEN(ReferenceData!$BE$141),"",ReferenceData!$BE$141),"")</f>
        <v/>
      </c>
      <c r="BF141" t="str">
        <f ca="1">IFERROR(IF(0=LEN(ReferenceData!$BF$141),"",ReferenceData!$BF$141),"")</f>
        <v/>
      </c>
      <c r="BG141" t="str">
        <f ca="1">IFERROR(IF(0=LEN(ReferenceData!$BG$141),"",ReferenceData!$BG$141),"")</f>
        <v/>
      </c>
      <c r="BH141" t="str">
        <f ca="1">IFERROR(IF(0=LEN(ReferenceData!$BH$141),"",ReferenceData!$BH$141),"")</f>
        <v/>
      </c>
      <c r="BI141" t="str">
        <f ca="1">IFERROR(IF(0=LEN(ReferenceData!$BI$141),"",ReferenceData!$BI$141),"")</f>
        <v/>
      </c>
      <c r="BJ141" t="str">
        <f ca="1">IFERROR(IF(0=LEN(ReferenceData!$BJ$141),"",ReferenceData!$BJ$141),"")</f>
        <v/>
      </c>
      <c r="BK141" t="str">
        <f ca="1">IFERROR(IF(0=LEN(ReferenceData!$BK$141),"",ReferenceData!$BK$141),"")</f>
        <v/>
      </c>
      <c r="BL141" t="str">
        <f ca="1">IFERROR(IF(0=LEN(ReferenceData!$BL$141),"",ReferenceData!$BL$141),"")</f>
        <v/>
      </c>
      <c r="BM141" t="str">
        <f ca="1">IFERROR(IF(0=LEN(ReferenceData!$BM$141),"",ReferenceData!$BM$141),"")</f>
        <v/>
      </c>
    </row>
    <row r="142" spans="1:65" x14ac:dyDescent="0.25">
      <c r="A142" t="str">
        <f>IFERROR(IF(0=LEN(ReferenceData!$A$142),"",ReferenceData!$A$142),"")</f>
        <v xml:space="preserve">    Komercni Banka AS</v>
      </c>
      <c r="B142" t="str">
        <f>IFERROR(IF(0=LEN(ReferenceData!$B$142),"",ReferenceData!$B$142),"")</f>
        <v>KOMB CP Equity</v>
      </c>
      <c r="C142" t="str">
        <f>IFERROR(IF(0=LEN(ReferenceData!$C$142),"",ReferenceData!$C$142),"")</f>
        <v>BS016</v>
      </c>
      <c r="D142" t="str">
        <f>IFERROR(IF(0=LEN(ReferenceData!$D$142),"",ReferenceData!$D$142),"")</f>
        <v>BS_COMM_LOAN</v>
      </c>
      <c r="E142" t="str">
        <f>IFERROR(IF(0=LEN(ReferenceData!$E$142),"",ReferenceData!$E$142),"")</f>
        <v>Dynamic</v>
      </c>
      <c r="F142">
        <f ca="1">IFERROR(IF(0=LEN(ReferenceData!$F$142),"",ReferenceData!$F$142),"")</f>
        <v>16871.09247</v>
      </c>
      <c r="G142">
        <f ca="1">IFERROR(IF(0=LEN(ReferenceData!$G$142),"",ReferenceData!$G$142),"")</f>
        <v>16605.492600000001</v>
      </c>
      <c r="H142">
        <f ca="1">IFERROR(IF(0=LEN(ReferenceData!$H$142),"",ReferenceData!$H$142),"")</f>
        <v>15239.81813</v>
      </c>
      <c r="I142">
        <f ca="1">IFERROR(IF(0=LEN(ReferenceData!$I$142),"",ReferenceData!$I$142),"")</f>
        <v>16448.60729</v>
      </c>
      <c r="J142">
        <f ca="1">IFERROR(IF(0=LEN(ReferenceData!$J$142),"",ReferenceData!$J$142),"")</f>
        <v>15800.43922</v>
      </c>
      <c r="K142">
        <f ca="1">IFERROR(IF(0=LEN(ReferenceData!$K$142),"",ReferenceData!$K$142),"")</f>
        <v>16702.63177</v>
      </c>
      <c r="L142">
        <f ca="1">IFERROR(IF(0=LEN(ReferenceData!$L$142),"",ReferenceData!$L$142),"")</f>
        <v>15331.704</v>
      </c>
      <c r="M142">
        <f ca="1">IFERROR(IF(0=LEN(ReferenceData!$M$142),"",ReferenceData!$M$142),"")</f>
        <v>16927.485519999998</v>
      </c>
      <c r="N142">
        <f ca="1">IFERROR(IF(0=LEN(ReferenceData!$N$142),"",ReferenceData!$N$142),"")</f>
        <v>14918.374250000001</v>
      </c>
      <c r="O142">
        <f ca="1">IFERROR(IF(0=LEN(ReferenceData!$O$142),"",ReferenceData!$O$142),"")</f>
        <v>16336.698710000001</v>
      </c>
      <c r="P142">
        <f ca="1">IFERROR(IF(0=LEN(ReferenceData!$P$142),"",ReferenceData!$P$142),"")</f>
        <v>13874.371160000001</v>
      </c>
      <c r="Q142">
        <f ca="1">IFERROR(IF(0=LEN(ReferenceData!$Q$142),"",ReferenceData!$Q$142),"")</f>
        <v>15304.64832</v>
      </c>
      <c r="R142">
        <f ca="1">IFERROR(IF(0=LEN(ReferenceData!$R$142),"",ReferenceData!$R$142),"")</f>
        <v>12865.39308</v>
      </c>
      <c r="S142">
        <f ca="1">IFERROR(IF(0=LEN(ReferenceData!$S$142),"",ReferenceData!$S$142),"")</f>
        <v>14238.30373</v>
      </c>
      <c r="T142">
        <f ca="1">IFERROR(IF(0=LEN(ReferenceData!$T$142),"",ReferenceData!$T$142),"")</f>
        <v>12081.757159999999</v>
      </c>
      <c r="U142">
        <f ca="1">IFERROR(IF(0=LEN(ReferenceData!$U$142),"",ReferenceData!$U$142),"")</f>
        <v>13083.799919999999</v>
      </c>
      <c r="V142">
        <f ca="1">IFERROR(IF(0=LEN(ReferenceData!$V$142),"",ReferenceData!$V$142),"")</f>
        <v>11719.4853</v>
      </c>
      <c r="W142">
        <f ca="1">IFERROR(IF(0=LEN(ReferenceData!$W$142),"",ReferenceData!$W$142),"")</f>
        <v>12902.356889999999</v>
      </c>
      <c r="X142">
        <f ca="1">IFERROR(IF(0=LEN(ReferenceData!$X$142),"",ReferenceData!$X$142),"")</f>
        <v>11703.83815</v>
      </c>
      <c r="Y142">
        <f ca="1">IFERROR(IF(0=LEN(ReferenceData!$Y$142),"",ReferenceData!$Y$142),"")</f>
        <v>12420.58525</v>
      </c>
      <c r="Z142">
        <f ca="1">IFERROR(IF(0=LEN(ReferenceData!$Z$142),"",ReferenceData!$Z$142),"")</f>
        <v>11493.39687</v>
      </c>
      <c r="AA142">
        <f ca="1">IFERROR(IF(0=LEN(ReferenceData!$AA$142),"",ReferenceData!$AA$142),"")</f>
        <v>12918.93903</v>
      </c>
      <c r="AB142">
        <f ca="1">IFERROR(IF(0=LEN(ReferenceData!$AB$142),"",ReferenceData!$AB$142),"")</f>
        <v>11636.241529999999</v>
      </c>
      <c r="AC142">
        <f ca="1">IFERROR(IF(0=LEN(ReferenceData!$AC$142),"",ReferenceData!$AC$142),"")</f>
        <v>12497.480680000001</v>
      </c>
      <c r="AD142">
        <f ca="1">IFERROR(IF(0=LEN(ReferenceData!$AD$142),"",ReferenceData!$AD$142),"")</f>
        <v>11176.535180000001</v>
      </c>
      <c r="AE142">
        <f ca="1">IFERROR(IF(0=LEN(ReferenceData!$AE$142),"",ReferenceData!$AE$142),"")</f>
        <v>12358.611150000001</v>
      </c>
      <c r="AF142">
        <f ca="1">IFERROR(IF(0=LEN(ReferenceData!$AF$142),"",ReferenceData!$AF$142),"")</f>
        <v>11278.971970000001</v>
      </c>
      <c r="AG142">
        <f ca="1">IFERROR(IF(0=LEN(ReferenceData!$AG$142),"",ReferenceData!$AG$142),"")</f>
        <v>12221.21291</v>
      </c>
      <c r="AH142">
        <f ca="1">IFERROR(IF(0=LEN(ReferenceData!$AH$142),"",ReferenceData!$AH$142),"")</f>
        <v>11218.50757</v>
      </c>
      <c r="AI142">
        <f ca="1">IFERROR(IF(0=LEN(ReferenceData!$AI$142),"",ReferenceData!$AI$142),"")</f>
        <v>11884.42109</v>
      </c>
      <c r="AJ142">
        <f ca="1">IFERROR(IF(0=LEN(ReferenceData!$AJ$142),"",ReferenceData!$AJ$142),"")</f>
        <v>11570.004010000001</v>
      </c>
      <c r="AK142">
        <f ca="1">IFERROR(IF(0=LEN(ReferenceData!$AK$142),"",ReferenceData!$AK$142),"")</f>
        <v>11446.76742</v>
      </c>
      <c r="AL142">
        <f ca="1">IFERROR(IF(0=LEN(ReferenceData!$AL$142),"",ReferenceData!$AL$142),"")</f>
        <v>10593.15654</v>
      </c>
      <c r="AM142">
        <f ca="1">IFERROR(IF(0=LEN(ReferenceData!$AM$142),"",ReferenceData!$AM$142),"")</f>
        <v>11753.00481</v>
      </c>
      <c r="AN142">
        <f ca="1">IFERROR(IF(0=LEN(ReferenceData!$AN$142),"",ReferenceData!$AN$142),"")</f>
        <v>10212.637989999999</v>
      </c>
      <c r="AO142">
        <f ca="1">IFERROR(IF(0=LEN(ReferenceData!$AO$142),"",ReferenceData!$AO$142),"")</f>
        <v>10702.935670000001</v>
      </c>
      <c r="AP142">
        <f ca="1">IFERROR(IF(0=LEN(ReferenceData!$AP$142),"",ReferenceData!$AP$142),"")</f>
        <v>9693.4963919999991</v>
      </c>
      <c r="AQ142">
        <f ca="1">IFERROR(IF(0=LEN(ReferenceData!$AQ$142),"",ReferenceData!$AQ$142),"")</f>
        <v>10533.43801</v>
      </c>
      <c r="AR142">
        <f ca="1">IFERROR(IF(0=LEN(ReferenceData!$AR$142),"",ReferenceData!$AR$142),"")</f>
        <v>8931.7957239999996</v>
      </c>
      <c r="AS142">
        <f ca="1">IFERROR(IF(0=LEN(ReferenceData!$AS$142),"",ReferenceData!$AS$142),"")</f>
        <v>10057.21428</v>
      </c>
      <c r="AT142">
        <f ca="1">IFERROR(IF(0=LEN(ReferenceData!$AT$142),"",ReferenceData!$AT$142),"")</f>
        <v>9018.2301769999995</v>
      </c>
      <c r="AU142" t="str">
        <f ca="1">IFERROR(IF(0=LEN(ReferenceData!$AU$142),"",ReferenceData!$AU$142),"")</f>
        <v/>
      </c>
      <c r="AV142">
        <f ca="1">IFERROR(IF(0=LEN(ReferenceData!$AV$142),"",ReferenceData!$AV$142),"")</f>
        <v>8589.9028600000001</v>
      </c>
      <c r="AW142">
        <f ca="1">IFERROR(IF(0=LEN(ReferenceData!$AW$142),"",ReferenceData!$AW$142),"")</f>
        <v>9519.625059</v>
      </c>
      <c r="AX142">
        <f ca="1">IFERROR(IF(0=LEN(ReferenceData!$AX$142),"",ReferenceData!$AX$142),"")</f>
        <v>8684.9226880000006</v>
      </c>
      <c r="AY142" t="str">
        <f ca="1">IFERROR(IF(0=LEN(ReferenceData!$AY$142),"",ReferenceData!$AY$142),"")</f>
        <v/>
      </c>
      <c r="AZ142" t="str">
        <f ca="1">IFERROR(IF(0=LEN(ReferenceData!$AZ$142),"",ReferenceData!$AZ$142),"")</f>
        <v/>
      </c>
      <c r="BA142" t="str">
        <f ca="1">IFERROR(IF(0=LEN(ReferenceData!$BA$142),"",ReferenceData!$BA$142),"")</f>
        <v/>
      </c>
      <c r="BB142">
        <f ca="1">IFERROR(IF(0=LEN(ReferenceData!$BB$142),"",ReferenceData!$BB$142),"")</f>
        <v>8959.0807580000001</v>
      </c>
      <c r="BC142" t="str">
        <f ca="1">IFERROR(IF(0=LEN(ReferenceData!$BC$142),"",ReferenceData!$BC$142),"")</f>
        <v/>
      </c>
      <c r="BD142" t="str">
        <f ca="1">IFERROR(IF(0=LEN(ReferenceData!$BD$142),"",ReferenceData!$BD$142),"")</f>
        <v/>
      </c>
      <c r="BE142" t="str">
        <f ca="1">IFERROR(IF(0=LEN(ReferenceData!$BE$142),"",ReferenceData!$BE$142),"")</f>
        <v/>
      </c>
      <c r="BF142" t="str">
        <f ca="1">IFERROR(IF(0=LEN(ReferenceData!$BF$142),"",ReferenceData!$BF$142),"")</f>
        <v/>
      </c>
      <c r="BG142" t="str">
        <f ca="1">IFERROR(IF(0=LEN(ReferenceData!$BG$142),"",ReferenceData!$BG$142),"")</f>
        <v/>
      </c>
      <c r="BH142" t="str">
        <f ca="1">IFERROR(IF(0=LEN(ReferenceData!$BH$142),"",ReferenceData!$BH$142),"")</f>
        <v/>
      </c>
      <c r="BI142" t="str">
        <f ca="1">IFERROR(IF(0=LEN(ReferenceData!$BI$142),"",ReferenceData!$BI$142),"")</f>
        <v/>
      </c>
      <c r="BJ142" t="str">
        <f ca="1">IFERROR(IF(0=LEN(ReferenceData!$BJ$142),"",ReferenceData!$BJ$142),"")</f>
        <v/>
      </c>
      <c r="BK142" t="str">
        <f ca="1">IFERROR(IF(0=LEN(ReferenceData!$BK$142),"",ReferenceData!$BK$142),"")</f>
        <v/>
      </c>
      <c r="BL142" t="str">
        <f ca="1">IFERROR(IF(0=LEN(ReferenceData!$BL$142),"",ReferenceData!$BL$142),"")</f>
        <v/>
      </c>
      <c r="BM142" t="str">
        <f ca="1">IFERROR(IF(0=LEN(ReferenceData!$BM$142),"",ReferenceData!$BM$142),"")</f>
        <v/>
      </c>
    </row>
    <row r="143" spans="1:65" x14ac:dyDescent="0.25">
      <c r="A143" t="str">
        <f>IFERROR(IF(0=LEN(ReferenceData!$A$143),"",ReferenceData!$A$143),"")</f>
        <v xml:space="preserve">    Lloyds Banking Group PLC</v>
      </c>
      <c r="B143" t="str">
        <f>IFERROR(IF(0=LEN(ReferenceData!$B$143),"",ReferenceData!$B$143),"")</f>
        <v>LLOY LN Equity</v>
      </c>
      <c r="C143" t="str">
        <f>IFERROR(IF(0=LEN(ReferenceData!$C$143),"",ReferenceData!$C$143),"")</f>
        <v>BS016</v>
      </c>
      <c r="D143" t="str">
        <f>IFERROR(IF(0=LEN(ReferenceData!$D$143),"",ReferenceData!$D$143),"")</f>
        <v>BS_COMM_LOAN</v>
      </c>
      <c r="E143" t="str">
        <f>IFERROR(IF(0=LEN(ReferenceData!$E$143),"",ReferenceData!$E$143),"")</f>
        <v>Dynamic</v>
      </c>
      <c r="F143">
        <f ca="1">IFERROR(IF(0=LEN(ReferenceData!$F$143),"",ReferenceData!$F$143),"")</f>
        <v>33317.064259999999</v>
      </c>
      <c r="G143">
        <f ca="1">IFERROR(IF(0=LEN(ReferenceData!$G$143),"",ReferenceData!$G$143),"")</f>
        <v>19135.238069999999</v>
      </c>
      <c r="H143" t="str">
        <f ca="1">IFERROR(IF(0=LEN(ReferenceData!$H$143),"",ReferenceData!$H$143),"")</f>
        <v/>
      </c>
      <c r="I143" t="str">
        <f ca="1">IFERROR(IF(0=LEN(ReferenceData!$I$143),"",ReferenceData!$I$143),"")</f>
        <v/>
      </c>
      <c r="J143">
        <f ca="1">IFERROR(IF(0=LEN(ReferenceData!$J$143),"",ReferenceData!$J$143),"")</f>
        <v>32817.65971</v>
      </c>
      <c r="K143">
        <f ca="1">IFERROR(IF(0=LEN(ReferenceData!$K$143),"",ReferenceData!$K$143),"")</f>
        <v>17705.508040000001</v>
      </c>
      <c r="L143" t="str">
        <f ca="1">IFERROR(IF(0=LEN(ReferenceData!$L$143),"",ReferenceData!$L$143),"")</f>
        <v/>
      </c>
      <c r="M143" t="str">
        <f ca="1">IFERROR(IF(0=LEN(ReferenceData!$M$143),"",ReferenceData!$M$143),"")</f>
        <v/>
      </c>
      <c r="N143">
        <f ca="1">IFERROR(IF(0=LEN(ReferenceData!$N$143),"",ReferenceData!$N$143),"")</f>
        <v>34849.378400000001</v>
      </c>
      <c r="O143" t="str">
        <f ca="1">IFERROR(IF(0=LEN(ReferenceData!$O$143),"",ReferenceData!$O$143),"")</f>
        <v/>
      </c>
      <c r="P143" t="str">
        <f ca="1">IFERROR(IF(0=LEN(ReferenceData!$P$143),"",ReferenceData!$P$143),"")</f>
        <v/>
      </c>
      <c r="Q143" t="str">
        <f ca="1">IFERROR(IF(0=LEN(ReferenceData!$Q$143),"",ReferenceData!$Q$143),"")</f>
        <v/>
      </c>
      <c r="R143">
        <f ca="1">IFERROR(IF(0=LEN(ReferenceData!$R$143),"",ReferenceData!$R$143),"")</f>
        <v>37706.85052</v>
      </c>
      <c r="S143" t="str">
        <f ca="1">IFERROR(IF(0=LEN(ReferenceData!$S$143),"",ReferenceData!$S$143),"")</f>
        <v/>
      </c>
      <c r="T143" t="str">
        <f ca="1">IFERROR(IF(0=LEN(ReferenceData!$T$143),"",ReferenceData!$T$143),"")</f>
        <v/>
      </c>
      <c r="U143" t="str">
        <f ca="1">IFERROR(IF(0=LEN(ReferenceData!$U$143),"",ReferenceData!$U$143),"")</f>
        <v/>
      </c>
      <c r="V143">
        <f ca="1">IFERROR(IF(0=LEN(ReferenceData!$V$143),"",ReferenceData!$V$143),"")</f>
        <v>37454.547400000003</v>
      </c>
      <c r="W143" t="str">
        <f ca="1">IFERROR(IF(0=LEN(ReferenceData!$W$143),"",ReferenceData!$W$143),"")</f>
        <v/>
      </c>
      <c r="X143" t="str">
        <f ca="1">IFERROR(IF(0=LEN(ReferenceData!$X$143),"",ReferenceData!$X$143),"")</f>
        <v/>
      </c>
      <c r="Y143" t="str">
        <f ca="1">IFERROR(IF(0=LEN(ReferenceData!$Y$143),"",ReferenceData!$Y$143),"")</f>
        <v/>
      </c>
      <c r="Z143">
        <f ca="1">IFERROR(IF(0=LEN(ReferenceData!$Z$143),"",ReferenceData!$Z$143),"")</f>
        <v>38249.977019999998</v>
      </c>
      <c r="AA143" t="str">
        <f ca="1">IFERROR(IF(0=LEN(ReferenceData!$AA$143),"",ReferenceData!$AA$143),"")</f>
        <v/>
      </c>
      <c r="AB143" t="str">
        <f ca="1">IFERROR(IF(0=LEN(ReferenceData!$AB$143),"",ReferenceData!$AB$143),"")</f>
        <v/>
      </c>
      <c r="AC143" t="str">
        <f ca="1">IFERROR(IF(0=LEN(ReferenceData!$AC$143),"",ReferenceData!$AC$143),"")</f>
        <v/>
      </c>
      <c r="AD143">
        <f ca="1">IFERROR(IF(0=LEN(ReferenceData!$AD$143),"",ReferenceData!$AD$143),"")</f>
        <v>39943.10583</v>
      </c>
      <c r="AE143" t="str">
        <f ca="1">IFERROR(IF(0=LEN(ReferenceData!$AE$143),"",ReferenceData!$AE$143),"")</f>
        <v/>
      </c>
      <c r="AF143">
        <f ca="1">IFERROR(IF(0=LEN(ReferenceData!$AF$143),"",ReferenceData!$AF$143),"")</f>
        <v>40200.062689999999</v>
      </c>
      <c r="AG143" t="str">
        <f ca="1">IFERROR(IF(0=LEN(ReferenceData!$AG$143),"",ReferenceData!$AG$143),"")</f>
        <v/>
      </c>
      <c r="AH143">
        <f ca="1">IFERROR(IF(0=LEN(ReferenceData!$AH$143),"",ReferenceData!$AH$143),"")</f>
        <v>74738.605219999998</v>
      </c>
      <c r="AI143" t="str">
        <f ca="1">IFERROR(IF(0=LEN(ReferenceData!$AI$143),"",ReferenceData!$AI$143),"")</f>
        <v/>
      </c>
      <c r="AJ143">
        <f ca="1">IFERROR(IF(0=LEN(ReferenceData!$AJ$143),"",ReferenceData!$AJ$143),"")</f>
        <v>74088.498380000005</v>
      </c>
      <c r="AK143" t="str">
        <f ca="1">IFERROR(IF(0=LEN(ReferenceData!$AK$143),"",ReferenceData!$AK$143),"")</f>
        <v/>
      </c>
      <c r="AL143">
        <f ca="1">IFERROR(IF(0=LEN(ReferenceData!$AL$143),"",ReferenceData!$AL$143),"")</f>
        <v>78329.358590000003</v>
      </c>
      <c r="AM143" t="str">
        <f ca="1">IFERROR(IF(0=LEN(ReferenceData!$AM$143),"",ReferenceData!$AM$143),"")</f>
        <v/>
      </c>
      <c r="AN143">
        <f ca="1">IFERROR(IF(0=LEN(ReferenceData!$AN$143),"",ReferenceData!$AN$143),"")</f>
        <v>81229.205090000003</v>
      </c>
      <c r="AO143" t="str">
        <f ca="1">IFERROR(IF(0=LEN(ReferenceData!$AO$143),"",ReferenceData!$AO$143),"")</f>
        <v/>
      </c>
      <c r="AP143">
        <f ca="1">IFERROR(IF(0=LEN(ReferenceData!$AP$143),"",ReferenceData!$AP$143),"")</f>
        <v>90619.659490000005</v>
      </c>
      <c r="AQ143" t="str">
        <f ca="1">IFERROR(IF(0=LEN(ReferenceData!$AQ$143),"",ReferenceData!$AQ$143),"")</f>
        <v/>
      </c>
      <c r="AR143">
        <f ca="1">IFERROR(IF(0=LEN(ReferenceData!$AR$143),"",ReferenceData!$AR$143),"")</f>
        <v>102954.8305</v>
      </c>
      <c r="AS143" t="str">
        <f ca="1">IFERROR(IF(0=LEN(ReferenceData!$AS$143),"",ReferenceData!$AS$143),"")</f>
        <v/>
      </c>
      <c r="AT143">
        <f ca="1">IFERROR(IF(0=LEN(ReferenceData!$AT$143),"",ReferenceData!$AT$143),"")</f>
        <v>96136.057690000001</v>
      </c>
      <c r="AU143" t="str">
        <f ca="1">IFERROR(IF(0=LEN(ReferenceData!$AU$143),"",ReferenceData!$AU$143),"")</f>
        <v/>
      </c>
      <c r="AV143">
        <f ca="1">IFERROR(IF(0=LEN(ReferenceData!$AV$143),"",ReferenceData!$AV$143),"")</f>
        <v>106731.9705</v>
      </c>
      <c r="AW143" t="str">
        <f ca="1">IFERROR(IF(0=LEN(ReferenceData!$AW$143),"",ReferenceData!$AW$143),"")</f>
        <v/>
      </c>
      <c r="AX143">
        <f ca="1">IFERROR(IF(0=LEN(ReferenceData!$AX$143),"",ReferenceData!$AX$143),"")</f>
        <v>110179.6983</v>
      </c>
      <c r="AY143" t="str">
        <f ca="1">IFERROR(IF(0=LEN(ReferenceData!$AY$143),"",ReferenceData!$AY$143),"")</f>
        <v/>
      </c>
      <c r="AZ143">
        <f ca="1">IFERROR(IF(0=LEN(ReferenceData!$AZ$143),"",ReferenceData!$AZ$143),"")</f>
        <v>115922.09149999999</v>
      </c>
      <c r="BA143" t="str">
        <f ca="1">IFERROR(IF(0=LEN(ReferenceData!$BA$143),"",ReferenceData!$BA$143),"")</f>
        <v/>
      </c>
      <c r="BB143">
        <f ca="1">IFERROR(IF(0=LEN(ReferenceData!$BB$143),"",ReferenceData!$BB$143),"")</f>
        <v>127828.98299999999</v>
      </c>
      <c r="BC143" t="str">
        <f ca="1">IFERROR(IF(0=LEN(ReferenceData!$BC$143),"",ReferenceData!$BC$143),"")</f>
        <v/>
      </c>
      <c r="BD143">
        <f ca="1">IFERROR(IF(0=LEN(ReferenceData!$BD$143),"",ReferenceData!$BD$143),"")</f>
        <v>144807.174</v>
      </c>
      <c r="BE143" t="str">
        <f ca="1">IFERROR(IF(0=LEN(ReferenceData!$BE$143),"",ReferenceData!$BE$143),"")</f>
        <v/>
      </c>
      <c r="BF143">
        <f ca="1">IFERROR(IF(0=LEN(ReferenceData!$BF$143),"",ReferenceData!$BF$143),"")</f>
        <v>151533.4608</v>
      </c>
      <c r="BG143" t="str">
        <f ca="1">IFERROR(IF(0=LEN(ReferenceData!$BG$143),"",ReferenceData!$BG$143),"")</f>
        <v/>
      </c>
      <c r="BH143">
        <f ca="1">IFERROR(IF(0=LEN(ReferenceData!$BH$143),"",ReferenceData!$BH$143),"")</f>
        <v>149274.7211</v>
      </c>
      <c r="BI143" t="str">
        <f ca="1">IFERROR(IF(0=LEN(ReferenceData!$BI$143),"",ReferenceData!$BI$143),"")</f>
        <v/>
      </c>
      <c r="BJ143">
        <f ca="1">IFERROR(IF(0=LEN(ReferenceData!$BJ$143),"",ReferenceData!$BJ$143),"")</f>
        <v>164439.2078</v>
      </c>
      <c r="BK143" t="str">
        <f ca="1">IFERROR(IF(0=LEN(ReferenceData!$BK$143),"",ReferenceData!$BK$143),"")</f>
        <v/>
      </c>
      <c r="BL143">
        <f ca="1">IFERROR(IF(0=LEN(ReferenceData!$BL$143),"",ReferenceData!$BL$143),"")</f>
        <v>179873.4007</v>
      </c>
      <c r="BM143" t="str">
        <f ca="1">IFERROR(IF(0=LEN(ReferenceData!$BM$143),"",ReferenceData!$BM$143),"")</f>
        <v/>
      </c>
    </row>
    <row r="144" spans="1:65" x14ac:dyDescent="0.25">
      <c r="A144" t="str">
        <f>IFERROR(IF(0=LEN(ReferenceData!$A$144),"",ReferenceData!$A$144),"")</f>
        <v xml:space="preserve">    Mediobanca Banca di Credito Finanziario SpA</v>
      </c>
      <c r="B144" t="str">
        <f>IFERROR(IF(0=LEN(ReferenceData!$B$144),"",ReferenceData!$B$144),"")</f>
        <v>MB IM Equity</v>
      </c>
      <c r="C144" t="str">
        <f>IFERROR(IF(0=LEN(ReferenceData!$C$144),"",ReferenceData!$C$144),"")</f>
        <v>BS016</v>
      </c>
      <c r="D144" t="str">
        <f>IFERROR(IF(0=LEN(ReferenceData!$D$144),"",ReferenceData!$D$144),"")</f>
        <v>BS_COMM_LOAN</v>
      </c>
      <c r="E144" t="str">
        <f>IFERROR(IF(0=LEN(ReferenceData!$E$144),"",ReferenceData!$E$144),"")</f>
        <v>Dynamic</v>
      </c>
      <c r="F144" t="str">
        <f ca="1">IFERROR(IF(0=LEN(ReferenceData!$F$144),"",ReferenceData!$F$144),"")</f>
        <v/>
      </c>
      <c r="G144" t="str">
        <f ca="1">IFERROR(IF(0=LEN(ReferenceData!$G$144),"",ReferenceData!$G$144),"")</f>
        <v/>
      </c>
      <c r="H144" t="str">
        <f ca="1">IFERROR(IF(0=LEN(ReferenceData!$H$144),"",ReferenceData!$H$144),"")</f>
        <v/>
      </c>
      <c r="I144" t="str">
        <f ca="1">IFERROR(IF(0=LEN(ReferenceData!$I$144),"",ReferenceData!$I$144),"")</f>
        <v/>
      </c>
      <c r="J144" t="str">
        <f ca="1">IFERROR(IF(0=LEN(ReferenceData!$J$144),"",ReferenceData!$J$144),"")</f>
        <v/>
      </c>
      <c r="K144" t="str">
        <f ca="1">IFERROR(IF(0=LEN(ReferenceData!$K$144),"",ReferenceData!$K$144),"")</f>
        <v/>
      </c>
      <c r="L144" t="str">
        <f ca="1">IFERROR(IF(0=LEN(ReferenceData!$L$144),"",ReferenceData!$L$144),"")</f>
        <v/>
      </c>
      <c r="M144" t="str">
        <f ca="1">IFERROR(IF(0=LEN(ReferenceData!$M$144),"",ReferenceData!$M$144),"")</f>
        <v/>
      </c>
      <c r="N144" t="str">
        <f ca="1">IFERROR(IF(0=LEN(ReferenceData!$N$144),"",ReferenceData!$N$144),"")</f>
        <v/>
      </c>
      <c r="O144" t="str">
        <f ca="1">IFERROR(IF(0=LEN(ReferenceData!$O$144),"",ReferenceData!$O$144),"")</f>
        <v/>
      </c>
      <c r="P144" t="str">
        <f ca="1">IFERROR(IF(0=LEN(ReferenceData!$P$144),"",ReferenceData!$P$144),"")</f>
        <v/>
      </c>
      <c r="Q144" t="str">
        <f ca="1">IFERROR(IF(0=LEN(ReferenceData!$Q$144),"",ReferenceData!$Q$144),"")</f>
        <v/>
      </c>
      <c r="R144" t="str">
        <f ca="1">IFERROR(IF(0=LEN(ReferenceData!$R$144),"",ReferenceData!$R$144),"")</f>
        <v/>
      </c>
      <c r="S144" t="str">
        <f ca="1">IFERROR(IF(0=LEN(ReferenceData!$S$144),"",ReferenceData!$S$144),"")</f>
        <v/>
      </c>
      <c r="T144" t="str">
        <f ca="1">IFERROR(IF(0=LEN(ReferenceData!$T$144),"",ReferenceData!$T$144),"")</f>
        <v/>
      </c>
      <c r="U144" t="str">
        <f ca="1">IFERROR(IF(0=LEN(ReferenceData!$U$144),"",ReferenceData!$U$144),"")</f>
        <v/>
      </c>
      <c r="V144" t="str">
        <f ca="1">IFERROR(IF(0=LEN(ReferenceData!$V$144),"",ReferenceData!$V$144),"")</f>
        <v/>
      </c>
      <c r="W144" t="str">
        <f ca="1">IFERROR(IF(0=LEN(ReferenceData!$W$144),"",ReferenceData!$W$144),"")</f>
        <v/>
      </c>
      <c r="X144" t="str">
        <f ca="1">IFERROR(IF(0=LEN(ReferenceData!$X$144),"",ReferenceData!$X$144),"")</f>
        <v/>
      </c>
      <c r="Y144" t="str">
        <f ca="1">IFERROR(IF(0=LEN(ReferenceData!$Y$144),"",ReferenceData!$Y$144),"")</f>
        <v/>
      </c>
      <c r="Z144" t="str">
        <f ca="1">IFERROR(IF(0=LEN(ReferenceData!$Z$144),"",ReferenceData!$Z$144),"")</f>
        <v/>
      </c>
      <c r="AA144" t="str">
        <f ca="1">IFERROR(IF(0=LEN(ReferenceData!$AA$144),"",ReferenceData!$AA$144),"")</f>
        <v/>
      </c>
      <c r="AB144" t="str">
        <f ca="1">IFERROR(IF(0=LEN(ReferenceData!$AB$144),"",ReferenceData!$AB$144),"")</f>
        <v/>
      </c>
      <c r="AC144" t="str">
        <f ca="1">IFERROR(IF(0=LEN(ReferenceData!$AC$144),"",ReferenceData!$AC$144),"")</f>
        <v/>
      </c>
      <c r="AD144" t="str">
        <f ca="1">IFERROR(IF(0=LEN(ReferenceData!$AD$144),"",ReferenceData!$AD$144),"")</f>
        <v/>
      </c>
      <c r="AE144" t="str">
        <f ca="1">IFERROR(IF(0=LEN(ReferenceData!$AE$144),"",ReferenceData!$AE$144),"")</f>
        <v/>
      </c>
      <c r="AF144" t="str">
        <f ca="1">IFERROR(IF(0=LEN(ReferenceData!$AF$144),"",ReferenceData!$AF$144),"")</f>
        <v/>
      </c>
      <c r="AG144" t="str">
        <f ca="1">IFERROR(IF(0=LEN(ReferenceData!$AG$144),"",ReferenceData!$AG$144),"")</f>
        <v/>
      </c>
      <c r="AH144" t="str">
        <f ca="1">IFERROR(IF(0=LEN(ReferenceData!$AH$144),"",ReferenceData!$AH$144),"")</f>
        <v/>
      </c>
      <c r="AI144" t="str">
        <f ca="1">IFERROR(IF(0=LEN(ReferenceData!$AI$144),"",ReferenceData!$AI$144),"")</f>
        <v/>
      </c>
      <c r="AJ144" t="str">
        <f ca="1">IFERROR(IF(0=LEN(ReferenceData!$AJ$144),"",ReferenceData!$AJ$144),"")</f>
        <v/>
      </c>
      <c r="AK144" t="str">
        <f ca="1">IFERROR(IF(0=LEN(ReferenceData!$AK$144),"",ReferenceData!$AK$144),"")</f>
        <v/>
      </c>
      <c r="AL144" t="str">
        <f ca="1">IFERROR(IF(0=LEN(ReferenceData!$AL$144),"",ReferenceData!$AL$144),"")</f>
        <v/>
      </c>
      <c r="AM144" t="str">
        <f ca="1">IFERROR(IF(0=LEN(ReferenceData!$AM$144),"",ReferenceData!$AM$144),"")</f>
        <v/>
      </c>
      <c r="AN144" t="str">
        <f ca="1">IFERROR(IF(0=LEN(ReferenceData!$AN$144),"",ReferenceData!$AN$144),"")</f>
        <v/>
      </c>
      <c r="AO144" t="str">
        <f ca="1">IFERROR(IF(0=LEN(ReferenceData!$AO$144),"",ReferenceData!$AO$144),"")</f>
        <v/>
      </c>
      <c r="AP144" t="str">
        <f ca="1">IFERROR(IF(0=LEN(ReferenceData!$AP$144),"",ReferenceData!$AP$144),"")</f>
        <v/>
      </c>
      <c r="AQ144" t="str">
        <f ca="1">IFERROR(IF(0=LEN(ReferenceData!$AQ$144),"",ReferenceData!$AQ$144),"")</f>
        <v/>
      </c>
      <c r="AR144" t="str">
        <f ca="1">IFERROR(IF(0=LEN(ReferenceData!$AR$144),"",ReferenceData!$AR$144),"")</f>
        <v/>
      </c>
      <c r="AS144" t="str">
        <f ca="1">IFERROR(IF(0=LEN(ReferenceData!$AS$144),"",ReferenceData!$AS$144),"")</f>
        <v/>
      </c>
      <c r="AT144" t="str">
        <f ca="1">IFERROR(IF(0=LEN(ReferenceData!$AT$144),"",ReferenceData!$AT$144),"")</f>
        <v/>
      </c>
      <c r="AU144" t="str">
        <f ca="1">IFERROR(IF(0=LEN(ReferenceData!$AU$144),"",ReferenceData!$AU$144),"")</f>
        <v/>
      </c>
      <c r="AV144" t="str">
        <f ca="1">IFERROR(IF(0=LEN(ReferenceData!$AV$144),"",ReferenceData!$AV$144),"")</f>
        <v/>
      </c>
      <c r="AW144" t="str">
        <f ca="1">IFERROR(IF(0=LEN(ReferenceData!$AW$144),"",ReferenceData!$AW$144),"")</f>
        <v/>
      </c>
      <c r="AX144" t="str">
        <f ca="1">IFERROR(IF(0=LEN(ReferenceData!$AX$144),"",ReferenceData!$AX$144),"")</f>
        <v/>
      </c>
      <c r="AY144" t="str">
        <f ca="1">IFERROR(IF(0=LEN(ReferenceData!$AY$144),"",ReferenceData!$AY$144),"")</f>
        <v/>
      </c>
      <c r="AZ144" t="str">
        <f ca="1">IFERROR(IF(0=LEN(ReferenceData!$AZ$144),"",ReferenceData!$AZ$144),"")</f>
        <v/>
      </c>
      <c r="BA144" t="str">
        <f ca="1">IFERROR(IF(0=LEN(ReferenceData!$BA$144),"",ReferenceData!$BA$144),"")</f>
        <v/>
      </c>
      <c r="BB144" t="str">
        <f ca="1">IFERROR(IF(0=LEN(ReferenceData!$BB$144),"",ReferenceData!$BB$144),"")</f>
        <v/>
      </c>
      <c r="BC144" t="str">
        <f ca="1">IFERROR(IF(0=LEN(ReferenceData!$BC$144),"",ReferenceData!$BC$144),"")</f>
        <v/>
      </c>
      <c r="BD144" t="str">
        <f ca="1">IFERROR(IF(0=LEN(ReferenceData!$BD$144),"",ReferenceData!$BD$144),"")</f>
        <v/>
      </c>
      <c r="BE144" t="str">
        <f ca="1">IFERROR(IF(0=LEN(ReferenceData!$BE$144),"",ReferenceData!$BE$144),"")</f>
        <v/>
      </c>
      <c r="BF144" t="str">
        <f ca="1">IFERROR(IF(0=LEN(ReferenceData!$BF$144),"",ReferenceData!$BF$144),"")</f>
        <v/>
      </c>
      <c r="BG144" t="str">
        <f ca="1">IFERROR(IF(0=LEN(ReferenceData!$BG$144),"",ReferenceData!$BG$144),"")</f>
        <v/>
      </c>
      <c r="BH144" t="str">
        <f ca="1">IFERROR(IF(0=LEN(ReferenceData!$BH$144),"",ReferenceData!$BH$144),"")</f>
        <v/>
      </c>
      <c r="BI144" t="str">
        <f ca="1">IFERROR(IF(0=LEN(ReferenceData!$BI$144),"",ReferenceData!$BI$144),"")</f>
        <v/>
      </c>
      <c r="BJ144" t="str">
        <f ca="1">IFERROR(IF(0=LEN(ReferenceData!$BJ$144),"",ReferenceData!$BJ$144),"")</f>
        <v/>
      </c>
      <c r="BK144" t="str">
        <f ca="1">IFERROR(IF(0=LEN(ReferenceData!$BK$144),"",ReferenceData!$BK$144),"")</f>
        <v/>
      </c>
      <c r="BL144" t="str">
        <f ca="1">IFERROR(IF(0=LEN(ReferenceData!$BL$144),"",ReferenceData!$BL$144),"")</f>
        <v/>
      </c>
      <c r="BM144" t="str">
        <f ca="1">IFERROR(IF(0=LEN(ReferenceData!$BM$144),"",ReferenceData!$BM$144),"")</f>
        <v/>
      </c>
    </row>
    <row r="145" spans="1:65" x14ac:dyDescent="0.25">
      <c r="A145" t="str">
        <f>IFERROR(IF(0=LEN(ReferenceData!$A$145),"",ReferenceData!$A$145),"")</f>
        <v xml:space="preserve">    NatWest Group PLC</v>
      </c>
      <c r="B145" t="str">
        <f>IFERROR(IF(0=LEN(ReferenceData!$B$145),"",ReferenceData!$B$145),"")</f>
        <v>NWG LN Equity</v>
      </c>
      <c r="C145" t="str">
        <f>IFERROR(IF(0=LEN(ReferenceData!$C$145),"",ReferenceData!$C$145),"")</f>
        <v>BS016</v>
      </c>
      <c r="D145" t="str">
        <f>IFERROR(IF(0=LEN(ReferenceData!$D$145),"",ReferenceData!$D$145),"")</f>
        <v>BS_COMM_LOAN</v>
      </c>
      <c r="E145" t="str">
        <f>IFERROR(IF(0=LEN(ReferenceData!$E$145),"",ReferenceData!$E$145),"")</f>
        <v>Dynamic</v>
      </c>
      <c r="F145" t="str">
        <f ca="1">IFERROR(IF(0=LEN(ReferenceData!$F$145),"",ReferenceData!$F$145),"")</f>
        <v/>
      </c>
      <c r="G145" t="str">
        <f ca="1">IFERROR(IF(0=LEN(ReferenceData!$G$145),"",ReferenceData!$G$145),"")</f>
        <v/>
      </c>
      <c r="H145" t="str">
        <f ca="1">IFERROR(IF(0=LEN(ReferenceData!$H$145),"",ReferenceData!$H$145),"")</f>
        <v/>
      </c>
      <c r="I145" t="str">
        <f ca="1">IFERROR(IF(0=LEN(ReferenceData!$I$145),"",ReferenceData!$I$145),"")</f>
        <v/>
      </c>
      <c r="J145" t="str">
        <f ca="1">IFERROR(IF(0=LEN(ReferenceData!$J$145),"",ReferenceData!$J$145),"")</f>
        <v/>
      </c>
      <c r="K145" t="str">
        <f ca="1">IFERROR(IF(0=LEN(ReferenceData!$K$145),"",ReferenceData!$K$145),"")</f>
        <v/>
      </c>
      <c r="L145" t="str">
        <f ca="1">IFERROR(IF(0=LEN(ReferenceData!$L$145),"",ReferenceData!$L$145),"")</f>
        <v/>
      </c>
      <c r="M145" t="str">
        <f ca="1">IFERROR(IF(0=LEN(ReferenceData!$M$145),"",ReferenceData!$M$145),"")</f>
        <v/>
      </c>
      <c r="N145" t="str">
        <f ca="1">IFERROR(IF(0=LEN(ReferenceData!$N$145),"",ReferenceData!$N$145),"")</f>
        <v/>
      </c>
      <c r="O145" t="str">
        <f ca="1">IFERROR(IF(0=LEN(ReferenceData!$O$145),"",ReferenceData!$O$145),"")</f>
        <v/>
      </c>
      <c r="P145" t="str">
        <f ca="1">IFERROR(IF(0=LEN(ReferenceData!$P$145),"",ReferenceData!$P$145),"")</f>
        <v/>
      </c>
      <c r="Q145" t="str">
        <f ca="1">IFERROR(IF(0=LEN(ReferenceData!$Q$145),"",ReferenceData!$Q$145),"")</f>
        <v/>
      </c>
      <c r="R145" t="str">
        <f ca="1">IFERROR(IF(0=LEN(ReferenceData!$R$145),"",ReferenceData!$R$145),"")</f>
        <v/>
      </c>
      <c r="S145" t="str">
        <f ca="1">IFERROR(IF(0=LEN(ReferenceData!$S$145),"",ReferenceData!$S$145),"")</f>
        <v/>
      </c>
      <c r="T145" t="str">
        <f ca="1">IFERROR(IF(0=LEN(ReferenceData!$T$145),"",ReferenceData!$T$145),"")</f>
        <v/>
      </c>
      <c r="U145" t="str">
        <f ca="1">IFERROR(IF(0=LEN(ReferenceData!$U$145),"",ReferenceData!$U$145),"")</f>
        <v/>
      </c>
      <c r="V145" t="str">
        <f ca="1">IFERROR(IF(0=LEN(ReferenceData!$V$145),"",ReferenceData!$V$145),"")</f>
        <v/>
      </c>
      <c r="W145" t="str">
        <f ca="1">IFERROR(IF(0=LEN(ReferenceData!$W$145),"",ReferenceData!$W$145),"")</f>
        <v/>
      </c>
      <c r="X145" t="str">
        <f ca="1">IFERROR(IF(0=LEN(ReferenceData!$X$145),"",ReferenceData!$X$145),"")</f>
        <v/>
      </c>
      <c r="Y145" t="str">
        <f ca="1">IFERROR(IF(0=LEN(ReferenceData!$Y$145),"",ReferenceData!$Y$145),"")</f>
        <v/>
      </c>
      <c r="Z145" t="str">
        <f ca="1">IFERROR(IF(0=LEN(ReferenceData!$Z$145),"",ReferenceData!$Z$145),"")</f>
        <v/>
      </c>
      <c r="AA145" t="str">
        <f ca="1">IFERROR(IF(0=LEN(ReferenceData!$AA$145),"",ReferenceData!$AA$145),"")</f>
        <v/>
      </c>
      <c r="AB145" t="str">
        <f ca="1">IFERROR(IF(0=LEN(ReferenceData!$AB$145),"",ReferenceData!$AB$145),"")</f>
        <v/>
      </c>
      <c r="AC145" t="str">
        <f ca="1">IFERROR(IF(0=LEN(ReferenceData!$AC$145),"",ReferenceData!$AC$145),"")</f>
        <v/>
      </c>
      <c r="AD145" t="str">
        <f ca="1">IFERROR(IF(0=LEN(ReferenceData!$AD$145),"",ReferenceData!$AD$145),"")</f>
        <v/>
      </c>
      <c r="AE145" t="str">
        <f ca="1">IFERROR(IF(0=LEN(ReferenceData!$AE$145),"",ReferenceData!$AE$145),"")</f>
        <v/>
      </c>
      <c r="AF145" t="str">
        <f ca="1">IFERROR(IF(0=LEN(ReferenceData!$AF$145),"",ReferenceData!$AF$145),"")</f>
        <v/>
      </c>
      <c r="AG145" t="str">
        <f ca="1">IFERROR(IF(0=LEN(ReferenceData!$AG$145),"",ReferenceData!$AG$145),"")</f>
        <v/>
      </c>
      <c r="AH145" t="str">
        <f ca="1">IFERROR(IF(0=LEN(ReferenceData!$AH$145),"",ReferenceData!$AH$145),"")</f>
        <v/>
      </c>
      <c r="AI145" t="str">
        <f ca="1">IFERROR(IF(0=LEN(ReferenceData!$AI$145),"",ReferenceData!$AI$145),"")</f>
        <v/>
      </c>
      <c r="AJ145" t="str">
        <f ca="1">IFERROR(IF(0=LEN(ReferenceData!$AJ$145),"",ReferenceData!$AJ$145),"")</f>
        <v/>
      </c>
      <c r="AK145" t="str">
        <f ca="1">IFERROR(IF(0=LEN(ReferenceData!$AK$145),"",ReferenceData!$AK$145),"")</f>
        <v/>
      </c>
      <c r="AL145" t="str">
        <f ca="1">IFERROR(IF(0=LEN(ReferenceData!$AL$145),"",ReferenceData!$AL$145),"")</f>
        <v/>
      </c>
      <c r="AM145" t="str">
        <f ca="1">IFERROR(IF(0=LEN(ReferenceData!$AM$145),"",ReferenceData!$AM$145),"")</f>
        <v/>
      </c>
      <c r="AN145" t="str">
        <f ca="1">IFERROR(IF(0=LEN(ReferenceData!$AN$145),"",ReferenceData!$AN$145),"")</f>
        <v/>
      </c>
      <c r="AO145" t="str">
        <f ca="1">IFERROR(IF(0=LEN(ReferenceData!$AO$145),"",ReferenceData!$AO$145),"")</f>
        <v/>
      </c>
      <c r="AP145" t="str">
        <f ca="1">IFERROR(IF(0=LEN(ReferenceData!$AP$145),"",ReferenceData!$AP$145),"")</f>
        <v/>
      </c>
      <c r="AQ145" t="str">
        <f ca="1">IFERROR(IF(0=LEN(ReferenceData!$AQ$145),"",ReferenceData!$AQ$145),"")</f>
        <v/>
      </c>
      <c r="AR145" t="str">
        <f ca="1">IFERROR(IF(0=LEN(ReferenceData!$AR$145),"",ReferenceData!$AR$145),"")</f>
        <v/>
      </c>
      <c r="AS145" t="str">
        <f ca="1">IFERROR(IF(0=LEN(ReferenceData!$AS$145),"",ReferenceData!$AS$145),"")</f>
        <v/>
      </c>
      <c r="AT145" t="str">
        <f ca="1">IFERROR(IF(0=LEN(ReferenceData!$AT$145),"",ReferenceData!$AT$145),"")</f>
        <v/>
      </c>
      <c r="AU145" t="str">
        <f ca="1">IFERROR(IF(0=LEN(ReferenceData!$AU$145),"",ReferenceData!$AU$145),"")</f>
        <v/>
      </c>
      <c r="AV145" t="str">
        <f ca="1">IFERROR(IF(0=LEN(ReferenceData!$AV$145),"",ReferenceData!$AV$145),"")</f>
        <v/>
      </c>
      <c r="AW145" t="str">
        <f ca="1">IFERROR(IF(0=LEN(ReferenceData!$AW$145),"",ReferenceData!$AW$145),"")</f>
        <v/>
      </c>
      <c r="AX145">
        <f ca="1">IFERROR(IF(0=LEN(ReferenceData!$AX$145),"",ReferenceData!$AX$145),"")</f>
        <v>234970.73120000001</v>
      </c>
      <c r="AY145">
        <f ca="1">IFERROR(IF(0=LEN(ReferenceData!$AY$145),"",ReferenceData!$AY$145),"")</f>
        <v>244159.86139999999</v>
      </c>
      <c r="AZ145" t="str">
        <f ca="1">IFERROR(IF(0=LEN(ReferenceData!$AZ$145),"",ReferenceData!$AZ$145),"")</f>
        <v/>
      </c>
      <c r="BA145" t="str">
        <f ca="1">IFERROR(IF(0=LEN(ReferenceData!$BA$145),"",ReferenceData!$BA$145),"")</f>
        <v/>
      </c>
      <c r="BB145" t="str">
        <f ca="1">IFERROR(IF(0=LEN(ReferenceData!$BB$145),"",ReferenceData!$BB$145),"")</f>
        <v/>
      </c>
      <c r="BC145" t="str">
        <f ca="1">IFERROR(IF(0=LEN(ReferenceData!$BC$145),"",ReferenceData!$BC$145),"")</f>
        <v/>
      </c>
      <c r="BD145" t="str">
        <f ca="1">IFERROR(IF(0=LEN(ReferenceData!$BD$145),"",ReferenceData!$BD$145),"")</f>
        <v/>
      </c>
      <c r="BE145">
        <f ca="1">IFERROR(IF(0=LEN(ReferenceData!$BE$145),"",ReferenceData!$BE$145),"")</f>
        <v>311835.29499999998</v>
      </c>
      <c r="BF145">
        <f ca="1">IFERROR(IF(0=LEN(ReferenceData!$BF$145),"",ReferenceData!$BF$145),"")</f>
        <v>326222.72019999998</v>
      </c>
      <c r="BG145">
        <f ca="1">IFERROR(IF(0=LEN(ReferenceData!$BG$145),"",ReferenceData!$BG$145),"")</f>
        <v>344002.35560000001</v>
      </c>
      <c r="BH145">
        <f ca="1">IFERROR(IF(0=LEN(ReferenceData!$BH$145),"",ReferenceData!$BH$145),"")</f>
        <v>331739.81140000001</v>
      </c>
      <c r="BI145">
        <f ca="1">IFERROR(IF(0=LEN(ReferenceData!$BI$145),"",ReferenceData!$BI$145),"")</f>
        <v>344854.11810000002</v>
      </c>
      <c r="BJ145">
        <f ca="1">IFERROR(IF(0=LEN(ReferenceData!$BJ$145),"",ReferenceData!$BJ$145),"")</f>
        <v>381748.53950000001</v>
      </c>
      <c r="BK145">
        <f ca="1">IFERROR(IF(0=LEN(ReferenceData!$BK$145),"",ReferenceData!$BK$145),"")</f>
        <v>403450.91450000001</v>
      </c>
      <c r="BL145" t="str">
        <f ca="1">IFERROR(IF(0=LEN(ReferenceData!$BL$145),"",ReferenceData!$BL$145),"")</f>
        <v/>
      </c>
      <c r="BM145" t="str">
        <f ca="1">IFERROR(IF(0=LEN(ReferenceData!$BM$145),"",ReferenceData!$BM$145),"")</f>
        <v/>
      </c>
    </row>
    <row r="146" spans="1:65" x14ac:dyDescent="0.25">
      <c r="A146" t="str">
        <f>IFERROR(IF(0=LEN(ReferenceData!$A$146),"",ReferenceData!$A$146),"")</f>
        <v xml:space="preserve">    Nordea Bank Abp</v>
      </c>
      <c r="B146" t="str">
        <f>IFERROR(IF(0=LEN(ReferenceData!$B$146),"",ReferenceData!$B$146),"")</f>
        <v>NDA FH Equity</v>
      </c>
      <c r="C146" t="str">
        <f>IFERROR(IF(0=LEN(ReferenceData!$C$146),"",ReferenceData!$C$146),"")</f>
        <v>BS016</v>
      </c>
      <c r="D146" t="str">
        <f>IFERROR(IF(0=LEN(ReferenceData!$D$146),"",ReferenceData!$D$146),"")</f>
        <v>BS_COMM_LOAN</v>
      </c>
      <c r="E146" t="str">
        <f>IFERROR(IF(0=LEN(ReferenceData!$E$146),"",ReferenceData!$E$146),"")</f>
        <v>Dynamic</v>
      </c>
      <c r="F146">
        <f ca="1">IFERROR(IF(0=LEN(ReferenceData!$F$146),"",ReferenceData!$F$146),"")</f>
        <v>122441</v>
      </c>
      <c r="G146">
        <f ca="1">IFERROR(IF(0=LEN(ReferenceData!$G$146),"",ReferenceData!$G$146),"")</f>
        <v>122714</v>
      </c>
      <c r="H146">
        <f ca="1">IFERROR(IF(0=LEN(ReferenceData!$H$146),"",ReferenceData!$H$146),"")</f>
        <v>123126</v>
      </c>
      <c r="I146">
        <f ca="1">IFERROR(IF(0=LEN(ReferenceData!$I$146),"",ReferenceData!$I$146),"")</f>
        <v>123818</v>
      </c>
      <c r="J146">
        <f ca="1">IFERROR(IF(0=LEN(ReferenceData!$J$146),"",ReferenceData!$J$146),"")</f>
        <v>123401</v>
      </c>
      <c r="K146">
        <f ca="1">IFERROR(IF(0=LEN(ReferenceData!$K$146),"",ReferenceData!$K$146),"")</f>
        <v>124235</v>
      </c>
      <c r="L146">
        <f ca="1">IFERROR(IF(0=LEN(ReferenceData!$L$146),"",ReferenceData!$L$146),"")</f>
        <v>122180</v>
      </c>
      <c r="M146">
        <f ca="1">IFERROR(IF(0=LEN(ReferenceData!$M$146),"",ReferenceData!$M$146),"")</f>
        <v>121559</v>
      </c>
      <c r="N146">
        <f ca="1">IFERROR(IF(0=LEN(ReferenceData!$N$146),"",ReferenceData!$N$146),"")</f>
        <v>124258</v>
      </c>
      <c r="O146">
        <f ca="1">IFERROR(IF(0=LEN(ReferenceData!$O$146),"",ReferenceData!$O$146),"")</f>
        <v>126480</v>
      </c>
      <c r="P146">
        <f ca="1">IFERROR(IF(0=LEN(ReferenceData!$P$146),"",ReferenceData!$P$146),"")</f>
        <v>124194</v>
      </c>
      <c r="Q146" t="str">
        <f ca="1">IFERROR(IF(0=LEN(ReferenceData!$Q$146),"",ReferenceData!$Q$146),"")</f>
        <v/>
      </c>
      <c r="R146">
        <f ca="1">IFERROR(IF(0=LEN(ReferenceData!$R$146),"",ReferenceData!$R$146),"")</f>
        <v>118512</v>
      </c>
      <c r="S146">
        <f ca="1">IFERROR(IF(0=LEN(ReferenceData!$S$146),"",ReferenceData!$S$146),"")</f>
        <v>114060</v>
      </c>
      <c r="T146">
        <f ca="1">IFERROR(IF(0=LEN(ReferenceData!$T$146),"",ReferenceData!$T$146),"")</f>
        <v>136000</v>
      </c>
      <c r="U146">
        <f ca="1">IFERROR(IF(0=LEN(ReferenceData!$U$146),"",ReferenceData!$U$146),"")</f>
        <v>113992</v>
      </c>
      <c r="V146">
        <f ca="1">IFERROR(IF(0=LEN(ReferenceData!$V$146),"",ReferenceData!$V$146),"")</f>
        <v>136528</v>
      </c>
      <c r="W146">
        <f ca="1">IFERROR(IF(0=LEN(ReferenceData!$W$146),"",ReferenceData!$W$146),"")</f>
        <v>107548</v>
      </c>
      <c r="X146">
        <f ca="1">IFERROR(IF(0=LEN(ReferenceData!$X$146),"",ReferenceData!$X$146),"")</f>
        <v>134000</v>
      </c>
      <c r="Y146">
        <f ca="1">IFERROR(IF(0=LEN(ReferenceData!$Y$146),"",ReferenceData!$Y$146),"")</f>
        <v>131000</v>
      </c>
      <c r="Z146">
        <f ca="1">IFERROR(IF(0=LEN(ReferenceData!$Z$146),"",ReferenceData!$Z$146),"")</f>
        <v>132625</v>
      </c>
      <c r="AA146">
        <f ca="1">IFERROR(IF(0=LEN(ReferenceData!$AA$146),"",ReferenceData!$AA$146),"")</f>
        <v>131000</v>
      </c>
      <c r="AB146">
        <f ca="1">IFERROR(IF(0=LEN(ReferenceData!$AB$146),"",ReferenceData!$AB$146),"")</f>
        <v>132000</v>
      </c>
      <c r="AC146">
        <f ca="1">IFERROR(IF(0=LEN(ReferenceData!$AC$146),"",ReferenceData!$AC$146),"")</f>
        <v>133000</v>
      </c>
      <c r="AD146">
        <f ca="1">IFERROR(IF(0=LEN(ReferenceData!$AD$146),"",ReferenceData!$AD$146),"")</f>
        <v>130717</v>
      </c>
      <c r="AE146">
        <f ca="1">IFERROR(IF(0=LEN(ReferenceData!$AE$146),"",ReferenceData!$AE$146),"")</f>
        <v>127000</v>
      </c>
      <c r="AF146">
        <f ca="1">IFERROR(IF(0=LEN(ReferenceData!$AF$146),"",ReferenceData!$AF$146),"")</f>
        <v>131000</v>
      </c>
      <c r="AG146">
        <f ca="1">IFERROR(IF(0=LEN(ReferenceData!$AG$146),"",ReferenceData!$AG$146),"")</f>
        <v>129000</v>
      </c>
      <c r="AH146">
        <f ca="1">IFERROR(IF(0=LEN(ReferenceData!$AH$146),"",ReferenceData!$AH$146),"")</f>
        <v>130716</v>
      </c>
      <c r="AI146">
        <f ca="1">IFERROR(IF(0=LEN(ReferenceData!$AI$146),"",ReferenceData!$AI$146),"")</f>
        <v>132000</v>
      </c>
      <c r="AJ146">
        <f ca="1">IFERROR(IF(0=LEN(ReferenceData!$AJ$146),"",ReferenceData!$AJ$146),"")</f>
        <v>130000</v>
      </c>
      <c r="AK146">
        <f ca="1">IFERROR(IF(0=LEN(ReferenceData!$AK$146),"",ReferenceData!$AK$146),"")</f>
        <v>135000</v>
      </c>
      <c r="AL146">
        <f ca="1">IFERROR(IF(0=LEN(ReferenceData!$AL$146),"",ReferenceData!$AL$146),"")</f>
        <v>133788</v>
      </c>
      <c r="AM146">
        <f ca="1">IFERROR(IF(0=LEN(ReferenceData!$AM$146),"",ReferenceData!$AM$146),"")</f>
        <v>136000</v>
      </c>
      <c r="AN146">
        <f ca="1">IFERROR(IF(0=LEN(ReferenceData!$AN$146),"",ReferenceData!$AN$146),"")</f>
        <v>143000</v>
      </c>
      <c r="AO146">
        <f ca="1">IFERROR(IF(0=LEN(ReferenceData!$AO$146),"",ReferenceData!$AO$146),"")</f>
        <v>144000</v>
      </c>
      <c r="AP146">
        <f ca="1">IFERROR(IF(0=LEN(ReferenceData!$AP$146),"",ReferenceData!$AP$146),"")</f>
        <v>145268</v>
      </c>
      <c r="AQ146">
        <f ca="1">IFERROR(IF(0=LEN(ReferenceData!$AQ$146),"",ReferenceData!$AQ$146),"")</f>
        <v>146000</v>
      </c>
      <c r="AR146">
        <f ca="1">IFERROR(IF(0=LEN(ReferenceData!$AR$146),"",ReferenceData!$AR$146),"")</f>
        <v>147000</v>
      </c>
      <c r="AS146">
        <f ca="1">IFERROR(IF(0=LEN(ReferenceData!$AS$146),"",ReferenceData!$AS$146),"")</f>
        <v>150000</v>
      </c>
      <c r="AT146" t="str">
        <f ca="1">IFERROR(IF(0=LEN(ReferenceData!$AT$146),"",ReferenceData!$AT$146),"")</f>
        <v/>
      </c>
      <c r="AU146" t="str">
        <f ca="1">IFERROR(IF(0=LEN(ReferenceData!$AU$146),"",ReferenceData!$AU$146),"")</f>
        <v/>
      </c>
      <c r="AV146" t="str">
        <f ca="1">IFERROR(IF(0=LEN(ReferenceData!$AV$146),"",ReferenceData!$AV$146),"")</f>
        <v/>
      </c>
      <c r="AW146" t="str">
        <f ca="1">IFERROR(IF(0=LEN(ReferenceData!$AW$146),"",ReferenceData!$AW$146),"")</f>
        <v/>
      </c>
      <c r="AX146" t="str">
        <f ca="1">IFERROR(IF(0=LEN(ReferenceData!$AX$146),"",ReferenceData!$AX$146),"")</f>
        <v/>
      </c>
      <c r="AY146" t="str">
        <f ca="1">IFERROR(IF(0=LEN(ReferenceData!$AY$146),"",ReferenceData!$AY$146),"")</f>
        <v/>
      </c>
      <c r="AZ146" t="str">
        <f ca="1">IFERROR(IF(0=LEN(ReferenceData!$AZ$146),"",ReferenceData!$AZ$146),"")</f>
        <v/>
      </c>
      <c r="BA146" t="str">
        <f ca="1">IFERROR(IF(0=LEN(ReferenceData!$BA$146),"",ReferenceData!$BA$146),"")</f>
        <v/>
      </c>
      <c r="BB146" t="str">
        <f ca="1">IFERROR(IF(0=LEN(ReferenceData!$BB$146),"",ReferenceData!$BB$146),"")</f>
        <v/>
      </c>
      <c r="BC146" t="str">
        <f ca="1">IFERROR(IF(0=LEN(ReferenceData!$BC$146),"",ReferenceData!$BC$146),"")</f>
        <v/>
      </c>
      <c r="BD146" t="str">
        <f ca="1">IFERROR(IF(0=LEN(ReferenceData!$BD$146),"",ReferenceData!$BD$146),"")</f>
        <v/>
      </c>
      <c r="BE146" t="str">
        <f ca="1">IFERROR(IF(0=LEN(ReferenceData!$BE$146),"",ReferenceData!$BE$146),"")</f>
        <v/>
      </c>
      <c r="BF146" t="str">
        <f ca="1">IFERROR(IF(0=LEN(ReferenceData!$BF$146),"",ReferenceData!$BF$146),"")</f>
        <v/>
      </c>
      <c r="BG146" t="str">
        <f ca="1">IFERROR(IF(0=LEN(ReferenceData!$BG$146),"",ReferenceData!$BG$146),"")</f>
        <v/>
      </c>
      <c r="BH146" t="str">
        <f ca="1">IFERROR(IF(0=LEN(ReferenceData!$BH$146),"",ReferenceData!$BH$146),"")</f>
        <v/>
      </c>
      <c r="BI146" t="str">
        <f ca="1">IFERROR(IF(0=LEN(ReferenceData!$BI$146),"",ReferenceData!$BI$146),"")</f>
        <v/>
      </c>
      <c r="BJ146" t="str">
        <f ca="1">IFERROR(IF(0=LEN(ReferenceData!$BJ$146),"",ReferenceData!$BJ$146),"")</f>
        <v/>
      </c>
      <c r="BK146" t="str">
        <f ca="1">IFERROR(IF(0=LEN(ReferenceData!$BK$146),"",ReferenceData!$BK$146),"")</f>
        <v/>
      </c>
      <c r="BL146" t="str">
        <f ca="1">IFERROR(IF(0=LEN(ReferenceData!$BL$146),"",ReferenceData!$BL$146),"")</f>
        <v/>
      </c>
      <c r="BM146" t="str">
        <f ca="1">IFERROR(IF(0=LEN(ReferenceData!$BM$146),"",ReferenceData!$BM$146),"")</f>
        <v/>
      </c>
    </row>
    <row r="147" spans="1:65" x14ac:dyDescent="0.25">
      <c r="A147" t="str">
        <f>IFERROR(IF(0=LEN(ReferenceData!$A$147),"",ReferenceData!$A$147),"")</f>
        <v xml:space="preserve">    Raiffeisen Bank International AG</v>
      </c>
      <c r="B147" t="str">
        <f>IFERROR(IF(0=LEN(ReferenceData!$B$147),"",ReferenceData!$B$147),"")</f>
        <v>RBI AV Equity</v>
      </c>
      <c r="C147" t="str">
        <f>IFERROR(IF(0=LEN(ReferenceData!$C$147),"",ReferenceData!$C$147),"")</f>
        <v>BS016</v>
      </c>
      <c r="D147" t="str">
        <f>IFERROR(IF(0=LEN(ReferenceData!$D$147),"",ReferenceData!$D$147),"")</f>
        <v>BS_COMM_LOAN</v>
      </c>
      <c r="E147" t="str">
        <f>IFERROR(IF(0=LEN(ReferenceData!$E$147),"",ReferenceData!$E$147),"")</f>
        <v>Dynamic</v>
      </c>
      <c r="F147">
        <f ca="1">IFERROR(IF(0=LEN(ReferenceData!$F$147),"",ReferenceData!$F$147),"")</f>
        <v>103835</v>
      </c>
      <c r="G147">
        <f ca="1">IFERROR(IF(0=LEN(ReferenceData!$G$147),"",ReferenceData!$G$147),"")</f>
        <v>58787</v>
      </c>
      <c r="H147">
        <f ca="1">IFERROR(IF(0=LEN(ReferenceData!$H$147),"",ReferenceData!$H$147),"")</f>
        <v>60484</v>
      </c>
      <c r="I147">
        <f ca="1">IFERROR(IF(0=LEN(ReferenceData!$I$147),"",ReferenceData!$I$147),"")</f>
        <v>60587</v>
      </c>
      <c r="J147">
        <f ca="1">IFERROR(IF(0=LEN(ReferenceData!$J$147),"",ReferenceData!$J$147),"")</f>
        <v>59368</v>
      </c>
      <c r="K147">
        <f ca="1">IFERROR(IF(0=LEN(ReferenceData!$K$147),"",ReferenceData!$K$147),"")</f>
        <v>61725</v>
      </c>
      <c r="L147">
        <f ca="1">IFERROR(IF(0=LEN(ReferenceData!$L$147),"",ReferenceData!$L$147),"")</f>
        <v>60957</v>
      </c>
      <c r="M147">
        <f ca="1">IFERROR(IF(0=LEN(ReferenceData!$M$147),"",ReferenceData!$M$147),"")</f>
        <v>64080</v>
      </c>
      <c r="N147">
        <f ca="1">IFERROR(IF(0=LEN(ReferenceData!$N$147),"",ReferenceData!$N$147),"")</f>
        <v>61976</v>
      </c>
      <c r="O147">
        <f ca="1">IFERROR(IF(0=LEN(ReferenceData!$O$147),"",ReferenceData!$O$147),"")</f>
        <v>66499</v>
      </c>
      <c r="P147">
        <f ca="1">IFERROR(IF(0=LEN(ReferenceData!$P$147),"",ReferenceData!$P$147),"")</f>
        <v>65707</v>
      </c>
      <c r="Q147">
        <f ca="1">IFERROR(IF(0=LEN(ReferenceData!$Q$147),"",ReferenceData!$Q$147),"")</f>
        <v>63388</v>
      </c>
      <c r="R147">
        <f ca="1">IFERROR(IF(0=LEN(ReferenceData!$R$147),"",ReferenceData!$R$147),"")</f>
        <v>62805</v>
      </c>
      <c r="S147">
        <f ca="1">IFERROR(IF(0=LEN(ReferenceData!$S$147),"",ReferenceData!$S$147),"")</f>
        <v>61448</v>
      </c>
      <c r="T147">
        <f ca="1">IFERROR(IF(0=LEN(ReferenceData!$T$147),"",ReferenceData!$T$147),"")</f>
        <v>57698</v>
      </c>
      <c r="U147">
        <f ca="1">IFERROR(IF(0=LEN(ReferenceData!$U$147),"",ReferenceData!$U$147),"")</f>
        <v>56807</v>
      </c>
      <c r="V147">
        <f ca="1">IFERROR(IF(0=LEN(ReferenceData!$V$147),"",ReferenceData!$V$147),"")</f>
        <v>55575.771000000001</v>
      </c>
      <c r="W147">
        <f ca="1">IFERROR(IF(0=LEN(ReferenceData!$W$147),"",ReferenceData!$W$147),"")</f>
        <v>57707</v>
      </c>
      <c r="X147">
        <f ca="1">IFERROR(IF(0=LEN(ReferenceData!$X$147),"",ReferenceData!$X$147),"")</f>
        <v>59706</v>
      </c>
      <c r="Y147">
        <f ca="1">IFERROR(IF(0=LEN(ReferenceData!$Y$147),"",ReferenceData!$Y$147),"")</f>
        <v>58313</v>
      </c>
      <c r="Z147">
        <f ca="1">IFERROR(IF(0=LEN(ReferenceData!$Z$147),"",ReferenceData!$Z$147),"")</f>
        <v>46470.17</v>
      </c>
      <c r="AA147">
        <f ca="1">IFERROR(IF(0=LEN(ReferenceData!$AA$147),"",ReferenceData!$AA$147),"")</f>
        <v>58230</v>
      </c>
      <c r="AB147">
        <f ca="1">IFERROR(IF(0=LEN(ReferenceData!$AB$147),"",ReferenceData!$AB$147),"")</f>
        <v>46466</v>
      </c>
      <c r="AC147">
        <f ca="1">IFERROR(IF(0=LEN(ReferenceData!$AC$147),"",ReferenceData!$AC$147),"")</f>
        <v>45305</v>
      </c>
      <c r="AD147">
        <f ca="1">IFERROR(IF(0=LEN(ReferenceData!$AD$147),"",ReferenceData!$AD$147),"")</f>
        <v>43321.930999999997</v>
      </c>
      <c r="AE147">
        <f ca="1">IFERROR(IF(0=LEN(ReferenceData!$AE$147),"",ReferenceData!$AE$147),"")</f>
        <v>49560</v>
      </c>
      <c r="AF147">
        <f ca="1">IFERROR(IF(0=LEN(ReferenceData!$AF$147),"",ReferenceData!$AF$147),"")</f>
        <v>40981</v>
      </c>
      <c r="AG147">
        <f ca="1">IFERROR(IF(0=LEN(ReferenceData!$AG$147),"",ReferenceData!$AG$147),"")</f>
        <v>43690</v>
      </c>
      <c r="AH147">
        <f ca="1">IFERROR(IF(0=LEN(ReferenceData!$AH$147),"",ReferenceData!$AH$147),"")</f>
        <v>42274.726999999999</v>
      </c>
      <c r="AI147">
        <f ca="1">IFERROR(IF(0=LEN(ReferenceData!$AI$147),"",ReferenceData!$AI$147),"")</f>
        <v>49571</v>
      </c>
      <c r="AJ147">
        <f ca="1">IFERROR(IF(0=LEN(ReferenceData!$AJ$147),"",ReferenceData!$AJ$147),"")</f>
        <v>49668</v>
      </c>
      <c r="AK147">
        <f ca="1">IFERROR(IF(0=LEN(ReferenceData!$AK$147),"",ReferenceData!$AK$147),"")</f>
        <v>50523</v>
      </c>
      <c r="AL147">
        <f ca="1">IFERROR(IF(0=LEN(ReferenceData!$AL$147),"",ReferenceData!$AL$147),"")</f>
        <v>46462.074000000001</v>
      </c>
      <c r="AM147">
        <f ca="1">IFERROR(IF(0=LEN(ReferenceData!$AM$147),"",ReferenceData!$AM$147),"")</f>
        <v>46308</v>
      </c>
      <c r="AN147">
        <f ca="1">IFERROR(IF(0=LEN(ReferenceData!$AN$147),"",ReferenceData!$AN$147),"")</f>
        <v>47758</v>
      </c>
      <c r="AO147">
        <f ca="1">IFERROR(IF(0=LEN(ReferenceData!$AO$147),"",ReferenceData!$AO$147),"")</f>
        <v>48045</v>
      </c>
      <c r="AP147">
        <f ca="1">IFERROR(IF(0=LEN(ReferenceData!$AP$147),"",ReferenceData!$AP$147),"")</f>
        <v>47228.535000000003</v>
      </c>
      <c r="AQ147">
        <f ca="1">IFERROR(IF(0=LEN(ReferenceData!$AQ$147),"",ReferenceData!$AQ$147),"")</f>
        <v>50166</v>
      </c>
      <c r="AR147">
        <f ca="1">IFERROR(IF(0=LEN(ReferenceData!$AR$147),"",ReferenceData!$AR$147),"")</f>
        <v>52118</v>
      </c>
      <c r="AS147">
        <f ca="1">IFERROR(IF(0=LEN(ReferenceData!$AS$147),"",ReferenceData!$AS$147),"")</f>
        <v>55894</v>
      </c>
      <c r="AT147">
        <f ca="1">IFERROR(IF(0=LEN(ReferenceData!$AT$147),"",ReferenceData!$AT$147),"")</f>
        <v>54157.303</v>
      </c>
      <c r="AU147">
        <f ca="1">IFERROR(IF(0=LEN(ReferenceData!$AU$147),"",ReferenceData!$AU$147),"")</f>
        <v>57334</v>
      </c>
      <c r="AV147">
        <f ca="1">IFERROR(IF(0=LEN(ReferenceData!$AV$147),"",ReferenceData!$AV$147),"")</f>
        <v>55484</v>
      </c>
      <c r="AW147">
        <f ca="1">IFERROR(IF(0=LEN(ReferenceData!$AW$147),"",ReferenceData!$AW$147),"")</f>
        <v>54714</v>
      </c>
      <c r="AX147">
        <f ca="1">IFERROR(IF(0=LEN(ReferenceData!$AX$147),"",ReferenceData!$AX$147),"")</f>
        <v>55231.292000000001</v>
      </c>
      <c r="AY147">
        <f ca="1">IFERROR(IF(0=LEN(ReferenceData!$AY$147),"",ReferenceData!$AY$147),"")</f>
        <v>56599</v>
      </c>
      <c r="AZ147">
        <f ca="1">IFERROR(IF(0=LEN(ReferenceData!$AZ$147),"",ReferenceData!$AZ$147),"")</f>
        <v>56477</v>
      </c>
      <c r="BA147">
        <f ca="1">IFERROR(IF(0=LEN(ReferenceData!$BA$147),"",ReferenceData!$BA$147),"")</f>
        <v>57936</v>
      </c>
      <c r="BB147">
        <f ca="1">IFERROR(IF(0=LEN(ReferenceData!$BB$147),"",ReferenceData!$BB$147),"")</f>
        <v>58467.235999999997</v>
      </c>
      <c r="BC147">
        <f ca="1">IFERROR(IF(0=LEN(ReferenceData!$BC$147),"",ReferenceData!$BC$147),"")</f>
        <v>58590</v>
      </c>
      <c r="BD147">
        <f ca="1">IFERROR(IF(0=LEN(ReferenceData!$BD$147),"",ReferenceData!$BD$147),"")</f>
        <v>60161</v>
      </c>
      <c r="BE147">
        <f ca="1">IFERROR(IF(0=LEN(ReferenceData!$BE$147),"",ReferenceData!$BE$147),"")</f>
        <v>60830</v>
      </c>
      <c r="BF147">
        <f ca="1">IFERROR(IF(0=LEN(ReferenceData!$BF$147),"",ReferenceData!$BF$147),"")</f>
        <v>61187.766000000003</v>
      </c>
      <c r="BG147">
        <f ca="1">IFERROR(IF(0=LEN(ReferenceData!$BG$147),"",ReferenceData!$BG$147),"")</f>
        <v>60907</v>
      </c>
      <c r="BH147">
        <f ca="1">IFERROR(IF(0=LEN(ReferenceData!$BH$147),"",ReferenceData!$BH$147),"")</f>
        <v>58582</v>
      </c>
      <c r="BI147">
        <f ca="1">IFERROR(IF(0=LEN(ReferenceData!$BI$147),"",ReferenceData!$BI$147),"")</f>
        <v>56804</v>
      </c>
      <c r="BJ147">
        <f ca="1">IFERROR(IF(0=LEN(ReferenceData!$BJ$147),"",ReferenceData!$BJ$147),"")</f>
        <v>55471.254999999997</v>
      </c>
      <c r="BK147">
        <f ca="1">IFERROR(IF(0=LEN(ReferenceData!$BK$147),"",ReferenceData!$BK$147),"")</f>
        <v>32520</v>
      </c>
      <c r="BL147">
        <f ca="1">IFERROR(IF(0=LEN(ReferenceData!$BL$147),"",ReferenceData!$BL$147),"")</f>
        <v>32790</v>
      </c>
      <c r="BM147" t="str">
        <f ca="1">IFERROR(IF(0=LEN(ReferenceData!$BM$147),"",ReferenceData!$BM$147),"")</f>
        <v/>
      </c>
    </row>
    <row r="148" spans="1:65" x14ac:dyDescent="0.25">
      <c r="A148" t="str">
        <f>IFERROR(IF(0=LEN(ReferenceData!$A$148),"",ReferenceData!$A$148),"")</f>
        <v xml:space="preserve">    Skandinaviska Enskilda Banken AB</v>
      </c>
      <c r="B148" t="str">
        <f>IFERROR(IF(0=LEN(ReferenceData!$B$148),"",ReferenceData!$B$148),"")</f>
        <v>SEBA SS Equity</v>
      </c>
      <c r="C148" t="str">
        <f>IFERROR(IF(0=LEN(ReferenceData!$C$148),"",ReferenceData!$C$148),"")</f>
        <v>BS016</v>
      </c>
      <c r="D148" t="str">
        <f>IFERROR(IF(0=LEN(ReferenceData!$D$148),"",ReferenceData!$D$148),"")</f>
        <v>BS_COMM_LOAN</v>
      </c>
      <c r="E148" t="str">
        <f>IFERROR(IF(0=LEN(ReferenceData!$E$148),"",ReferenceData!$E$148),"")</f>
        <v>Dynamic</v>
      </c>
      <c r="F148" t="str">
        <f ca="1">IFERROR(IF(0=LEN(ReferenceData!$F$148),"",ReferenceData!$F$148),"")</f>
        <v/>
      </c>
      <c r="G148" t="str">
        <f ca="1">IFERROR(IF(0=LEN(ReferenceData!$G$148),"",ReferenceData!$G$148),"")</f>
        <v/>
      </c>
      <c r="H148" t="str">
        <f ca="1">IFERROR(IF(0=LEN(ReferenceData!$H$148),"",ReferenceData!$H$148),"")</f>
        <v/>
      </c>
      <c r="I148" t="str">
        <f ca="1">IFERROR(IF(0=LEN(ReferenceData!$I$148),"",ReferenceData!$I$148),"")</f>
        <v/>
      </c>
      <c r="J148" t="str">
        <f ca="1">IFERROR(IF(0=LEN(ReferenceData!$J$148),"",ReferenceData!$J$148),"")</f>
        <v/>
      </c>
      <c r="K148" t="str">
        <f ca="1">IFERROR(IF(0=LEN(ReferenceData!$K$148),"",ReferenceData!$K$148),"")</f>
        <v/>
      </c>
      <c r="L148" t="str">
        <f ca="1">IFERROR(IF(0=LEN(ReferenceData!$L$148),"",ReferenceData!$L$148),"")</f>
        <v/>
      </c>
      <c r="M148" t="str">
        <f ca="1">IFERROR(IF(0=LEN(ReferenceData!$M$148),"",ReferenceData!$M$148),"")</f>
        <v/>
      </c>
      <c r="N148" t="str">
        <f ca="1">IFERROR(IF(0=LEN(ReferenceData!$N$148),"",ReferenceData!$N$148),"")</f>
        <v/>
      </c>
      <c r="O148" t="str">
        <f ca="1">IFERROR(IF(0=LEN(ReferenceData!$O$148),"",ReferenceData!$O$148),"")</f>
        <v/>
      </c>
      <c r="P148" t="str">
        <f ca="1">IFERROR(IF(0=LEN(ReferenceData!$P$148),"",ReferenceData!$P$148),"")</f>
        <v/>
      </c>
      <c r="Q148" t="str">
        <f ca="1">IFERROR(IF(0=LEN(ReferenceData!$Q$148),"",ReferenceData!$Q$148),"")</f>
        <v/>
      </c>
      <c r="R148" t="str">
        <f ca="1">IFERROR(IF(0=LEN(ReferenceData!$R$148),"",ReferenceData!$R$148),"")</f>
        <v/>
      </c>
      <c r="S148" t="str">
        <f ca="1">IFERROR(IF(0=LEN(ReferenceData!$S$148),"",ReferenceData!$S$148),"")</f>
        <v/>
      </c>
      <c r="T148" t="str">
        <f ca="1">IFERROR(IF(0=LEN(ReferenceData!$T$148),"",ReferenceData!$T$148),"")</f>
        <v/>
      </c>
      <c r="U148" t="str">
        <f ca="1">IFERROR(IF(0=LEN(ReferenceData!$U$148),"",ReferenceData!$U$148),"")</f>
        <v/>
      </c>
      <c r="V148" t="str">
        <f ca="1">IFERROR(IF(0=LEN(ReferenceData!$V$148),"",ReferenceData!$V$148),"")</f>
        <v/>
      </c>
      <c r="W148" t="str">
        <f ca="1">IFERROR(IF(0=LEN(ReferenceData!$W$148),"",ReferenceData!$W$148),"")</f>
        <v/>
      </c>
      <c r="X148" t="str">
        <f ca="1">IFERROR(IF(0=LEN(ReferenceData!$X$148),"",ReferenceData!$X$148),"")</f>
        <v/>
      </c>
      <c r="Y148" t="str">
        <f ca="1">IFERROR(IF(0=LEN(ReferenceData!$Y$148),"",ReferenceData!$Y$148),"")</f>
        <v/>
      </c>
      <c r="Z148" t="str">
        <f ca="1">IFERROR(IF(0=LEN(ReferenceData!$Z$148),"",ReferenceData!$Z$148),"")</f>
        <v/>
      </c>
      <c r="AA148" t="str">
        <f ca="1">IFERROR(IF(0=LEN(ReferenceData!$AA$148),"",ReferenceData!$AA$148),"")</f>
        <v/>
      </c>
      <c r="AB148" t="str">
        <f ca="1">IFERROR(IF(0=LEN(ReferenceData!$AB$148),"",ReferenceData!$AB$148),"")</f>
        <v/>
      </c>
      <c r="AC148" t="str">
        <f ca="1">IFERROR(IF(0=LEN(ReferenceData!$AC$148),"",ReferenceData!$AC$148),"")</f>
        <v/>
      </c>
      <c r="AD148" t="str">
        <f ca="1">IFERROR(IF(0=LEN(ReferenceData!$AD$148),"",ReferenceData!$AD$148),"")</f>
        <v/>
      </c>
      <c r="AE148" t="str">
        <f ca="1">IFERROR(IF(0=LEN(ReferenceData!$AE$148),"",ReferenceData!$AE$148),"")</f>
        <v/>
      </c>
      <c r="AF148" t="str">
        <f ca="1">IFERROR(IF(0=LEN(ReferenceData!$AF$148),"",ReferenceData!$AF$148),"")</f>
        <v/>
      </c>
      <c r="AG148" t="str">
        <f ca="1">IFERROR(IF(0=LEN(ReferenceData!$AG$148),"",ReferenceData!$AG$148),"")</f>
        <v/>
      </c>
      <c r="AH148" t="str">
        <f ca="1">IFERROR(IF(0=LEN(ReferenceData!$AH$148),"",ReferenceData!$AH$148),"")</f>
        <v/>
      </c>
      <c r="AI148" t="str">
        <f ca="1">IFERROR(IF(0=LEN(ReferenceData!$AI$148),"",ReferenceData!$AI$148),"")</f>
        <v/>
      </c>
      <c r="AJ148" t="str">
        <f ca="1">IFERROR(IF(0=LEN(ReferenceData!$AJ$148),"",ReferenceData!$AJ$148),"")</f>
        <v/>
      </c>
      <c r="AK148" t="str">
        <f ca="1">IFERROR(IF(0=LEN(ReferenceData!$AK$148),"",ReferenceData!$AK$148),"")</f>
        <v/>
      </c>
      <c r="AL148" t="str">
        <f ca="1">IFERROR(IF(0=LEN(ReferenceData!$AL$148),"",ReferenceData!$AL$148),"")</f>
        <v/>
      </c>
      <c r="AM148" t="str">
        <f ca="1">IFERROR(IF(0=LEN(ReferenceData!$AM$148),"",ReferenceData!$AM$148),"")</f>
        <v/>
      </c>
      <c r="AN148" t="str">
        <f ca="1">IFERROR(IF(0=LEN(ReferenceData!$AN$148),"",ReferenceData!$AN$148),"")</f>
        <v/>
      </c>
      <c r="AO148" t="str">
        <f ca="1">IFERROR(IF(0=LEN(ReferenceData!$AO$148),"",ReferenceData!$AO$148),"")</f>
        <v/>
      </c>
      <c r="AP148" t="str">
        <f ca="1">IFERROR(IF(0=LEN(ReferenceData!$AP$148),"",ReferenceData!$AP$148),"")</f>
        <v/>
      </c>
      <c r="AQ148" t="str">
        <f ca="1">IFERROR(IF(0=LEN(ReferenceData!$AQ$148),"",ReferenceData!$AQ$148),"")</f>
        <v/>
      </c>
      <c r="AR148" t="str">
        <f ca="1">IFERROR(IF(0=LEN(ReferenceData!$AR$148),"",ReferenceData!$AR$148),"")</f>
        <v/>
      </c>
      <c r="AS148" t="str">
        <f ca="1">IFERROR(IF(0=LEN(ReferenceData!$AS$148),"",ReferenceData!$AS$148),"")</f>
        <v/>
      </c>
      <c r="AT148" t="str">
        <f ca="1">IFERROR(IF(0=LEN(ReferenceData!$AT$148),"",ReferenceData!$AT$148),"")</f>
        <v/>
      </c>
      <c r="AU148" t="str">
        <f ca="1">IFERROR(IF(0=LEN(ReferenceData!$AU$148),"",ReferenceData!$AU$148),"")</f>
        <v/>
      </c>
      <c r="AV148" t="str">
        <f ca="1">IFERROR(IF(0=LEN(ReferenceData!$AV$148),"",ReferenceData!$AV$148),"")</f>
        <v/>
      </c>
      <c r="AW148" t="str">
        <f ca="1">IFERROR(IF(0=LEN(ReferenceData!$AW$148),"",ReferenceData!$AW$148),"")</f>
        <v/>
      </c>
      <c r="AX148" t="str">
        <f ca="1">IFERROR(IF(0=LEN(ReferenceData!$AX$148),"",ReferenceData!$AX$148),"")</f>
        <v/>
      </c>
      <c r="AY148" t="str">
        <f ca="1">IFERROR(IF(0=LEN(ReferenceData!$AY$148),"",ReferenceData!$AY$148),"")</f>
        <v/>
      </c>
      <c r="AZ148" t="str">
        <f ca="1">IFERROR(IF(0=LEN(ReferenceData!$AZ$148),"",ReferenceData!$AZ$148),"")</f>
        <v/>
      </c>
      <c r="BA148" t="str">
        <f ca="1">IFERROR(IF(0=LEN(ReferenceData!$BA$148),"",ReferenceData!$BA$148),"")</f>
        <v/>
      </c>
      <c r="BB148" t="str">
        <f ca="1">IFERROR(IF(0=LEN(ReferenceData!$BB$148),"",ReferenceData!$BB$148),"")</f>
        <v/>
      </c>
      <c r="BC148" t="str">
        <f ca="1">IFERROR(IF(0=LEN(ReferenceData!$BC$148),"",ReferenceData!$BC$148),"")</f>
        <v/>
      </c>
      <c r="BD148" t="str">
        <f ca="1">IFERROR(IF(0=LEN(ReferenceData!$BD$148),"",ReferenceData!$BD$148),"")</f>
        <v/>
      </c>
      <c r="BE148" t="str">
        <f ca="1">IFERROR(IF(0=LEN(ReferenceData!$BE$148),"",ReferenceData!$BE$148),"")</f>
        <v/>
      </c>
      <c r="BF148" t="str">
        <f ca="1">IFERROR(IF(0=LEN(ReferenceData!$BF$148),"",ReferenceData!$BF$148),"")</f>
        <v/>
      </c>
      <c r="BG148" t="str">
        <f ca="1">IFERROR(IF(0=LEN(ReferenceData!$BG$148),"",ReferenceData!$BG$148),"")</f>
        <v/>
      </c>
      <c r="BH148" t="str">
        <f ca="1">IFERROR(IF(0=LEN(ReferenceData!$BH$148),"",ReferenceData!$BH$148),"")</f>
        <v/>
      </c>
      <c r="BI148" t="str">
        <f ca="1">IFERROR(IF(0=LEN(ReferenceData!$BI$148),"",ReferenceData!$BI$148),"")</f>
        <v/>
      </c>
      <c r="BJ148" t="str">
        <f ca="1">IFERROR(IF(0=LEN(ReferenceData!$BJ$148),"",ReferenceData!$BJ$148),"")</f>
        <v/>
      </c>
      <c r="BK148" t="str">
        <f ca="1">IFERROR(IF(0=LEN(ReferenceData!$BK$148),"",ReferenceData!$BK$148),"")</f>
        <v/>
      </c>
      <c r="BL148" t="str">
        <f ca="1">IFERROR(IF(0=LEN(ReferenceData!$BL$148),"",ReferenceData!$BL$148),"")</f>
        <v/>
      </c>
      <c r="BM148" t="str">
        <f ca="1">IFERROR(IF(0=LEN(ReferenceData!$BM$148),"",ReferenceData!$BM$148),"")</f>
        <v/>
      </c>
    </row>
    <row r="149" spans="1:65" x14ac:dyDescent="0.25">
      <c r="A149" t="str">
        <f>IFERROR(IF(0=LEN(ReferenceData!$A$149),"",ReferenceData!$A$149),"")</f>
        <v xml:space="preserve">    Svenska Handelsbanken AB</v>
      </c>
      <c r="B149" t="str">
        <f>IFERROR(IF(0=LEN(ReferenceData!$B$149),"",ReferenceData!$B$149),"")</f>
        <v>SHBA SS Equity</v>
      </c>
      <c r="C149" t="str">
        <f>IFERROR(IF(0=LEN(ReferenceData!$C$149),"",ReferenceData!$C$149),"")</f>
        <v>BS016</v>
      </c>
      <c r="D149" t="str">
        <f>IFERROR(IF(0=LEN(ReferenceData!$D$149),"",ReferenceData!$D$149),"")</f>
        <v>BS_COMM_LOAN</v>
      </c>
      <c r="E149" t="str">
        <f>IFERROR(IF(0=LEN(ReferenceData!$E$149),"",ReferenceData!$E$149),"")</f>
        <v>Dynamic</v>
      </c>
      <c r="F149">
        <f ca="1">IFERROR(IF(0=LEN(ReferenceData!$F$149),"",ReferenceData!$F$149),"")</f>
        <v>95085.186600000001</v>
      </c>
      <c r="G149">
        <f ca="1">IFERROR(IF(0=LEN(ReferenceData!$G$149),"",ReferenceData!$G$149),"")</f>
        <v>96499.748739999995</v>
      </c>
      <c r="H149">
        <f ca="1">IFERROR(IF(0=LEN(ReferenceData!$H$149),"",ReferenceData!$H$149),"")</f>
        <v>96406.709499999997</v>
      </c>
      <c r="I149">
        <f ca="1">IFERROR(IF(0=LEN(ReferenceData!$I$149),"",ReferenceData!$I$149),"")</f>
        <v>94825.466249999998</v>
      </c>
      <c r="J149">
        <f ca="1">IFERROR(IF(0=LEN(ReferenceData!$J$149),"",ReferenceData!$J$149),"")</f>
        <v>99260.552330000006</v>
      </c>
      <c r="K149">
        <f ca="1">IFERROR(IF(0=LEN(ReferenceData!$K$149),"",ReferenceData!$K$149),"")</f>
        <v>94954.46286</v>
      </c>
      <c r="L149">
        <f ca="1">IFERROR(IF(0=LEN(ReferenceData!$L$149),"",ReferenceData!$L$149),"")</f>
        <v>95392.425669999997</v>
      </c>
      <c r="M149">
        <f ca="1">IFERROR(IF(0=LEN(ReferenceData!$M$149),"",ReferenceData!$M$149),"")</f>
        <v>97709.89877</v>
      </c>
      <c r="N149">
        <f ca="1">IFERROR(IF(0=LEN(ReferenceData!$N$149),"",ReferenceData!$N$149),"")</f>
        <v>98410.192379999993</v>
      </c>
      <c r="O149">
        <f ca="1">IFERROR(IF(0=LEN(ReferenceData!$O$149),"",ReferenceData!$O$149),"")</f>
        <v>95451.690749999994</v>
      </c>
      <c r="P149">
        <f ca="1">IFERROR(IF(0=LEN(ReferenceData!$P$149),"",ReferenceData!$P$149),"")</f>
        <v>95015.664059999996</v>
      </c>
      <c r="Q149">
        <f ca="1">IFERROR(IF(0=LEN(ReferenceData!$Q$149),"",ReferenceData!$Q$149),"")</f>
        <v>95424.630290000001</v>
      </c>
      <c r="R149">
        <f ca="1">IFERROR(IF(0=LEN(ReferenceData!$R$149),"",ReferenceData!$R$149),"")</f>
        <v>93280.018330000006</v>
      </c>
      <c r="S149">
        <f ca="1">IFERROR(IF(0=LEN(ReferenceData!$S$149),"",ReferenceData!$S$149),"")</f>
        <v>106118.20419999999</v>
      </c>
      <c r="T149">
        <f ca="1">IFERROR(IF(0=LEN(ReferenceData!$T$149),"",ReferenceData!$T$149),"")</f>
        <v>105272.83560000001</v>
      </c>
      <c r="U149">
        <f ca="1">IFERROR(IF(0=LEN(ReferenceData!$U$149),"",ReferenceData!$U$149),"")</f>
        <v>104457.5849</v>
      </c>
      <c r="V149">
        <f ca="1">IFERROR(IF(0=LEN(ReferenceData!$V$149),"",ReferenceData!$V$149),"")</f>
        <v>103552.69409999999</v>
      </c>
      <c r="W149">
        <f ca="1">IFERROR(IF(0=LEN(ReferenceData!$W$149),"",ReferenceData!$W$149),"")</f>
        <v>100868.01639999999</v>
      </c>
      <c r="X149">
        <f ca="1">IFERROR(IF(0=LEN(ReferenceData!$X$149),"",ReferenceData!$X$149),"")</f>
        <v>101661.3891</v>
      </c>
      <c r="Y149">
        <f ca="1">IFERROR(IF(0=LEN(ReferenceData!$Y$149),"",ReferenceData!$Y$149),"")</f>
        <v>99064.263219999993</v>
      </c>
      <c r="Z149">
        <f ca="1">IFERROR(IF(0=LEN(ReferenceData!$Z$149),"",ReferenceData!$Z$149),"")</f>
        <v>101577.4752</v>
      </c>
      <c r="AA149">
        <f ca="1">IFERROR(IF(0=LEN(ReferenceData!$AA$149),"",ReferenceData!$AA$149),"")</f>
        <v>100178.19349999999</v>
      </c>
      <c r="AB149">
        <f ca="1">IFERROR(IF(0=LEN(ReferenceData!$AB$149),"",ReferenceData!$AB$149),"")</f>
        <v>99653.546889999998</v>
      </c>
      <c r="AC149">
        <f ca="1">IFERROR(IF(0=LEN(ReferenceData!$AC$149),"",ReferenceData!$AC$149),"")</f>
        <v>99919.788639999999</v>
      </c>
      <c r="AD149">
        <f ca="1">IFERROR(IF(0=LEN(ReferenceData!$AD$149),"",ReferenceData!$AD$149),"")</f>
        <v>97873.388990000007</v>
      </c>
      <c r="AE149">
        <f ca="1">IFERROR(IF(0=LEN(ReferenceData!$AE$149),"",ReferenceData!$AE$149),"")</f>
        <v>96970.01973</v>
      </c>
      <c r="AF149">
        <f ca="1">IFERROR(IF(0=LEN(ReferenceData!$AF$149),"",ReferenceData!$AF$149),"")</f>
        <v>96975.358470000006</v>
      </c>
      <c r="AG149">
        <f ca="1">IFERROR(IF(0=LEN(ReferenceData!$AG$149),"",ReferenceData!$AG$149),"")</f>
        <v>95543.208079999997</v>
      </c>
      <c r="AH149">
        <f ca="1">IFERROR(IF(0=LEN(ReferenceData!$AH$149),"",ReferenceData!$AH$149),"")</f>
        <v>95638.231469999999</v>
      </c>
      <c r="AI149">
        <f ca="1">IFERROR(IF(0=LEN(ReferenceData!$AI$149),"",ReferenceData!$AI$149),"")</f>
        <v>96014.040779999996</v>
      </c>
      <c r="AJ149">
        <f ca="1">IFERROR(IF(0=LEN(ReferenceData!$AJ$149),"",ReferenceData!$AJ$149),"")</f>
        <v>94415.099090000003</v>
      </c>
      <c r="AK149">
        <f ca="1">IFERROR(IF(0=LEN(ReferenceData!$AK$149),"",ReferenceData!$AK$149),"")</f>
        <v>94776.196540000004</v>
      </c>
      <c r="AL149">
        <f ca="1">IFERROR(IF(0=LEN(ReferenceData!$AL$149),"",ReferenceData!$AL$149),"")</f>
        <v>93249.671090000003</v>
      </c>
      <c r="AM149">
        <f ca="1">IFERROR(IF(0=LEN(ReferenceData!$AM$149),"",ReferenceData!$AM$149),"")</f>
        <v>94459.506049999996</v>
      </c>
      <c r="AN149">
        <f ca="1">IFERROR(IF(0=LEN(ReferenceData!$AN$149),"",ReferenceData!$AN$149),"")</f>
        <v>95673.139349999998</v>
      </c>
      <c r="AO149">
        <f ca="1">IFERROR(IF(0=LEN(ReferenceData!$AO$149),"",ReferenceData!$AO$149),"")</f>
        <v>95405.869699999996</v>
      </c>
      <c r="AP149">
        <f ca="1">IFERROR(IF(0=LEN(ReferenceData!$AP$149),"",ReferenceData!$AP$149),"")</f>
        <v>93715.820510000005</v>
      </c>
      <c r="AQ149" t="str">
        <f ca="1">IFERROR(IF(0=LEN(ReferenceData!$AQ$149),"",ReferenceData!$AQ$149),"")</f>
        <v/>
      </c>
      <c r="AR149" t="str">
        <f ca="1">IFERROR(IF(0=LEN(ReferenceData!$AR$149),"",ReferenceData!$AR$149),"")</f>
        <v/>
      </c>
      <c r="AS149" t="str">
        <f ca="1">IFERROR(IF(0=LEN(ReferenceData!$AS$149),"",ReferenceData!$AS$149),"")</f>
        <v/>
      </c>
      <c r="AT149">
        <f ca="1">IFERROR(IF(0=LEN(ReferenceData!$AT$149),"",ReferenceData!$AT$149),"")</f>
        <v>91401.56813</v>
      </c>
      <c r="AU149" t="str">
        <f ca="1">IFERROR(IF(0=LEN(ReferenceData!$AU$149),"",ReferenceData!$AU$149),"")</f>
        <v/>
      </c>
      <c r="AV149" t="str">
        <f ca="1">IFERROR(IF(0=LEN(ReferenceData!$AV$149),"",ReferenceData!$AV$149),"")</f>
        <v/>
      </c>
      <c r="AW149" t="str">
        <f ca="1">IFERROR(IF(0=LEN(ReferenceData!$AW$149),"",ReferenceData!$AW$149),"")</f>
        <v/>
      </c>
      <c r="AX149">
        <f ca="1">IFERROR(IF(0=LEN(ReferenceData!$AX$149),"",ReferenceData!$AX$149),"")</f>
        <v>91963.099539999996</v>
      </c>
      <c r="AY149" t="str">
        <f ca="1">IFERROR(IF(0=LEN(ReferenceData!$AY$149),"",ReferenceData!$AY$149),"")</f>
        <v/>
      </c>
      <c r="AZ149" t="str">
        <f ca="1">IFERROR(IF(0=LEN(ReferenceData!$AZ$149),"",ReferenceData!$AZ$149),"")</f>
        <v/>
      </c>
      <c r="BA149" t="str">
        <f ca="1">IFERROR(IF(0=LEN(ReferenceData!$BA$149),"",ReferenceData!$BA$149),"")</f>
        <v/>
      </c>
      <c r="BB149">
        <f ca="1">IFERROR(IF(0=LEN(ReferenceData!$BB$149),"",ReferenceData!$BB$149),"")</f>
        <v>96462.458710000006</v>
      </c>
      <c r="BC149" t="str">
        <f ca="1">IFERROR(IF(0=LEN(ReferenceData!$BC$149),"",ReferenceData!$BC$149),"")</f>
        <v/>
      </c>
      <c r="BD149" t="str">
        <f ca="1">IFERROR(IF(0=LEN(ReferenceData!$BD$149),"",ReferenceData!$BD$149),"")</f>
        <v/>
      </c>
      <c r="BE149" t="str">
        <f ca="1">IFERROR(IF(0=LEN(ReferenceData!$BE$149),"",ReferenceData!$BE$149),"")</f>
        <v/>
      </c>
      <c r="BF149" t="str">
        <f ca="1">IFERROR(IF(0=LEN(ReferenceData!$BF$149),"",ReferenceData!$BF$149),"")</f>
        <v/>
      </c>
      <c r="BG149" t="str">
        <f ca="1">IFERROR(IF(0=LEN(ReferenceData!$BG$149),"",ReferenceData!$BG$149),"")</f>
        <v/>
      </c>
      <c r="BH149" t="str">
        <f ca="1">IFERROR(IF(0=LEN(ReferenceData!$BH$149),"",ReferenceData!$BH$149),"")</f>
        <v/>
      </c>
      <c r="BI149" t="str">
        <f ca="1">IFERROR(IF(0=LEN(ReferenceData!$BI$149),"",ReferenceData!$BI$149),"")</f>
        <v/>
      </c>
      <c r="BJ149" t="str">
        <f ca="1">IFERROR(IF(0=LEN(ReferenceData!$BJ$149),"",ReferenceData!$BJ$149),"")</f>
        <v/>
      </c>
      <c r="BK149" t="str">
        <f ca="1">IFERROR(IF(0=LEN(ReferenceData!$BK$149),"",ReferenceData!$BK$149),"")</f>
        <v/>
      </c>
      <c r="BL149" t="str">
        <f ca="1">IFERROR(IF(0=LEN(ReferenceData!$BL$149),"",ReferenceData!$BL$149),"")</f>
        <v/>
      </c>
      <c r="BM149" t="str">
        <f ca="1">IFERROR(IF(0=LEN(ReferenceData!$BM$149),"",ReferenceData!$BM$149),"")</f>
        <v/>
      </c>
    </row>
    <row r="150" spans="1:65" x14ac:dyDescent="0.25">
      <c r="A150" t="str">
        <f>IFERROR(IF(0=LEN(ReferenceData!$A$150),"",ReferenceData!$A$150),"")</f>
        <v xml:space="preserve">    Swedbank AB</v>
      </c>
      <c r="B150" t="str">
        <f>IFERROR(IF(0=LEN(ReferenceData!$B$150),"",ReferenceData!$B$150),"")</f>
        <v>SWEDA SS Equity</v>
      </c>
      <c r="C150" t="str">
        <f>IFERROR(IF(0=LEN(ReferenceData!$C$150),"",ReferenceData!$C$150),"")</f>
        <v>BS016</v>
      </c>
      <c r="D150" t="str">
        <f>IFERROR(IF(0=LEN(ReferenceData!$D$150),"",ReferenceData!$D$150),"")</f>
        <v>BS_COMM_LOAN</v>
      </c>
      <c r="E150" t="str">
        <f>IFERROR(IF(0=LEN(ReferenceData!$E$150),"",ReferenceData!$E$150),"")</f>
        <v>Dynamic</v>
      </c>
      <c r="F150" t="str">
        <f ca="1">IFERROR(IF(0=LEN(ReferenceData!$F$150),"",ReferenceData!$F$150),"")</f>
        <v/>
      </c>
      <c r="G150">
        <f ca="1">IFERROR(IF(0=LEN(ReferenceData!$G$150),"",ReferenceData!$G$150),"")</f>
        <v>29094.11636</v>
      </c>
      <c r="H150">
        <f ca="1">IFERROR(IF(0=LEN(ReferenceData!$H$150),"",ReferenceData!$H$150),"")</f>
        <v>29242.413489999999</v>
      </c>
      <c r="I150">
        <f ca="1">IFERROR(IF(0=LEN(ReferenceData!$I$150),"",ReferenceData!$I$150),"")</f>
        <v>27971.357240000001</v>
      </c>
      <c r="J150">
        <f ca="1">IFERROR(IF(0=LEN(ReferenceData!$J$150),"",ReferenceData!$J$150),"")</f>
        <v>55042.743750000001</v>
      </c>
      <c r="K150">
        <f ca="1">IFERROR(IF(0=LEN(ReferenceData!$K$150),"",ReferenceData!$K$150),"")</f>
        <v>54884.362520000002</v>
      </c>
      <c r="L150">
        <f ca="1">IFERROR(IF(0=LEN(ReferenceData!$L$150),"",ReferenceData!$L$150),"")</f>
        <v>57907.09794</v>
      </c>
      <c r="M150">
        <f ca="1">IFERROR(IF(0=LEN(ReferenceData!$M$150),"",ReferenceData!$M$150),"")</f>
        <v>27984.336619999998</v>
      </c>
      <c r="N150">
        <f ca="1">IFERROR(IF(0=LEN(ReferenceData!$N$150),"",ReferenceData!$N$150),"")</f>
        <v>56091.223460000001</v>
      </c>
      <c r="O150">
        <f ca="1">IFERROR(IF(0=LEN(ReferenceData!$O$150),"",ReferenceData!$O$150),"")</f>
        <v>57961.584419999999</v>
      </c>
      <c r="P150">
        <f ca="1">IFERROR(IF(0=LEN(ReferenceData!$P$150),"",ReferenceData!$P$150),"")</f>
        <v>81744.803069999994</v>
      </c>
      <c r="Q150">
        <f ca="1">IFERROR(IF(0=LEN(ReferenceData!$Q$150),"",ReferenceData!$Q$150),"")</f>
        <v>56237.016490000002</v>
      </c>
      <c r="R150">
        <f ca="1">IFERROR(IF(0=LEN(ReferenceData!$R$150),"",ReferenceData!$R$150),"")</f>
        <v>53363.275110000002</v>
      </c>
      <c r="S150">
        <f ca="1">IFERROR(IF(0=LEN(ReferenceData!$S$150),"",ReferenceData!$S$150),"")</f>
        <v>53413.233910000003</v>
      </c>
      <c r="T150">
        <f ca="1">IFERROR(IF(0=LEN(ReferenceData!$T$150),"",ReferenceData!$T$150),"")</f>
        <v>53219.120759999998</v>
      </c>
      <c r="U150">
        <f ca="1">IFERROR(IF(0=LEN(ReferenceData!$U$150),"",ReferenceData!$U$150),"")</f>
        <v>52686.154649999997</v>
      </c>
      <c r="V150">
        <f ca="1">IFERROR(IF(0=LEN(ReferenceData!$V$150),"",ReferenceData!$V$150),"")</f>
        <v>54067.71905</v>
      </c>
      <c r="W150">
        <f ca="1">IFERROR(IF(0=LEN(ReferenceData!$W$150),"",ReferenceData!$W$150),"")</f>
        <v>52543.211750000002</v>
      </c>
      <c r="X150">
        <f ca="1">IFERROR(IF(0=LEN(ReferenceData!$X$150),"",ReferenceData!$X$150),"")</f>
        <v>53884.715649999998</v>
      </c>
      <c r="Y150">
        <f ca="1">IFERROR(IF(0=LEN(ReferenceData!$Y$150),"",ReferenceData!$Y$150),"")</f>
        <v>52661.708059999997</v>
      </c>
      <c r="Z150">
        <f ca="1">IFERROR(IF(0=LEN(ReferenceData!$Z$150),"",ReferenceData!$Z$150),"")</f>
        <v>53238.965550000001</v>
      </c>
      <c r="AA150">
        <f ca="1">IFERROR(IF(0=LEN(ReferenceData!$AA$150),"",ReferenceData!$AA$150),"")</f>
        <v>52850.146630000003</v>
      </c>
      <c r="AB150">
        <f ca="1">IFERROR(IF(0=LEN(ReferenceData!$AB$150),"",ReferenceData!$AB$150),"")</f>
        <v>54136.541810000002</v>
      </c>
      <c r="AC150">
        <f ca="1">IFERROR(IF(0=LEN(ReferenceData!$AC$150),"",ReferenceData!$AC$150),"")</f>
        <v>53811.313119999999</v>
      </c>
      <c r="AD150">
        <f ca="1">IFERROR(IF(0=LEN(ReferenceData!$AD$150),"",ReferenceData!$AD$150),"")</f>
        <v>54386.474820000003</v>
      </c>
      <c r="AE150">
        <f ca="1">IFERROR(IF(0=LEN(ReferenceData!$AE$150),"",ReferenceData!$AE$150),"")</f>
        <v>54092.297290000002</v>
      </c>
      <c r="AF150">
        <f ca="1">IFERROR(IF(0=LEN(ReferenceData!$AF$150),"",ReferenceData!$AF$150),"")</f>
        <v>53060.26311</v>
      </c>
      <c r="AG150">
        <f ca="1">IFERROR(IF(0=LEN(ReferenceData!$AG$150),"",ReferenceData!$AG$150),"")</f>
        <v>52140.967259999998</v>
      </c>
      <c r="AH150">
        <f ca="1">IFERROR(IF(0=LEN(ReferenceData!$AH$150),"",ReferenceData!$AH$150),"")</f>
        <v>53299.843339999999</v>
      </c>
      <c r="AI150">
        <f ca="1">IFERROR(IF(0=LEN(ReferenceData!$AI$150),"",ReferenceData!$AI$150),"")</f>
        <v>54494.419119999999</v>
      </c>
      <c r="AJ150">
        <f ca="1">IFERROR(IF(0=LEN(ReferenceData!$AJ$150),"",ReferenceData!$AJ$150),"")</f>
        <v>53805.016439999999</v>
      </c>
      <c r="AK150">
        <f ca="1">IFERROR(IF(0=LEN(ReferenceData!$AK$150),"",ReferenceData!$AK$150),"")</f>
        <v>54470.678330000002</v>
      </c>
      <c r="AL150">
        <f ca="1">IFERROR(IF(0=LEN(ReferenceData!$AL$150),"",ReferenceData!$AL$150),"")</f>
        <v>54733.187299999998</v>
      </c>
      <c r="AM150">
        <f ca="1">IFERROR(IF(0=LEN(ReferenceData!$AM$150),"",ReferenceData!$AM$150),"")</f>
        <v>55251.770049999999</v>
      </c>
      <c r="AN150">
        <f ca="1">IFERROR(IF(0=LEN(ReferenceData!$AN$150),"",ReferenceData!$AN$150),"")</f>
        <v>56074.290970000002</v>
      </c>
      <c r="AO150">
        <f ca="1">IFERROR(IF(0=LEN(ReferenceData!$AO$150),"",ReferenceData!$AO$150),"")</f>
        <v>55049.214019999999</v>
      </c>
      <c r="AP150">
        <f ca="1">IFERROR(IF(0=LEN(ReferenceData!$AP$150),"",ReferenceData!$AP$150),"")</f>
        <v>54865.137239999996</v>
      </c>
      <c r="AQ150">
        <f ca="1">IFERROR(IF(0=LEN(ReferenceData!$AQ$150),"",ReferenceData!$AQ$150),"")</f>
        <v>54346.009489999997</v>
      </c>
      <c r="AR150">
        <f ca="1">IFERROR(IF(0=LEN(ReferenceData!$AR$150),"",ReferenceData!$AR$150),"")</f>
        <v>54903.136339999997</v>
      </c>
      <c r="AS150">
        <f ca="1">IFERROR(IF(0=LEN(ReferenceData!$AS$150),"",ReferenceData!$AS$150),"")</f>
        <v>54451.553999999996</v>
      </c>
      <c r="AT150">
        <f ca="1">IFERROR(IF(0=LEN(ReferenceData!$AT$150),"",ReferenceData!$AT$150),"")</f>
        <v>52676.732360000002</v>
      </c>
      <c r="AU150">
        <f ca="1">IFERROR(IF(0=LEN(ReferenceData!$AU$150),"",ReferenceData!$AU$150),"")</f>
        <v>52346.840510000002</v>
      </c>
      <c r="AV150">
        <f ca="1">IFERROR(IF(0=LEN(ReferenceData!$AV$150),"",ReferenceData!$AV$150),"")</f>
        <v>50983.262360000001</v>
      </c>
      <c r="AW150">
        <f ca="1">IFERROR(IF(0=LEN(ReferenceData!$AW$150),"",ReferenceData!$AW$150),"")</f>
        <v>49135.689859999999</v>
      </c>
      <c r="AX150">
        <f ca="1">IFERROR(IF(0=LEN(ReferenceData!$AX$150),"",ReferenceData!$AX$150),"")</f>
        <v>49814.271959999998</v>
      </c>
      <c r="AY150">
        <f ca="1">IFERROR(IF(0=LEN(ReferenceData!$AY$150),"",ReferenceData!$AY$150),"")</f>
        <v>49641.115810000003</v>
      </c>
      <c r="AZ150">
        <f ca="1">IFERROR(IF(0=LEN(ReferenceData!$AZ$150),"",ReferenceData!$AZ$150),"")</f>
        <v>49900.569580000003</v>
      </c>
      <c r="BA150">
        <f ca="1">IFERROR(IF(0=LEN(ReferenceData!$BA$150),"",ReferenceData!$BA$150),"")</f>
        <v>51743.875039999999</v>
      </c>
      <c r="BB150">
        <f ca="1">IFERROR(IF(0=LEN(ReferenceData!$BB$150),"",ReferenceData!$BB$150),"")</f>
        <v>50731.949119999997</v>
      </c>
      <c r="BC150">
        <f ca="1">IFERROR(IF(0=LEN(ReferenceData!$BC$150),"",ReferenceData!$BC$150),"")</f>
        <v>52211.168740000001</v>
      </c>
      <c r="BD150">
        <f ca="1">IFERROR(IF(0=LEN(ReferenceData!$BD$150),"",ReferenceData!$BD$150),"")</f>
        <v>50042.78155</v>
      </c>
      <c r="BE150">
        <f ca="1">IFERROR(IF(0=LEN(ReferenceData!$BE$150),"",ReferenceData!$BE$150),"")</f>
        <v>58028.57546</v>
      </c>
      <c r="BF150">
        <f ca="1">IFERROR(IF(0=LEN(ReferenceData!$BF$150),"",ReferenceData!$BF$150),"")</f>
        <v>49230.671249999999</v>
      </c>
      <c r="BG150" t="str">
        <f ca="1">IFERROR(IF(0=LEN(ReferenceData!$BG$150),"",ReferenceData!$BG$150),"")</f>
        <v/>
      </c>
      <c r="BH150" t="str">
        <f ca="1">IFERROR(IF(0=LEN(ReferenceData!$BH$150),"",ReferenceData!$BH$150),"")</f>
        <v/>
      </c>
      <c r="BI150" t="str">
        <f ca="1">IFERROR(IF(0=LEN(ReferenceData!$BI$150),"",ReferenceData!$BI$150),"")</f>
        <v/>
      </c>
      <c r="BJ150">
        <f ca="1">IFERROR(IF(0=LEN(ReferenceData!$BJ$150),"",ReferenceData!$BJ$150),"")</f>
        <v>56413.682390000002</v>
      </c>
      <c r="BK150" t="str">
        <f ca="1">IFERROR(IF(0=LEN(ReferenceData!$BK$150),"",ReferenceData!$BK$150),"")</f>
        <v/>
      </c>
      <c r="BL150" t="str">
        <f ca="1">IFERROR(IF(0=LEN(ReferenceData!$BL$150),"",ReferenceData!$BL$150),"")</f>
        <v/>
      </c>
      <c r="BM150" t="str">
        <f ca="1">IFERROR(IF(0=LEN(ReferenceData!$BM$150),"",ReferenceData!$BM$150),"")</f>
        <v/>
      </c>
    </row>
    <row r="151" spans="1:65" x14ac:dyDescent="0.25">
      <c r="A151" t="str">
        <f>IFERROR(IF(0=LEN(ReferenceData!$A$151),"",ReferenceData!$A$151),"")</f>
        <v xml:space="preserve">    Societe Generale SA</v>
      </c>
      <c r="B151" t="str">
        <f>IFERROR(IF(0=LEN(ReferenceData!$B$151),"",ReferenceData!$B$151),"")</f>
        <v>GLE FP Equity</v>
      </c>
      <c r="C151" t="str">
        <f>IFERROR(IF(0=LEN(ReferenceData!$C$151),"",ReferenceData!$C$151),"")</f>
        <v>BS016</v>
      </c>
      <c r="D151" t="str">
        <f>IFERROR(IF(0=LEN(ReferenceData!$D$151),"",ReferenceData!$D$151),"")</f>
        <v>BS_COMM_LOAN</v>
      </c>
      <c r="E151" t="str">
        <f>IFERROR(IF(0=LEN(ReferenceData!$E$151),"",ReferenceData!$E$151),"")</f>
        <v>Dynamic</v>
      </c>
      <c r="F151" t="str">
        <f ca="1">IFERROR(IF(0=LEN(ReferenceData!$F$151),"",ReferenceData!$F$151),"")</f>
        <v/>
      </c>
      <c r="G151" t="str">
        <f ca="1">IFERROR(IF(0=LEN(ReferenceData!$G$151),"",ReferenceData!$G$151),"")</f>
        <v/>
      </c>
      <c r="H151" t="str">
        <f ca="1">IFERROR(IF(0=LEN(ReferenceData!$H$151),"",ReferenceData!$H$151),"")</f>
        <v/>
      </c>
      <c r="I151" t="str">
        <f ca="1">IFERROR(IF(0=LEN(ReferenceData!$I$151),"",ReferenceData!$I$151),"")</f>
        <v/>
      </c>
      <c r="J151" t="str">
        <f ca="1">IFERROR(IF(0=LEN(ReferenceData!$J$151),"",ReferenceData!$J$151),"")</f>
        <v/>
      </c>
      <c r="K151" t="str">
        <f ca="1">IFERROR(IF(0=LEN(ReferenceData!$K$151),"",ReferenceData!$K$151),"")</f>
        <v/>
      </c>
      <c r="L151" t="str">
        <f ca="1">IFERROR(IF(0=LEN(ReferenceData!$L$151),"",ReferenceData!$L$151),"")</f>
        <v/>
      </c>
      <c r="M151" t="str">
        <f ca="1">IFERROR(IF(0=LEN(ReferenceData!$M$151),"",ReferenceData!$M$151),"")</f>
        <v/>
      </c>
      <c r="N151" t="str">
        <f ca="1">IFERROR(IF(0=LEN(ReferenceData!$N$151),"",ReferenceData!$N$151),"")</f>
        <v/>
      </c>
      <c r="O151" t="str">
        <f ca="1">IFERROR(IF(0=LEN(ReferenceData!$O$151),"",ReferenceData!$O$151),"")</f>
        <v/>
      </c>
      <c r="P151" t="str">
        <f ca="1">IFERROR(IF(0=LEN(ReferenceData!$P$151),"",ReferenceData!$P$151),"")</f>
        <v/>
      </c>
      <c r="Q151" t="str">
        <f ca="1">IFERROR(IF(0=LEN(ReferenceData!$Q$151),"",ReferenceData!$Q$151),"")</f>
        <v/>
      </c>
      <c r="R151" t="str">
        <f ca="1">IFERROR(IF(0=LEN(ReferenceData!$R$151),"",ReferenceData!$R$151),"")</f>
        <v/>
      </c>
      <c r="S151" t="str">
        <f ca="1">IFERROR(IF(0=LEN(ReferenceData!$S$151),"",ReferenceData!$S$151),"")</f>
        <v/>
      </c>
      <c r="T151" t="str">
        <f ca="1">IFERROR(IF(0=LEN(ReferenceData!$T$151),"",ReferenceData!$T$151),"")</f>
        <v/>
      </c>
      <c r="U151" t="str">
        <f ca="1">IFERROR(IF(0=LEN(ReferenceData!$U$151),"",ReferenceData!$U$151),"")</f>
        <v/>
      </c>
      <c r="V151" t="str">
        <f ca="1">IFERROR(IF(0=LEN(ReferenceData!$V$151),"",ReferenceData!$V$151),"")</f>
        <v/>
      </c>
      <c r="W151" t="str">
        <f ca="1">IFERROR(IF(0=LEN(ReferenceData!$W$151),"",ReferenceData!$W$151),"")</f>
        <v/>
      </c>
      <c r="X151" t="str">
        <f ca="1">IFERROR(IF(0=LEN(ReferenceData!$X$151),"",ReferenceData!$X$151),"")</f>
        <v/>
      </c>
      <c r="Y151" t="str">
        <f ca="1">IFERROR(IF(0=LEN(ReferenceData!$Y$151),"",ReferenceData!$Y$151),"")</f>
        <v/>
      </c>
      <c r="Z151" t="str">
        <f ca="1">IFERROR(IF(0=LEN(ReferenceData!$Z$151),"",ReferenceData!$Z$151),"")</f>
        <v/>
      </c>
      <c r="AA151" t="str">
        <f ca="1">IFERROR(IF(0=LEN(ReferenceData!$AA$151),"",ReferenceData!$AA$151),"")</f>
        <v/>
      </c>
      <c r="AB151" t="str">
        <f ca="1">IFERROR(IF(0=LEN(ReferenceData!$AB$151),"",ReferenceData!$AB$151),"")</f>
        <v/>
      </c>
      <c r="AC151" t="str">
        <f ca="1">IFERROR(IF(0=LEN(ReferenceData!$AC$151),"",ReferenceData!$AC$151),"")</f>
        <v/>
      </c>
      <c r="AD151" t="str">
        <f ca="1">IFERROR(IF(0=LEN(ReferenceData!$AD$151),"",ReferenceData!$AD$151),"")</f>
        <v/>
      </c>
      <c r="AE151" t="str">
        <f ca="1">IFERROR(IF(0=LEN(ReferenceData!$AE$151),"",ReferenceData!$AE$151),"")</f>
        <v/>
      </c>
      <c r="AF151" t="str">
        <f ca="1">IFERROR(IF(0=LEN(ReferenceData!$AF$151),"",ReferenceData!$AF$151),"")</f>
        <v/>
      </c>
      <c r="AG151" t="str">
        <f ca="1">IFERROR(IF(0=LEN(ReferenceData!$AG$151),"",ReferenceData!$AG$151),"")</f>
        <v/>
      </c>
      <c r="AH151" t="str">
        <f ca="1">IFERROR(IF(0=LEN(ReferenceData!$AH$151),"",ReferenceData!$AH$151),"")</f>
        <v/>
      </c>
      <c r="AI151" t="str">
        <f ca="1">IFERROR(IF(0=LEN(ReferenceData!$AI$151),"",ReferenceData!$AI$151),"")</f>
        <v/>
      </c>
      <c r="AJ151" t="str">
        <f ca="1">IFERROR(IF(0=LEN(ReferenceData!$AJ$151),"",ReferenceData!$AJ$151),"")</f>
        <v/>
      </c>
      <c r="AK151" t="str">
        <f ca="1">IFERROR(IF(0=LEN(ReferenceData!$AK$151),"",ReferenceData!$AK$151),"")</f>
        <v/>
      </c>
      <c r="AL151" t="str">
        <f ca="1">IFERROR(IF(0=LEN(ReferenceData!$AL$151),"",ReferenceData!$AL$151),"")</f>
        <v/>
      </c>
      <c r="AM151" t="str">
        <f ca="1">IFERROR(IF(0=LEN(ReferenceData!$AM$151),"",ReferenceData!$AM$151),"")</f>
        <v/>
      </c>
      <c r="AN151" t="str">
        <f ca="1">IFERROR(IF(0=LEN(ReferenceData!$AN$151),"",ReferenceData!$AN$151),"")</f>
        <v/>
      </c>
      <c r="AO151" t="str">
        <f ca="1">IFERROR(IF(0=LEN(ReferenceData!$AO$151),"",ReferenceData!$AO$151),"")</f>
        <v/>
      </c>
      <c r="AP151" t="str">
        <f ca="1">IFERROR(IF(0=LEN(ReferenceData!$AP$151),"",ReferenceData!$AP$151),"")</f>
        <v/>
      </c>
      <c r="AQ151" t="str">
        <f ca="1">IFERROR(IF(0=LEN(ReferenceData!$AQ$151),"",ReferenceData!$AQ$151),"")</f>
        <v/>
      </c>
      <c r="AR151" t="str">
        <f ca="1">IFERROR(IF(0=LEN(ReferenceData!$AR$151),"",ReferenceData!$AR$151),"")</f>
        <v/>
      </c>
      <c r="AS151" t="str">
        <f ca="1">IFERROR(IF(0=LEN(ReferenceData!$AS$151),"",ReferenceData!$AS$151),"")</f>
        <v/>
      </c>
      <c r="AT151" t="str">
        <f ca="1">IFERROR(IF(0=LEN(ReferenceData!$AT$151),"",ReferenceData!$AT$151),"")</f>
        <v/>
      </c>
      <c r="AU151" t="str">
        <f ca="1">IFERROR(IF(0=LEN(ReferenceData!$AU$151),"",ReferenceData!$AU$151),"")</f>
        <v/>
      </c>
      <c r="AV151" t="str">
        <f ca="1">IFERROR(IF(0=LEN(ReferenceData!$AV$151),"",ReferenceData!$AV$151),"")</f>
        <v/>
      </c>
      <c r="AW151" t="str">
        <f ca="1">IFERROR(IF(0=LEN(ReferenceData!$AW$151),"",ReferenceData!$AW$151),"")</f>
        <v/>
      </c>
      <c r="AX151" t="str">
        <f ca="1">IFERROR(IF(0=LEN(ReferenceData!$AX$151),"",ReferenceData!$AX$151),"")</f>
        <v/>
      </c>
      <c r="AY151" t="str">
        <f ca="1">IFERROR(IF(0=LEN(ReferenceData!$AY$151),"",ReferenceData!$AY$151),"")</f>
        <v/>
      </c>
      <c r="AZ151" t="str">
        <f ca="1">IFERROR(IF(0=LEN(ReferenceData!$AZ$151),"",ReferenceData!$AZ$151),"")</f>
        <v/>
      </c>
      <c r="BA151" t="str">
        <f ca="1">IFERROR(IF(0=LEN(ReferenceData!$BA$151),"",ReferenceData!$BA$151),"")</f>
        <v/>
      </c>
      <c r="BB151" t="str">
        <f ca="1">IFERROR(IF(0=LEN(ReferenceData!$BB$151),"",ReferenceData!$BB$151),"")</f>
        <v/>
      </c>
      <c r="BC151" t="str">
        <f ca="1">IFERROR(IF(0=LEN(ReferenceData!$BC$151),"",ReferenceData!$BC$151),"")</f>
        <v/>
      </c>
      <c r="BD151" t="str">
        <f ca="1">IFERROR(IF(0=LEN(ReferenceData!$BD$151),"",ReferenceData!$BD$151),"")</f>
        <v/>
      </c>
      <c r="BE151" t="str">
        <f ca="1">IFERROR(IF(0=LEN(ReferenceData!$BE$151),"",ReferenceData!$BE$151),"")</f>
        <v/>
      </c>
      <c r="BF151" t="str">
        <f ca="1">IFERROR(IF(0=LEN(ReferenceData!$BF$151),"",ReferenceData!$BF$151),"")</f>
        <v/>
      </c>
      <c r="BG151" t="str">
        <f ca="1">IFERROR(IF(0=LEN(ReferenceData!$BG$151),"",ReferenceData!$BG$151),"")</f>
        <v/>
      </c>
      <c r="BH151" t="str">
        <f ca="1">IFERROR(IF(0=LEN(ReferenceData!$BH$151),"",ReferenceData!$BH$151),"")</f>
        <v/>
      </c>
      <c r="BI151" t="str">
        <f ca="1">IFERROR(IF(0=LEN(ReferenceData!$BI$151),"",ReferenceData!$BI$151),"")</f>
        <v/>
      </c>
      <c r="BJ151" t="str">
        <f ca="1">IFERROR(IF(0=LEN(ReferenceData!$BJ$151),"",ReferenceData!$BJ$151),"")</f>
        <v/>
      </c>
      <c r="BK151" t="str">
        <f ca="1">IFERROR(IF(0=LEN(ReferenceData!$BK$151),"",ReferenceData!$BK$151),"")</f>
        <v/>
      </c>
      <c r="BL151" t="str">
        <f ca="1">IFERROR(IF(0=LEN(ReferenceData!$BL$151),"",ReferenceData!$BL$151),"")</f>
        <v/>
      </c>
      <c r="BM151" t="str">
        <f ca="1">IFERROR(IF(0=LEN(ReferenceData!$BM$151),"",ReferenceData!$BM$151),"")</f>
        <v/>
      </c>
    </row>
    <row r="152" spans="1:65" x14ac:dyDescent="0.25">
      <c r="A152" t="str">
        <f>IFERROR(IF(0=LEN(ReferenceData!$A$152),"",ReferenceData!$A$152),"")</f>
        <v xml:space="preserve">    Standard Chartered PLC</v>
      </c>
      <c r="B152" t="str">
        <f>IFERROR(IF(0=LEN(ReferenceData!$B$152),"",ReferenceData!$B$152),"")</f>
        <v>STAN LN Equity</v>
      </c>
      <c r="C152" t="str">
        <f>IFERROR(IF(0=LEN(ReferenceData!$C$152),"",ReferenceData!$C$152),"")</f>
        <v>BS016</v>
      </c>
      <c r="D152" t="str">
        <f>IFERROR(IF(0=LEN(ReferenceData!$D$152),"",ReferenceData!$D$152),"")</f>
        <v>BS_COMM_LOAN</v>
      </c>
      <c r="E152" t="str">
        <f>IFERROR(IF(0=LEN(ReferenceData!$E$152),"",ReferenceData!$E$152),"")</f>
        <v>Dynamic</v>
      </c>
      <c r="F152">
        <f ca="1">IFERROR(IF(0=LEN(ReferenceData!$F$152),"",ReferenceData!$F$152),"")</f>
        <v>136384.1917</v>
      </c>
      <c r="G152" t="str">
        <f ca="1">IFERROR(IF(0=LEN(ReferenceData!$G$152),"",ReferenceData!$G$152),"")</f>
        <v/>
      </c>
      <c r="H152">
        <f ca="1">IFERROR(IF(0=LEN(ReferenceData!$H$152),"",ReferenceData!$H$152),"")</f>
        <v>127728.63009999999</v>
      </c>
      <c r="I152" t="str">
        <f ca="1">IFERROR(IF(0=LEN(ReferenceData!$I$152),"",ReferenceData!$I$152),"")</f>
        <v/>
      </c>
      <c r="J152">
        <f ca="1">IFERROR(IF(0=LEN(ReferenceData!$J$152),"",ReferenceData!$J$152),"")</f>
        <v>124131.4172</v>
      </c>
      <c r="K152" t="str">
        <f ca="1">IFERROR(IF(0=LEN(ReferenceData!$K$152),"",ReferenceData!$K$152),"")</f>
        <v/>
      </c>
      <c r="L152">
        <f ca="1">IFERROR(IF(0=LEN(ReferenceData!$L$152),"",ReferenceData!$L$152),"")</f>
        <v>122695.54859999999</v>
      </c>
      <c r="M152" t="str">
        <f ca="1">IFERROR(IF(0=LEN(ReferenceData!$M$152),"",ReferenceData!$M$152),"")</f>
        <v/>
      </c>
      <c r="N152">
        <f ca="1">IFERROR(IF(0=LEN(ReferenceData!$N$152),"",ReferenceData!$N$152),"")</f>
        <v>137093.6421</v>
      </c>
      <c r="O152" t="str">
        <f ca="1">IFERROR(IF(0=LEN(ReferenceData!$O$152),"",ReferenceData!$O$152),"")</f>
        <v/>
      </c>
      <c r="P152">
        <f ca="1">IFERROR(IF(0=LEN(ReferenceData!$P$152),"",ReferenceData!$P$152),"")</f>
        <v>131955.5471</v>
      </c>
      <c r="Q152" t="str">
        <f ca="1">IFERROR(IF(0=LEN(ReferenceData!$Q$152),"",ReferenceData!$Q$152),"")</f>
        <v/>
      </c>
      <c r="R152">
        <f ca="1">IFERROR(IF(0=LEN(ReferenceData!$R$152),"",ReferenceData!$R$152),"")</f>
        <v>128699.2798</v>
      </c>
      <c r="S152" t="str">
        <f ca="1">IFERROR(IF(0=LEN(ReferenceData!$S$152),"",ReferenceData!$S$152),"")</f>
        <v/>
      </c>
      <c r="T152">
        <f ca="1">IFERROR(IF(0=LEN(ReferenceData!$T$152),"",ReferenceData!$T$152),"")</f>
        <v>125105.0722</v>
      </c>
      <c r="U152" t="str">
        <f ca="1">IFERROR(IF(0=LEN(ReferenceData!$U$152),"",ReferenceData!$U$152),"")</f>
        <v/>
      </c>
      <c r="V152">
        <f ca="1">IFERROR(IF(0=LEN(ReferenceData!$V$152),"",ReferenceData!$V$152),"")</f>
        <v>113366.05319999999</v>
      </c>
      <c r="W152" t="str">
        <f ca="1">IFERROR(IF(0=LEN(ReferenceData!$W$152),"",ReferenceData!$W$152),"")</f>
        <v/>
      </c>
      <c r="X152">
        <f ca="1">IFERROR(IF(0=LEN(ReferenceData!$X$152),"",ReferenceData!$X$152),"")</f>
        <v>124295.117</v>
      </c>
      <c r="Y152" t="str">
        <f ca="1">IFERROR(IF(0=LEN(ReferenceData!$Y$152),"",ReferenceData!$Y$152),"")</f>
        <v/>
      </c>
      <c r="Z152">
        <f ca="1">IFERROR(IF(0=LEN(ReferenceData!$Z$152),"",ReferenceData!$Z$152),"")</f>
        <v>124314.7208</v>
      </c>
      <c r="AA152" t="str">
        <f ca="1">IFERROR(IF(0=LEN(ReferenceData!$AA$152),"",ReferenceData!$AA$152),"")</f>
        <v/>
      </c>
      <c r="AB152">
        <f ca="1">IFERROR(IF(0=LEN(ReferenceData!$AB$152),"",ReferenceData!$AB$152),"")</f>
        <v>123000.2641</v>
      </c>
      <c r="AC152" t="str">
        <f ca="1">IFERROR(IF(0=LEN(ReferenceData!$AC$152),"",ReferenceData!$AC$152),"")</f>
        <v/>
      </c>
      <c r="AD152">
        <f ca="1">IFERROR(IF(0=LEN(ReferenceData!$AD$152),"",ReferenceData!$AD$152),"")</f>
        <v>115827.803</v>
      </c>
      <c r="AE152" t="str">
        <f ca="1">IFERROR(IF(0=LEN(ReferenceData!$AE$152),"",ReferenceData!$AE$152),"")</f>
        <v/>
      </c>
      <c r="AF152">
        <f ca="1">IFERROR(IF(0=LEN(ReferenceData!$AF$152),"",ReferenceData!$AF$152),"")</f>
        <v>115326.71060000001</v>
      </c>
      <c r="AG152" t="str">
        <f ca="1">IFERROR(IF(0=LEN(ReferenceData!$AG$152),"",ReferenceData!$AG$152),"")</f>
        <v/>
      </c>
      <c r="AH152">
        <f ca="1">IFERROR(IF(0=LEN(ReferenceData!$AH$152),"",ReferenceData!$AH$152),"")</f>
        <v>130222.9246</v>
      </c>
      <c r="AI152" t="str">
        <f ca="1">IFERROR(IF(0=LEN(ReferenceData!$AI$152),"",ReferenceData!$AI$152),"")</f>
        <v/>
      </c>
      <c r="AJ152">
        <f ca="1">IFERROR(IF(0=LEN(ReferenceData!$AJ$152),"",ReferenceData!$AJ$152),"")</f>
        <v>128360.64139999999</v>
      </c>
      <c r="AK152" t="str">
        <f ca="1">IFERROR(IF(0=LEN(ReferenceData!$AK$152),"",ReferenceData!$AK$152),"")</f>
        <v/>
      </c>
      <c r="AL152">
        <f ca="1">IFERROR(IF(0=LEN(ReferenceData!$AL$152),"",ReferenceData!$AL$152),"")</f>
        <v>133878.82810000001</v>
      </c>
      <c r="AM152" t="str">
        <f ca="1">IFERROR(IF(0=LEN(ReferenceData!$AM$152),"",ReferenceData!$AM$152),"")</f>
        <v/>
      </c>
      <c r="AN152">
        <f ca="1">IFERROR(IF(0=LEN(ReferenceData!$AN$152),"",ReferenceData!$AN$152),"")</f>
        <v>132424.81709999999</v>
      </c>
      <c r="AO152" t="str">
        <f ca="1">IFERROR(IF(0=LEN(ReferenceData!$AO$152),"",ReferenceData!$AO$152),"")</f>
        <v/>
      </c>
      <c r="AP152" t="str">
        <f ca="1">IFERROR(IF(0=LEN(ReferenceData!$AP$152),"",ReferenceData!$AP$152),"")</f>
        <v/>
      </c>
      <c r="AQ152" t="str">
        <f ca="1">IFERROR(IF(0=LEN(ReferenceData!$AQ$152),"",ReferenceData!$AQ$152),"")</f>
        <v/>
      </c>
      <c r="AR152" t="str">
        <f ca="1">IFERROR(IF(0=LEN(ReferenceData!$AR$152),"",ReferenceData!$AR$152),"")</f>
        <v/>
      </c>
      <c r="AS152" t="str">
        <f ca="1">IFERROR(IF(0=LEN(ReferenceData!$AS$152),"",ReferenceData!$AS$152),"")</f>
        <v/>
      </c>
      <c r="AT152" t="str">
        <f ca="1">IFERROR(IF(0=LEN(ReferenceData!$AT$152),"",ReferenceData!$AT$152),"")</f>
        <v/>
      </c>
      <c r="AU152" t="str">
        <f ca="1">IFERROR(IF(0=LEN(ReferenceData!$AU$152),"",ReferenceData!$AU$152),"")</f>
        <v/>
      </c>
      <c r="AV152" t="str">
        <f ca="1">IFERROR(IF(0=LEN(ReferenceData!$AV$152),"",ReferenceData!$AV$152),"")</f>
        <v/>
      </c>
      <c r="AW152" t="str">
        <f ca="1">IFERROR(IF(0=LEN(ReferenceData!$AW$152),"",ReferenceData!$AW$152),"")</f>
        <v/>
      </c>
      <c r="AX152" t="str">
        <f ca="1">IFERROR(IF(0=LEN(ReferenceData!$AX$152),"",ReferenceData!$AX$152),"")</f>
        <v/>
      </c>
      <c r="AY152" t="str">
        <f ca="1">IFERROR(IF(0=LEN(ReferenceData!$AY$152),"",ReferenceData!$AY$152),"")</f>
        <v/>
      </c>
      <c r="AZ152" t="str">
        <f ca="1">IFERROR(IF(0=LEN(ReferenceData!$AZ$152),"",ReferenceData!$AZ$152),"")</f>
        <v/>
      </c>
      <c r="BA152" t="str">
        <f ca="1">IFERROR(IF(0=LEN(ReferenceData!$BA$152),"",ReferenceData!$BA$152),"")</f>
        <v/>
      </c>
      <c r="BB152" t="str">
        <f ca="1">IFERROR(IF(0=LEN(ReferenceData!$BB$152),"",ReferenceData!$BB$152),"")</f>
        <v/>
      </c>
      <c r="BC152" t="str">
        <f ca="1">IFERROR(IF(0=LEN(ReferenceData!$BC$152),"",ReferenceData!$BC$152),"")</f>
        <v/>
      </c>
      <c r="BD152" t="str">
        <f ca="1">IFERROR(IF(0=LEN(ReferenceData!$BD$152),"",ReferenceData!$BD$152),"")</f>
        <v/>
      </c>
      <c r="BE152" t="str">
        <f ca="1">IFERROR(IF(0=LEN(ReferenceData!$BE$152),"",ReferenceData!$BE$152),"")</f>
        <v/>
      </c>
      <c r="BF152" t="str">
        <f ca="1">IFERROR(IF(0=LEN(ReferenceData!$BF$152),"",ReferenceData!$BF$152),"")</f>
        <v/>
      </c>
      <c r="BG152" t="str">
        <f ca="1">IFERROR(IF(0=LEN(ReferenceData!$BG$152),"",ReferenceData!$BG$152),"")</f>
        <v/>
      </c>
      <c r="BH152" t="str">
        <f ca="1">IFERROR(IF(0=LEN(ReferenceData!$BH$152),"",ReferenceData!$BH$152),"")</f>
        <v/>
      </c>
      <c r="BI152" t="str">
        <f ca="1">IFERROR(IF(0=LEN(ReferenceData!$BI$152),"",ReferenceData!$BI$152),"")</f>
        <v/>
      </c>
      <c r="BJ152" t="str">
        <f ca="1">IFERROR(IF(0=LEN(ReferenceData!$BJ$152),"",ReferenceData!$BJ$152),"")</f>
        <v/>
      </c>
      <c r="BK152" t="str">
        <f ca="1">IFERROR(IF(0=LEN(ReferenceData!$BK$152),"",ReferenceData!$BK$152),"")</f>
        <v/>
      </c>
      <c r="BL152" t="str">
        <f ca="1">IFERROR(IF(0=LEN(ReferenceData!$BL$152),"",ReferenceData!$BL$152),"")</f>
        <v/>
      </c>
      <c r="BM152" t="str">
        <f ca="1">IFERROR(IF(0=LEN(ReferenceData!$BM$152),"",ReferenceData!$BM$152),"")</f>
        <v/>
      </c>
    </row>
    <row r="153" spans="1:65" x14ac:dyDescent="0.25">
      <c r="A153" t="str">
        <f>IFERROR(IF(0=LEN(ReferenceData!$A$153),"",ReferenceData!$A$153),"")</f>
        <v xml:space="preserve">    UBS Group AG</v>
      </c>
      <c r="B153" t="str">
        <f>IFERROR(IF(0=LEN(ReferenceData!$B$153),"",ReferenceData!$B$153),"")</f>
        <v>UBSG SW Equity</v>
      </c>
      <c r="C153" t="str">
        <f>IFERROR(IF(0=LEN(ReferenceData!$C$153),"",ReferenceData!$C$153),"")</f>
        <v>BS016</v>
      </c>
      <c r="D153" t="str">
        <f>IFERROR(IF(0=LEN(ReferenceData!$D$153),"",ReferenceData!$D$153),"")</f>
        <v>BS_COMM_LOAN</v>
      </c>
      <c r="E153" t="str">
        <f>IFERROR(IF(0=LEN(ReferenceData!$E$153),"",ReferenceData!$E$153),"")</f>
        <v>Dynamic</v>
      </c>
      <c r="F153">
        <f ca="1">IFERROR(IF(0=LEN(ReferenceData!$F$153),"",ReferenceData!$F$153),"")</f>
        <v>24985.988979999998</v>
      </c>
      <c r="G153">
        <f ca="1">IFERROR(IF(0=LEN(ReferenceData!$G$153),"",ReferenceData!$G$153),"")</f>
        <v>22116.971649999999</v>
      </c>
      <c r="H153">
        <f ca="1">IFERROR(IF(0=LEN(ReferenceData!$H$153),"",ReferenceData!$H$153),"")</f>
        <v>23584.359840000001</v>
      </c>
      <c r="I153">
        <f ca="1">IFERROR(IF(0=LEN(ReferenceData!$I$153),"",ReferenceData!$I$153),"")</f>
        <v>21128.927609999999</v>
      </c>
      <c r="J153">
        <f ca="1">IFERROR(IF(0=LEN(ReferenceData!$J$153),"",ReferenceData!$J$153),"")</f>
        <v>19013.919020000001</v>
      </c>
      <c r="K153">
        <f ca="1">IFERROR(IF(0=LEN(ReferenceData!$K$153),"",ReferenceData!$K$153),"")</f>
        <v>23266.212889999999</v>
      </c>
      <c r="L153">
        <f ca="1">IFERROR(IF(0=LEN(ReferenceData!$L$153),"",ReferenceData!$L$153),"")</f>
        <v>19726.140319999999</v>
      </c>
      <c r="M153">
        <f ca="1">IFERROR(IF(0=LEN(ReferenceData!$M$153),"",ReferenceData!$M$153),"")</f>
        <v>19344.00589</v>
      </c>
      <c r="N153">
        <f ca="1">IFERROR(IF(0=LEN(ReferenceData!$N$153),"",ReferenceData!$N$153),"")</f>
        <v>16409.298849999999</v>
      </c>
      <c r="O153">
        <f ca="1">IFERROR(IF(0=LEN(ReferenceData!$O$153),"",ReferenceData!$O$153),"")</f>
        <v>22992.849849999999</v>
      </c>
      <c r="P153">
        <f ca="1">IFERROR(IF(0=LEN(ReferenceData!$P$153),"",ReferenceData!$P$153),"")</f>
        <v>18400.267100000001</v>
      </c>
      <c r="Q153">
        <f ca="1">IFERROR(IF(0=LEN(ReferenceData!$Q$153),"",ReferenceData!$Q$153),"")</f>
        <v>18734.885399999999</v>
      </c>
      <c r="R153">
        <f ca="1">IFERROR(IF(0=LEN(ReferenceData!$R$153),"",ReferenceData!$R$153),"")</f>
        <v>19180.572629999999</v>
      </c>
      <c r="S153">
        <f ca="1">IFERROR(IF(0=LEN(ReferenceData!$S$153),"",ReferenceData!$S$153),"")</f>
        <v>17929.30602</v>
      </c>
      <c r="T153">
        <f ca="1">IFERROR(IF(0=LEN(ReferenceData!$T$153),"",ReferenceData!$T$153),"")</f>
        <v>19419.360280000001</v>
      </c>
      <c r="U153">
        <f ca="1">IFERROR(IF(0=LEN(ReferenceData!$U$153),"",ReferenceData!$U$153),"")</f>
        <v>20596.595740000001</v>
      </c>
      <c r="V153">
        <f ca="1">IFERROR(IF(0=LEN(ReferenceData!$V$153),"",ReferenceData!$V$153),"")</f>
        <v>20170.961149999999</v>
      </c>
      <c r="W153">
        <f ca="1">IFERROR(IF(0=LEN(ReferenceData!$W$153),"",ReferenceData!$W$153),"")</f>
        <v>17855.31479</v>
      </c>
      <c r="X153">
        <f ca="1">IFERROR(IF(0=LEN(ReferenceData!$X$153),"",ReferenceData!$X$153),"")</f>
        <v>17653.651160000001</v>
      </c>
      <c r="Y153">
        <f ca="1">IFERROR(IF(0=LEN(ReferenceData!$Y$153),"",ReferenceData!$Y$153),"")</f>
        <v>18520.645339999999</v>
      </c>
      <c r="Z153">
        <f ca="1">IFERROR(IF(0=LEN(ReferenceData!$Z$153),"",ReferenceData!$Z$153),"")</f>
        <v>16036.15638</v>
      </c>
      <c r="AA153">
        <f ca="1">IFERROR(IF(0=LEN(ReferenceData!$AA$153),"",ReferenceData!$AA$153),"")</f>
        <v>16190.956620000001</v>
      </c>
      <c r="AB153">
        <f ca="1">IFERROR(IF(0=LEN(ReferenceData!$AB$153),"",ReferenceData!$AB$153),"")</f>
        <v>14891.27564</v>
      </c>
      <c r="AC153">
        <f ca="1">IFERROR(IF(0=LEN(ReferenceData!$AC$153),"",ReferenceData!$AC$153),"")</f>
        <v>14504.054899999999</v>
      </c>
      <c r="AD153">
        <f ca="1">IFERROR(IF(0=LEN(ReferenceData!$AD$153),"",ReferenceData!$AD$153),"")</f>
        <v>65165.909879999999</v>
      </c>
      <c r="AE153">
        <f ca="1">IFERROR(IF(0=LEN(ReferenceData!$AE$153),"",ReferenceData!$AE$153),"")</f>
        <v>65971.241599999994</v>
      </c>
      <c r="AF153">
        <f ca="1">IFERROR(IF(0=LEN(ReferenceData!$AF$153),"",ReferenceData!$AF$153),"")</f>
        <v>15770.317719999999</v>
      </c>
      <c r="AG153">
        <f ca="1">IFERROR(IF(0=LEN(ReferenceData!$AG$153),"",ReferenceData!$AG$153),"")</f>
        <v>16427.354589999999</v>
      </c>
      <c r="AH153">
        <f ca="1">IFERROR(IF(0=LEN(ReferenceData!$AH$153),"",ReferenceData!$AH$153),"")</f>
        <v>15568.956910000001</v>
      </c>
      <c r="AI153" t="str">
        <f ca="1">IFERROR(IF(0=LEN(ReferenceData!$AI$153),"",ReferenceData!$AI$153),"")</f>
        <v/>
      </c>
      <c r="AJ153">
        <f ca="1">IFERROR(IF(0=LEN(ReferenceData!$AJ$153),"",ReferenceData!$AJ$153),"")</f>
        <v>270665.03110000002</v>
      </c>
      <c r="AK153" t="str">
        <f ca="1">IFERROR(IF(0=LEN(ReferenceData!$AK$153),"",ReferenceData!$AK$153),"")</f>
        <v/>
      </c>
      <c r="AL153">
        <f ca="1">IFERROR(IF(0=LEN(ReferenceData!$AL$153),"",ReferenceData!$AL$153),"")</f>
        <v>18423.049589999999</v>
      </c>
      <c r="AM153" t="str">
        <f ca="1">IFERROR(IF(0=LEN(ReferenceData!$AM$153),"",ReferenceData!$AM$153),"")</f>
        <v/>
      </c>
      <c r="AN153" t="str">
        <f ca="1">IFERROR(IF(0=LEN(ReferenceData!$AN$153),"",ReferenceData!$AN$153),"")</f>
        <v/>
      </c>
      <c r="AO153" t="str">
        <f ca="1">IFERROR(IF(0=LEN(ReferenceData!$AO$153),"",ReferenceData!$AO$153),"")</f>
        <v/>
      </c>
      <c r="AP153">
        <f ca="1">IFERROR(IF(0=LEN(ReferenceData!$AP$153),"",ReferenceData!$AP$153),"")</f>
        <v>19800.712899999999</v>
      </c>
      <c r="AQ153" t="str">
        <f ca="1">IFERROR(IF(0=LEN(ReferenceData!$AQ$153),"",ReferenceData!$AQ$153),"")</f>
        <v/>
      </c>
      <c r="AR153" t="str">
        <f ca="1">IFERROR(IF(0=LEN(ReferenceData!$AR$153),"",ReferenceData!$AR$153),"")</f>
        <v/>
      </c>
      <c r="AS153" t="str">
        <f ca="1">IFERROR(IF(0=LEN(ReferenceData!$AS$153),"",ReferenceData!$AS$153),"")</f>
        <v/>
      </c>
      <c r="AT153">
        <f ca="1">IFERROR(IF(0=LEN(ReferenceData!$AT$153),"",ReferenceData!$AT$153),"")</f>
        <v>18599.406790000001</v>
      </c>
      <c r="AU153" t="str">
        <f ca="1">IFERROR(IF(0=LEN(ReferenceData!$AU$153),"",ReferenceData!$AU$153),"")</f>
        <v/>
      </c>
      <c r="AV153" t="str">
        <f ca="1">IFERROR(IF(0=LEN(ReferenceData!$AV$153),"",ReferenceData!$AV$153),"")</f>
        <v/>
      </c>
      <c r="AW153" t="str">
        <f ca="1">IFERROR(IF(0=LEN(ReferenceData!$AW$153),"",ReferenceData!$AW$153),"")</f>
        <v/>
      </c>
      <c r="AX153">
        <f ca="1">IFERROR(IF(0=LEN(ReferenceData!$AX$153),"",ReferenceData!$AX$153),"")</f>
        <v>18539.276409999999</v>
      </c>
      <c r="AY153" t="str">
        <f ca="1">IFERROR(IF(0=LEN(ReferenceData!$AY$153),"",ReferenceData!$AY$153),"")</f>
        <v/>
      </c>
      <c r="AZ153" t="str">
        <f ca="1">IFERROR(IF(0=LEN(ReferenceData!$AZ$153),"",ReferenceData!$AZ$153),"")</f>
        <v/>
      </c>
      <c r="BA153" t="str">
        <f ca="1">IFERROR(IF(0=LEN(ReferenceData!$BA$153),"",ReferenceData!$BA$153),"")</f>
        <v/>
      </c>
      <c r="BB153">
        <f ca="1">IFERROR(IF(0=LEN(ReferenceData!$BB$153),"",ReferenceData!$BB$153),"")</f>
        <v>18575.844420000001</v>
      </c>
      <c r="BC153" t="str">
        <f ca="1">IFERROR(IF(0=LEN(ReferenceData!$BC$153),"",ReferenceData!$BC$153),"")</f>
        <v/>
      </c>
      <c r="BD153" t="str">
        <f ca="1">IFERROR(IF(0=LEN(ReferenceData!$BD$153),"",ReferenceData!$BD$153),"")</f>
        <v/>
      </c>
      <c r="BE153" t="str">
        <f ca="1">IFERROR(IF(0=LEN(ReferenceData!$BE$153),"",ReferenceData!$BE$153),"")</f>
        <v/>
      </c>
      <c r="BF153">
        <f ca="1">IFERROR(IF(0=LEN(ReferenceData!$BF$153),"",ReferenceData!$BF$153),"")</f>
        <v>17464.887739999998</v>
      </c>
      <c r="BG153" t="str">
        <f ca="1">IFERROR(IF(0=LEN(ReferenceData!$BG$153),"",ReferenceData!$BG$153),"")</f>
        <v/>
      </c>
      <c r="BH153" t="str">
        <f ca="1">IFERROR(IF(0=LEN(ReferenceData!$BH$153),"",ReferenceData!$BH$153),"")</f>
        <v/>
      </c>
      <c r="BI153" t="str">
        <f ca="1">IFERROR(IF(0=LEN(ReferenceData!$BI$153),"",ReferenceData!$BI$153),"")</f>
        <v/>
      </c>
      <c r="BJ153">
        <f ca="1">IFERROR(IF(0=LEN(ReferenceData!$BJ$153),"",ReferenceData!$BJ$153),"")</f>
        <v>16312.427739999999</v>
      </c>
      <c r="BK153" t="str">
        <f ca="1">IFERROR(IF(0=LEN(ReferenceData!$BK$153),"",ReferenceData!$BK$153),"")</f>
        <v/>
      </c>
      <c r="BL153" t="str">
        <f ca="1">IFERROR(IF(0=LEN(ReferenceData!$BL$153),"",ReferenceData!$BL$153),"")</f>
        <v/>
      </c>
      <c r="BM153" t="str">
        <f ca="1">IFERROR(IF(0=LEN(ReferenceData!$BM$153),"",ReferenceData!$BM$153),"")</f>
        <v/>
      </c>
    </row>
    <row r="154" spans="1:65" x14ac:dyDescent="0.25">
      <c r="A154" t="str">
        <f>IFERROR(IF(0=LEN(ReferenceData!$A$154),"",ReferenceData!$A$154),"")</f>
        <v xml:space="preserve">    UniCredit SpA</v>
      </c>
      <c r="B154" t="str">
        <f>IFERROR(IF(0=LEN(ReferenceData!$B$154),"",ReferenceData!$B$154),"")</f>
        <v>UCG IM Equity</v>
      </c>
      <c r="C154" t="str">
        <f>IFERROR(IF(0=LEN(ReferenceData!$C$154),"",ReferenceData!$C$154),"")</f>
        <v>BS016</v>
      </c>
      <c r="D154" t="str">
        <f>IFERROR(IF(0=LEN(ReferenceData!$D$154),"",ReferenceData!$D$154),"")</f>
        <v>BS_COMM_LOAN</v>
      </c>
      <c r="E154" t="str">
        <f>IFERROR(IF(0=LEN(ReferenceData!$E$154),"",ReferenceData!$E$154),"")</f>
        <v>Dynamic</v>
      </c>
      <c r="F154" t="str">
        <f ca="1">IFERROR(IF(0=LEN(ReferenceData!$F$154),"",ReferenceData!$F$154),"")</f>
        <v/>
      </c>
      <c r="G154" t="str">
        <f ca="1">IFERROR(IF(0=LEN(ReferenceData!$G$154),"",ReferenceData!$G$154),"")</f>
        <v/>
      </c>
      <c r="H154" t="str">
        <f ca="1">IFERROR(IF(0=LEN(ReferenceData!$H$154),"",ReferenceData!$H$154),"")</f>
        <v/>
      </c>
      <c r="I154" t="str">
        <f ca="1">IFERROR(IF(0=LEN(ReferenceData!$I$154),"",ReferenceData!$I$154),"")</f>
        <v/>
      </c>
      <c r="J154" t="str">
        <f ca="1">IFERROR(IF(0=LEN(ReferenceData!$J$154),"",ReferenceData!$J$154),"")</f>
        <v/>
      </c>
      <c r="K154" t="str">
        <f ca="1">IFERROR(IF(0=LEN(ReferenceData!$K$154),"",ReferenceData!$K$154),"")</f>
        <v/>
      </c>
      <c r="L154" t="str">
        <f ca="1">IFERROR(IF(0=LEN(ReferenceData!$L$154),"",ReferenceData!$L$154),"")</f>
        <v/>
      </c>
      <c r="M154" t="str">
        <f ca="1">IFERROR(IF(0=LEN(ReferenceData!$M$154),"",ReferenceData!$M$154),"")</f>
        <v/>
      </c>
      <c r="N154" t="str">
        <f ca="1">IFERROR(IF(0=LEN(ReferenceData!$N$154),"",ReferenceData!$N$154),"")</f>
        <v/>
      </c>
      <c r="O154" t="str">
        <f ca="1">IFERROR(IF(0=LEN(ReferenceData!$O$154),"",ReferenceData!$O$154),"")</f>
        <v/>
      </c>
      <c r="P154" t="str">
        <f ca="1">IFERROR(IF(0=LEN(ReferenceData!$P$154),"",ReferenceData!$P$154),"")</f>
        <v/>
      </c>
      <c r="Q154" t="str">
        <f ca="1">IFERROR(IF(0=LEN(ReferenceData!$Q$154),"",ReferenceData!$Q$154),"")</f>
        <v/>
      </c>
      <c r="R154" t="str">
        <f ca="1">IFERROR(IF(0=LEN(ReferenceData!$R$154),"",ReferenceData!$R$154),"")</f>
        <v/>
      </c>
      <c r="S154" t="str">
        <f ca="1">IFERROR(IF(0=LEN(ReferenceData!$S$154),"",ReferenceData!$S$154),"")</f>
        <v/>
      </c>
      <c r="T154" t="str">
        <f ca="1">IFERROR(IF(0=LEN(ReferenceData!$T$154),"",ReferenceData!$T$154),"")</f>
        <v/>
      </c>
      <c r="U154" t="str">
        <f ca="1">IFERROR(IF(0=LEN(ReferenceData!$U$154),"",ReferenceData!$U$154),"")</f>
        <v/>
      </c>
      <c r="V154" t="str">
        <f ca="1">IFERROR(IF(0=LEN(ReferenceData!$V$154),"",ReferenceData!$V$154),"")</f>
        <v/>
      </c>
      <c r="W154" t="str">
        <f ca="1">IFERROR(IF(0=LEN(ReferenceData!$W$154),"",ReferenceData!$W$154),"")</f>
        <v/>
      </c>
      <c r="X154" t="str">
        <f ca="1">IFERROR(IF(0=LEN(ReferenceData!$X$154),"",ReferenceData!$X$154),"")</f>
        <v/>
      </c>
      <c r="Y154" t="str">
        <f ca="1">IFERROR(IF(0=LEN(ReferenceData!$Y$154),"",ReferenceData!$Y$154),"")</f>
        <v/>
      </c>
      <c r="Z154" t="str">
        <f ca="1">IFERROR(IF(0=LEN(ReferenceData!$Z$154),"",ReferenceData!$Z$154),"")</f>
        <v/>
      </c>
      <c r="AA154" t="str">
        <f ca="1">IFERROR(IF(0=LEN(ReferenceData!$AA$154),"",ReferenceData!$AA$154),"")</f>
        <v/>
      </c>
      <c r="AB154" t="str">
        <f ca="1">IFERROR(IF(0=LEN(ReferenceData!$AB$154),"",ReferenceData!$AB$154),"")</f>
        <v/>
      </c>
      <c r="AC154" t="str">
        <f ca="1">IFERROR(IF(0=LEN(ReferenceData!$AC$154),"",ReferenceData!$AC$154),"")</f>
        <v/>
      </c>
      <c r="AD154" t="str">
        <f ca="1">IFERROR(IF(0=LEN(ReferenceData!$AD$154),"",ReferenceData!$AD$154),"")</f>
        <v/>
      </c>
      <c r="AE154" t="str">
        <f ca="1">IFERROR(IF(0=LEN(ReferenceData!$AE$154),"",ReferenceData!$AE$154),"")</f>
        <v/>
      </c>
      <c r="AF154" t="str">
        <f ca="1">IFERROR(IF(0=LEN(ReferenceData!$AF$154),"",ReferenceData!$AF$154),"")</f>
        <v/>
      </c>
      <c r="AG154" t="str">
        <f ca="1">IFERROR(IF(0=LEN(ReferenceData!$AG$154),"",ReferenceData!$AG$154),"")</f>
        <v/>
      </c>
      <c r="AH154" t="str">
        <f ca="1">IFERROR(IF(0=LEN(ReferenceData!$AH$154),"",ReferenceData!$AH$154),"")</f>
        <v/>
      </c>
      <c r="AI154" t="str">
        <f ca="1">IFERROR(IF(0=LEN(ReferenceData!$AI$154),"",ReferenceData!$AI$154),"")</f>
        <v/>
      </c>
      <c r="AJ154" t="str">
        <f ca="1">IFERROR(IF(0=LEN(ReferenceData!$AJ$154),"",ReferenceData!$AJ$154),"")</f>
        <v/>
      </c>
      <c r="AK154" t="str">
        <f ca="1">IFERROR(IF(0=LEN(ReferenceData!$AK$154),"",ReferenceData!$AK$154),"")</f>
        <v/>
      </c>
      <c r="AL154" t="str">
        <f ca="1">IFERROR(IF(0=LEN(ReferenceData!$AL$154),"",ReferenceData!$AL$154),"")</f>
        <v/>
      </c>
      <c r="AM154" t="str">
        <f ca="1">IFERROR(IF(0=LEN(ReferenceData!$AM$154),"",ReferenceData!$AM$154),"")</f>
        <v/>
      </c>
      <c r="AN154" t="str">
        <f ca="1">IFERROR(IF(0=LEN(ReferenceData!$AN$154),"",ReferenceData!$AN$154),"")</f>
        <v/>
      </c>
      <c r="AO154" t="str">
        <f ca="1">IFERROR(IF(0=LEN(ReferenceData!$AO$154),"",ReferenceData!$AO$154),"")</f>
        <v/>
      </c>
      <c r="AP154" t="str">
        <f ca="1">IFERROR(IF(0=LEN(ReferenceData!$AP$154),"",ReferenceData!$AP$154),"")</f>
        <v/>
      </c>
      <c r="AQ154" t="str">
        <f ca="1">IFERROR(IF(0=LEN(ReferenceData!$AQ$154),"",ReferenceData!$AQ$154),"")</f>
        <v/>
      </c>
      <c r="AR154" t="str">
        <f ca="1">IFERROR(IF(0=LEN(ReferenceData!$AR$154),"",ReferenceData!$AR$154),"")</f>
        <v/>
      </c>
      <c r="AS154" t="str">
        <f ca="1">IFERROR(IF(0=LEN(ReferenceData!$AS$154),"",ReferenceData!$AS$154),"")</f>
        <v/>
      </c>
      <c r="AT154" t="str">
        <f ca="1">IFERROR(IF(0=LEN(ReferenceData!$AT$154),"",ReferenceData!$AT$154),"")</f>
        <v/>
      </c>
      <c r="AU154" t="str">
        <f ca="1">IFERROR(IF(0=LEN(ReferenceData!$AU$154),"",ReferenceData!$AU$154),"")</f>
        <v/>
      </c>
      <c r="AV154" t="str">
        <f ca="1">IFERROR(IF(0=LEN(ReferenceData!$AV$154),"",ReferenceData!$AV$154),"")</f>
        <v/>
      </c>
      <c r="AW154" t="str">
        <f ca="1">IFERROR(IF(0=LEN(ReferenceData!$AW$154),"",ReferenceData!$AW$154),"")</f>
        <v/>
      </c>
      <c r="AX154" t="str">
        <f ca="1">IFERROR(IF(0=LEN(ReferenceData!$AX$154),"",ReferenceData!$AX$154),"")</f>
        <v/>
      </c>
      <c r="AY154" t="str">
        <f ca="1">IFERROR(IF(0=LEN(ReferenceData!$AY$154),"",ReferenceData!$AY$154),"")</f>
        <v/>
      </c>
      <c r="AZ154" t="str">
        <f ca="1">IFERROR(IF(0=LEN(ReferenceData!$AZ$154),"",ReferenceData!$AZ$154),"")</f>
        <v/>
      </c>
      <c r="BA154" t="str">
        <f ca="1">IFERROR(IF(0=LEN(ReferenceData!$BA$154),"",ReferenceData!$BA$154),"")</f>
        <v/>
      </c>
      <c r="BB154" t="str">
        <f ca="1">IFERROR(IF(0=LEN(ReferenceData!$BB$154),"",ReferenceData!$BB$154),"")</f>
        <v/>
      </c>
      <c r="BC154" t="str">
        <f ca="1">IFERROR(IF(0=LEN(ReferenceData!$BC$154),"",ReferenceData!$BC$154),"")</f>
        <v/>
      </c>
      <c r="BD154" t="str">
        <f ca="1">IFERROR(IF(0=LEN(ReferenceData!$BD$154),"",ReferenceData!$BD$154),"")</f>
        <v/>
      </c>
      <c r="BE154" t="str">
        <f ca="1">IFERROR(IF(0=LEN(ReferenceData!$BE$154),"",ReferenceData!$BE$154),"")</f>
        <v/>
      </c>
      <c r="BF154" t="str">
        <f ca="1">IFERROR(IF(0=LEN(ReferenceData!$BF$154),"",ReferenceData!$BF$154),"")</f>
        <v/>
      </c>
      <c r="BG154" t="str">
        <f ca="1">IFERROR(IF(0=LEN(ReferenceData!$BG$154),"",ReferenceData!$BG$154),"")</f>
        <v/>
      </c>
      <c r="BH154" t="str">
        <f ca="1">IFERROR(IF(0=LEN(ReferenceData!$BH$154),"",ReferenceData!$BH$154),"")</f>
        <v/>
      </c>
      <c r="BI154" t="str">
        <f ca="1">IFERROR(IF(0=LEN(ReferenceData!$BI$154),"",ReferenceData!$BI$154),"")</f>
        <v/>
      </c>
      <c r="BJ154" t="str">
        <f ca="1">IFERROR(IF(0=LEN(ReferenceData!$BJ$154),"",ReferenceData!$BJ$154),"")</f>
        <v/>
      </c>
      <c r="BK154" t="str">
        <f ca="1">IFERROR(IF(0=LEN(ReferenceData!$BK$154),"",ReferenceData!$BK$154),"")</f>
        <v/>
      </c>
      <c r="BL154" t="str">
        <f ca="1">IFERROR(IF(0=LEN(ReferenceData!$BL$154),"",ReferenceData!$BL$154),"")</f>
        <v/>
      </c>
      <c r="BM154" t="str">
        <f ca="1">IFERROR(IF(0=LEN(ReferenceData!$BM$154),"",ReferenceData!$BM$154),"")</f>
        <v/>
      </c>
    </row>
    <row r="155" spans="1:65" x14ac:dyDescent="0.25">
      <c r="A155" t="str">
        <f>IFERROR(IF(0=LEN(ReferenceData!$A$155),"",ReferenceData!$A$155),"")</f>
        <v>-- Other Loans</v>
      </c>
      <c r="B155" t="str">
        <f>IFERROR(IF(0=LEN(ReferenceData!$B$155),"",ReferenceData!$B$155),"")</f>
        <v/>
      </c>
      <c r="C155" t="str">
        <f>IFERROR(IF(0=LEN(ReferenceData!$C$155),"",ReferenceData!$C$155),"")</f>
        <v/>
      </c>
      <c r="D155" t="str">
        <f>IFERROR(IF(0=LEN(ReferenceData!$D$155),"",ReferenceData!$D$155),"")</f>
        <v/>
      </c>
      <c r="E155" t="str">
        <f>IFERROR(IF(0=LEN(ReferenceData!$E$155),"",ReferenceData!$E$155),"")</f>
        <v>Sum</v>
      </c>
      <c r="F155">
        <f ca="1">IFERROR(IF(0=LEN(ReferenceData!$F$155),"",ReferenceData!$F$155),"")</f>
        <v>1549250.0007471</v>
      </c>
      <c r="G155">
        <f ca="1">IFERROR(IF(0=LEN(ReferenceData!$G$155),"",ReferenceData!$G$155),"")</f>
        <v>972947.64792249992</v>
      </c>
      <c r="H155">
        <f ca="1">IFERROR(IF(0=LEN(ReferenceData!$H$155),"",ReferenceData!$H$155),"")</f>
        <v>1623944.6721661002</v>
      </c>
      <c r="I155">
        <f ca="1">IFERROR(IF(0=LEN(ReferenceData!$I$155),"",ReferenceData!$I$155),"")</f>
        <v>822852.70559999999</v>
      </c>
      <c r="J155">
        <f ca="1">IFERROR(IF(0=LEN(ReferenceData!$J$155),"",ReferenceData!$J$155),"")</f>
        <v>1755472.5487629999</v>
      </c>
      <c r="K155">
        <f ca="1">IFERROR(IF(0=LEN(ReferenceData!$K$155),"",ReferenceData!$K$155),"")</f>
        <v>876503.98858240002</v>
      </c>
      <c r="L155">
        <f ca="1">IFERROR(IF(0=LEN(ReferenceData!$L$155),"",ReferenceData!$L$155),"")</f>
        <v>1708445.6378373997</v>
      </c>
      <c r="M155">
        <f ca="1">IFERROR(IF(0=LEN(ReferenceData!$M$155),"",ReferenceData!$M$155),"")</f>
        <v>688500.61973100004</v>
      </c>
      <c r="N155">
        <f ca="1">IFERROR(IF(0=LEN(ReferenceData!$N$155),"",ReferenceData!$N$155),"")</f>
        <v>1711885.804334</v>
      </c>
      <c r="O155">
        <f ca="1">IFERROR(IF(0=LEN(ReferenceData!$O$155),"",ReferenceData!$O$155),"")</f>
        <v>710530.84584199998</v>
      </c>
      <c r="P155">
        <f ca="1">IFERROR(IF(0=LEN(ReferenceData!$P$155),"",ReferenceData!$P$155),"")</f>
        <v>1546106.6671808998</v>
      </c>
      <c r="Q155">
        <f ca="1">IFERROR(IF(0=LEN(ReferenceData!$Q$155),"",ReferenceData!$Q$155),"")</f>
        <v>967276.02128900005</v>
      </c>
      <c r="R155">
        <f ca="1">IFERROR(IF(0=LEN(ReferenceData!$R$155),"",ReferenceData!$R$155),"")</f>
        <v>1243264.6271856099</v>
      </c>
      <c r="S155">
        <f ca="1">IFERROR(IF(0=LEN(ReferenceData!$S$155),"",ReferenceData!$S$155),"")</f>
        <v>730652.00922369992</v>
      </c>
      <c r="T155">
        <f ca="1">IFERROR(IF(0=LEN(ReferenceData!$T$155),"",ReferenceData!$T$155),"")</f>
        <v>1558887.9055261603</v>
      </c>
      <c r="U155">
        <f ca="1">IFERROR(IF(0=LEN(ReferenceData!$U$155),"",ReferenceData!$U$155),"")</f>
        <v>740702.44497737987</v>
      </c>
      <c r="V155">
        <f ca="1">IFERROR(IF(0=LEN(ReferenceData!$V$155),"",ReferenceData!$V$155),"")</f>
        <v>1187971.2528008001</v>
      </c>
      <c r="W155">
        <f ca="1">IFERROR(IF(0=LEN(ReferenceData!$W$155),"",ReferenceData!$W$155),"")</f>
        <v>778913.19647326099</v>
      </c>
      <c r="X155">
        <f ca="1">IFERROR(IF(0=LEN(ReferenceData!$X$155),"",ReferenceData!$X$155),"")</f>
        <v>1220109.5956218201</v>
      </c>
      <c r="Y155">
        <f ca="1">IFERROR(IF(0=LEN(ReferenceData!$Y$155),"",ReferenceData!$Y$155),"")</f>
        <v>631663.38415497006</v>
      </c>
      <c r="Z155">
        <f ca="1">IFERROR(IF(0=LEN(ReferenceData!$Z$155),"",ReferenceData!$Z$155),"")</f>
        <v>1254673.253713618</v>
      </c>
      <c r="AA155">
        <f ca="1">IFERROR(IF(0=LEN(ReferenceData!$AA$155),"",ReferenceData!$AA$155),"")</f>
        <v>828178.740273142</v>
      </c>
      <c r="AB155">
        <f ca="1">IFERROR(IF(0=LEN(ReferenceData!$AB$155),"",ReferenceData!$AB$155),"")</f>
        <v>1309655.4855510998</v>
      </c>
      <c r="AC155">
        <f ca="1">IFERROR(IF(0=LEN(ReferenceData!$AC$155),"",ReferenceData!$AC$155),"")</f>
        <v>844920.48232646601</v>
      </c>
      <c r="AD155">
        <f ca="1">IFERROR(IF(0=LEN(ReferenceData!$AD$155),"",ReferenceData!$AD$155),"")</f>
        <v>1096908.0222920999</v>
      </c>
      <c r="AE155">
        <f ca="1">IFERROR(IF(0=LEN(ReferenceData!$AE$155),"",ReferenceData!$AE$155),"")</f>
        <v>681746.68114135996</v>
      </c>
      <c r="AF155">
        <f ca="1">IFERROR(IF(0=LEN(ReferenceData!$AF$155),"",ReferenceData!$AF$155),"")</f>
        <v>1333034.95433108</v>
      </c>
      <c r="AG155">
        <f ca="1">IFERROR(IF(0=LEN(ReferenceData!$AG$155),"",ReferenceData!$AG$155),"")</f>
        <v>860410.4278218</v>
      </c>
      <c r="AH155">
        <f ca="1">IFERROR(IF(0=LEN(ReferenceData!$AH$155),"",ReferenceData!$AH$155),"")</f>
        <v>949844.54386920016</v>
      </c>
      <c r="AI155">
        <f ca="1">IFERROR(IF(0=LEN(ReferenceData!$AI$155),"",ReferenceData!$AI$155),"")</f>
        <v>530861.51221493992</v>
      </c>
      <c r="AJ155">
        <f ca="1">IFERROR(IF(0=LEN(ReferenceData!$AJ$155),"",ReferenceData!$AJ$155),"")</f>
        <v>881592.4523318999</v>
      </c>
      <c r="AK155">
        <f ca="1">IFERROR(IF(0=LEN(ReferenceData!$AK$155),"",ReferenceData!$AK$155),"")</f>
        <v>310798.17174116999</v>
      </c>
      <c r="AL155">
        <f ca="1">IFERROR(IF(0=LEN(ReferenceData!$AL$155),"",ReferenceData!$AL$155),"")</f>
        <v>983566.95546780003</v>
      </c>
      <c r="AM155">
        <f ca="1">IFERROR(IF(0=LEN(ReferenceData!$AM$155),"",ReferenceData!$AM$155),"")</f>
        <v>516332.86066939007</v>
      </c>
      <c r="AN155">
        <f ca="1">IFERROR(IF(0=LEN(ReferenceData!$AN$155),"",ReferenceData!$AN$155),"")</f>
        <v>823403.72776889999</v>
      </c>
      <c r="AO155">
        <f ca="1">IFERROR(IF(0=LEN(ReferenceData!$AO$155),"",ReferenceData!$AO$155),"")</f>
        <v>746257.26108860003</v>
      </c>
      <c r="AP155">
        <f ca="1">IFERROR(IF(0=LEN(ReferenceData!$AP$155),"",ReferenceData!$AP$155),"")</f>
        <v>1288403.5728465002</v>
      </c>
      <c r="AQ155">
        <f ca="1">IFERROR(IF(0=LEN(ReferenceData!$AQ$155),"",ReferenceData!$AQ$155),"")</f>
        <v>514165.32513278007</v>
      </c>
      <c r="AR155">
        <f ca="1">IFERROR(IF(0=LEN(ReferenceData!$AR$155),"",ReferenceData!$AR$155),"")</f>
        <v>652356.23660159984</v>
      </c>
      <c r="AS155">
        <f ca="1">IFERROR(IF(0=LEN(ReferenceData!$AS$155),"",ReferenceData!$AS$155),"")</f>
        <v>490494.75922599999</v>
      </c>
      <c r="AT155">
        <f ca="1">IFERROR(IF(0=LEN(ReferenceData!$AT$155),"",ReferenceData!$AT$155),"")</f>
        <v>815299.1713327202</v>
      </c>
      <c r="AU155">
        <f ca="1">IFERROR(IF(0=LEN(ReferenceData!$AU$155),"",ReferenceData!$AU$155),"")</f>
        <v>516942.10949280002</v>
      </c>
      <c r="AV155">
        <f ca="1">IFERROR(IF(0=LEN(ReferenceData!$AV$155),"",ReferenceData!$AV$155),"")</f>
        <v>708722.05516462016</v>
      </c>
      <c r="AW155">
        <f ca="1">IFERROR(IF(0=LEN(ReferenceData!$AW$155),"",ReferenceData!$AW$155),"")</f>
        <v>530342.31988829991</v>
      </c>
      <c r="AX155">
        <f ca="1">IFERROR(IF(0=LEN(ReferenceData!$AX$155),"",ReferenceData!$AX$155),"")</f>
        <v>800687.47536309005</v>
      </c>
      <c r="AY155">
        <f ca="1">IFERROR(IF(0=LEN(ReferenceData!$AY$155),"",ReferenceData!$AY$155),"")</f>
        <v>573511.34714950004</v>
      </c>
      <c r="AZ155">
        <f ca="1">IFERROR(IF(0=LEN(ReferenceData!$AZ$155),"",ReferenceData!$AZ$155),"")</f>
        <v>615392.41135069996</v>
      </c>
      <c r="BA155">
        <f ca="1">IFERROR(IF(0=LEN(ReferenceData!$BA$155),"",ReferenceData!$BA$155),"")</f>
        <v>550205.3690372</v>
      </c>
      <c r="BB155">
        <f ca="1">IFERROR(IF(0=LEN(ReferenceData!$BB$155),"",ReferenceData!$BB$155),"")</f>
        <v>756217.1201768301</v>
      </c>
      <c r="BC155">
        <f ca="1">IFERROR(IF(0=LEN(ReferenceData!$BC$155),"",ReferenceData!$BC$155),"")</f>
        <v>544214.35880839999</v>
      </c>
      <c r="BD155">
        <f ca="1">IFERROR(IF(0=LEN(ReferenceData!$BD$155),"",ReferenceData!$BD$155),"")</f>
        <v>530718.21512280009</v>
      </c>
      <c r="BE155">
        <f ca="1">IFERROR(IF(0=LEN(ReferenceData!$BE$155),"",ReferenceData!$BE$155),"")</f>
        <v>590428.83283209999</v>
      </c>
      <c r="BF155">
        <f ca="1">IFERROR(IF(0=LEN(ReferenceData!$BF$155),"",ReferenceData!$BF$155),"")</f>
        <v>748248.72433639993</v>
      </c>
      <c r="BG155">
        <f ca="1">IFERROR(IF(0=LEN(ReferenceData!$BG$155),"",ReferenceData!$BG$155),"")</f>
        <v>593030.31038699998</v>
      </c>
      <c r="BH155">
        <f ca="1">IFERROR(IF(0=LEN(ReferenceData!$BH$155),"",ReferenceData!$BH$155),"")</f>
        <v>659316.48517700005</v>
      </c>
      <c r="BI155">
        <f ca="1">IFERROR(IF(0=LEN(ReferenceData!$BI$155),"",ReferenceData!$BI$155),"")</f>
        <v>637133.51360699988</v>
      </c>
      <c r="BJ155">
        <f ca="1">IFERROR(IF(0=LEN(ReferenceData!$BJ$155),"",ReferenceData!$BJ$155),"")</f>
        <v>667680.49055159697</v>
      </c>
      <c r="BK155">
        <f ca="1">IFERROR(IF(0=LEN(ReferenceData!$BK$155),"",ReferenceData!$BK$155),"")</f>
        <v>583757.09909999999</v>
      </c>
      <c r="BL155">
        <f ca="1">IFERROR(IF(0=LEN(ReferenceData!$BL$155),"",ReferenceData!$BL$155),"")</f>
        <v>619411.74018399999</v>
      </c>
      <c r="BM155">
        <f ca="1">IFERROR(IF(0=LEN(ReferenceData!$BM$155),"",ReferenceData!$BM$155),"")</f>
        <v>436350.95699999999</v>
      </c>
    </row>
    <row r="156" spans="1:65" x14ac:dyDescent="0.25">
      <c r="A156" t="str">
        <f>IFERROR(IF(0=LEN(ReferenceData!$A$156),"",ReferenceData!$A$156),"")</f>
        <v xml:space="preserve">    ABN AMRO Bank NV</v>
      </c>
      <c r="B156" t="str">
        <f>IFERROR(IF(0=LEN(ReferenceData!$B$156),"",ReferenceData!$B$156),"")</f>
        <v>ABN NA Equity</v>
      </c>
      <c r="C156" t="str">
        <f>IFERROR(IF(0=LEN(ReferenceData!$C$156),"",ReferenceData!$C$156),"")</f>
        <v>BS018</v>
      </c>
      <c r="D156" t="str">
        <f>IFERROR(IF(0=LEN(ReferenceData!$D$156),"",ReferenceData!$D$156),"")</f>
        <v>BS_OTHER_LOAN</v>
      </c>
      <c r="E156" t="str">
        <f>IFERROR(IF(0=LEN(ReferenceData!$E$156),"",ReferenceData!$E$156),"")</f>
        <v>Dynamic</v>
      </c>
      <c r="F156">
        <f ca="1">IFERROR(IF(0=LEN(ReferenceData!$F$156),"",ReferenceData!$F$156),"")</f>
        <v>0</v>
      </c>
      <c r="G156">
        <f ca="1">IFERROR(IF(0=LEN(ReferenceData!$G$156),"",ReferenceData!$G$156),"")</f>
        <v>0</v>
      </c>
      <c r="H156">
        <f ca="1">IFERROR(IF(0=LEN(ReferenceData!$H$156),"",ReferenceData!$H$156),"")</f>
        <v>0</v>
      </c>
      <c r="I156" t="str">
        <f ca="1">IFERROR(IF(0=LEN(ReferenceData!$I$156),"",ReferenceData!$I$156),"")</f>
        <v/>
      </c>
      <c r="J156" t="str">
        <f ca="1">IFERROR(IF(0=LEN(ReferenceData!$J$156),"",ReferenceData!$J$156),"")</f>
        <v/>
      </c>
      <c r="K156" t="str">
        <f ca="1">IFERROR(IF(0=LEN(ReferenceData!$K$156),"",ReferenceData!$K$156),"")</f>
        <v/>
      </c>
      <c r="L156" t="str">
        <f ca="1">IFERROR(IF(0=LEN(ReferenceData!$L$156),"",ReferenceData!$L$156),"")</f>
        <v/>
      </c>
      <c r="M156" t="str">
        <f ca="1">IFERROR(IF(0=LEN(ReferenceData!$M$156),"",ReferenceData!$M$156),"")</f>
        <v/>
      </c>
      <c r="N156" t="str">
        <f ca="1">IFERROR(IF(0=LEN(ReferenceData!$N$156),"",ReferenceData!$N$156),"")</f>
        <v/>
      </c>
      <c r="O156" t="str">
        <f ca="1">IFERROR(IF(0=LEN(ReferenceData!$O$156),"",ReferenceData!$O$156),"")</f>
        <v/>
      </c>
      <c r="P156" t="str">
        <f ca="1">IFERROR(IF(0=LEN(ReferenceData!$P$156),"",ReferenceData!$P$156),"")</f>
        <v/>
      </c>
      <c r="Q156" t="str">
        <f ca="1">IFERROR(IF(0=LEN(ReferenceData!$Q$156),"",ReferenceData!$Q$156),"")</f>
        <v/>
      </c>
      <c r="R156">
        <f ca="1">IFERROR(IF(0=LEN(ReferenceData!$R$156),"",ReferenceData!$R$156),"")</f>
        <v>1951</v>
      </c>
      <c r="S156">
        <f ca="1">IFERROR(IF(0=LEN(ReferenceData!$S$156),"",ReferenceData!$S$156),"")</f>
        <v>2490</v>
      </c>
      <c r="T156">
        <f ca="1">IFERROR(IF(0=LEN(ReferenceData!$T$156),"",ReferenceData!$T$156),"")</f>
        <v>2804</v>
      </c>
      <c r="U156">
        <f ca="1">IFERROR(IF(0=LEN(ReferenceData!$U$156),"",ReferenceData!$U$156),"")</f>
        <v>3014</v>
      </c>
      <c r="V156">
        <f ca="1">IFERROR(IF(0=LEN(ReferenceData!$V$156),"",ReferenceData!$V$156),"")</f>
        <v>3838</v>
      </c>
      <c r="W156">
        <f ca="1">IFERROR(IF(0=LEN(ReferenceData!$W$156),"",ReferenceData!$W$156),"")</f>
        <v>3911</v>
      </c>
      <c r="X156">
        <f ca="1">IFERROR(IF(0=LEN(ReferenceData!$X$156),"",ReferenceData!$X$156),"")</f>
        <v>8903</v>
      </c>
      <c r="Y156">
        <f ca="1">IFERROR(IF(0=LEN(ReferenceData!$Y$156),"",ReferenceData!$Y$156),"")</f>
        <v>3659</v>
      </c>
      <c r="Z156">
        <f ca="1">IFERROR(IF(0=LEN(ReferenceData!$Z$156),"",ReferenceData!$Z$156),"")</f>
        <v>3342</v>
      </c>
      <c r="AA156">
        <f ca="1">IFERROR(IF(0=LEN(ReferenceData!$AA$156),"",ReferenceData!$AA$156),"")</f>
        <v>4452</v>
      </c>
      <c r="AB156">
        <f ca="1">IFERROR(IF(0=LEN(ReferenceData!$AB$156),"",ReferenceData!$AB$156),"")</f>
        <v>6527</v>
      </c>
      <c r="AC156">
        <f ca="1">IFERROR(IF(0=LEN(ReferenceData!$AC$156),"",ReferenceData!$AC$156),"")</f>
        <v>3434</v>
      </c>
      <c r="AD156">
        <f ca="1">IFERROR(IF(0=LEN(ReferenceData!$AD$156),"",ReferenceData!$AD$156),"")</f>
        <v>3185</v>
      </c>
      <c r="AE156">
        <f ca="1">IFERROR(IF(0=LEN(ReferenceData!$AE$156),"",ReferenceData!$AE$156),"")</f>
        <v>3150</v>
      </c>
      <c r="AF156">
        <f ca="1">IFERROR(IF(0=LEN(ReferenceData!$AF$156),"",ReferenceData!$AF$156),"")</f>
        <v>5857</v>
      </c>
      <c r="AG156">
        <f ca="1">IFERROR(IF(0=LEN(ReferenceData!$AG$156),"",ReferenceData!$AG$156),"")</f>
        <v>9964</v>
      </c>
      <c r="AH156">
        <f ca="1">IFERROR(IF(0=LEN(ReferenceData!$AH$156),"",ReferenceData!$AH$156),"")</f>
        <v>8975</v>
      </c>
      <c r="AI156">
        <f ca="1">IFERROR(IF(0=LEN(ReferenceData!$AI$156),"",ReferenceData!$AI$156),"")</f>
        <v>11893</v>
      </c>
      <c r="AJ156">
        <f ca="1">IFERROR(IF(0=LEN(ReferenceData!$AJ$156),"",ReferenceData!$AJ$156),"")</f>
        <v>11569</v>
      </c>
      <c r="AK156">
        <f ca="1">IFERROR(IF(0=LEN(ReferenceData!$AK$156),"",ReferenceData!$AK$156),"")</f>
        <v>12443</v>
      </c>
      <c r="AL156">
        <f ca="1">IFERROR(IF(0=LEN(ReferenceData!$AL$156),"",ReferenceData!$AL$156),"")</f>
        <v>7447</v>
      </c>
      <c r="AM156">
        <f ca="1">IFERROR(IF(0=LEN(ReferenceData!$AM$156),"",ReferenceData!$AM$156),"")</f>
        <v>30232</v>
      </c>
      <c r="AN156">
        <f ca="1">IFERROR(IF(0=LEN(ReferenceData!$AN$156),"",ReferenceData!$AN$156),"")</f>
        <v>8680</v>
      </c>
      <c r="AO156">
        <f ca="1">IFERROR(IF(0=LEN(ReferenceData!$AO$156),"",ReferenceData!$AO$156),"")</f>
        <v>13421</v>
      </c>
      <c r="AP156">
        <f ca="1">IFERROR(IF(0=LEN(ReferenceData!$AP$156),"",ReferenceData!$AP$156),"")</f>
        <v>6357</v>
      </c>
      <c r="AQ156">
        <f ca="1">IFERROR(IF(0=LEN(ReferenceData!$AQ$156),"",ReferenceData!$AQ$156),"")</f>
        <v>7255</v>
      </c>
      <c r="AR156">
        <f ca="1">IFERROR(IF(0=LEN(ReferenceData!$AR$156),"",ReferenceData!$AR$156),"")</f>
        <v>8421</v>
      </c>
      <c r="AS156" t="str">
        <f ca="1">IFERROR(IF(0=LEN(ReferenceData!$AS$156),"",ReferenceData!$AS$156),"")</f>
        <v/>
      </c>
      <c r="AT156">
        <f ca="1">IFERROR(IF(0=LEN(ReferenceData!$AT$156),"",ReferenceData!$AT$156),"")</f>
        <v>259</v>
      </c>
      <c r="AU156">
        <f ca="1">IFERROR(IF(0=LEN(ReferenceData!$AU$156),"",ReferenceData!$AU$156),"")</f>
        <v>43405</v>
      </c>
      <c r="AV156">
        <f ca="1">IFERROR(IF(0=LEN(ReferenceData!$AV$156),"",ReferenceData!$AV$156),"")</f>
        <v>33368</v>
      </c>
      <c r="AW156">
        <f ca="1">IFERROR(IF(0=LEN(ReferenceData!$AW$156),"",ReferenceData!$AW$156),"")</f>
        <v>29127</v>
      </c>
      <c r="AX156">
        <f ca="1">IFERROR(IF(0=LEN(ReferenceData!$AX$156),"",ReferenceData!$AX$156),"")</f>
        <v>2821</v>
      </c>
      <c r="AY156">
        <f ca="1">IFERROR(IF(0=LEN(ReferenceData!$AY$156),"",ReferenceData!$AY$156),"")</f>
        <v>22001</v>
      </c>
      <c r="AZ156">
        <f ca="1">IFERROR(IF(0=LEN(ReferenceData!$AZ$156),"",ReferenceData!$AZ$156),"")</f>
        <v>32258</v>
      </c>
      <c r="BA156">
        <f ca="1">IFERROR(IF(0=LEN(ReferenceData!$BA$156),"",ReferenceData!$BA$156),"")</f>
        <v>1217</v>
      </c>
      <c r="BB156">
        <f ca="1">IFERROR(IF(0=LEN(ReferenceData!$BB$156),"",ReferenceData!$BB$156),"")</f>
        <v>18764</v>
      </c>
      <c r="BC156" t="str">
        <f ca="1">IFERROR(IF(0=LEN(ReferenceData!$BC$156),"",ReferenceData!$BC$156),"")</f>
        <v/>
      </c>
      <c r="BD156" t="str">
        <f ca="1">IFERROR(IF(0=LEN(ReferenceData!$BD$156),"",ReferenceData!$BD$156),"")</f>
        <v/>
      </c>
      <c r="BE156" t="str">
        <f ca="1">IFERROR(IF(0=LEN(ReferenceData!$BE$156),"",ReferenceData!$BE$156),"")</f>
        <v/>
      </c>
      <c r="BF156" t="str">
        <f ca="1">IFERROR(IF(0=LEN(ReferenceData!$BF$156),"",ReferenceData!$BF$156),"")</f>
        <v/>
      </c>
      <c r="BG156" t="str">
        <f ca="1">IFERROR(IF(0=LEN(ReferenceData!$BG$156),"",ReferenceData!$BG$156),"")</f>
        <v/>
      </c>
      <c r="BH156" t="str">
        <f ca="1">IFERROR(IF(0=LEN(ReferenceData!$BH$156),"",ReferenceData!$BH$156),"")</f>
        <v/>
      </c>
      <c r="BI156" t="str">
        <f ca="1">IFERROR(IF(0=LEN(ReferenceData!$BI$156),"",ReferenceData!$BI$156),"")</f>
        <v/>
      </c>
      <c r="BJ156" t="str">
        <f ca="1">IFERROR(IF(0=LEN(ReferenceData!$BJ$156),"",ReferenceData!$BJ$156),"")</f>
        <v/>
      </c>
      <c r="BK156" t="str">
        <f ca="1">IFERROR(IF(0=LEN(ReferenceData!$BK$156),"",ReferenceData!$BK$156),"")</f>
        <v/>
      </c>
      <c r="BL156" t="str">
        <f ca="1">IFERROR(IF(0=LEN(ReferenceData!$BL$156),"",ReferenceData!$BL$156),"")</f>
        <v/>
      </c>
      <c r="BM156" t="str">
        <f ca="1">IFERROR(IF(0=LEN(ReferenceData!$BM$156),"",ReferenceData!$BM$156),"")</f>
        <v/>
      </c>
    </row>
    <row r="157" spans="1:65" x14ac:dyDescent="0.25">
      <c r="A157" t="str">
        <f>IFERROR(IF(0=LEN(ReferenceData!$A$157),"",ReferenceData!$A$157),"")</f>
        <v xml:space="preserve">    AIB Group PLC</v>
      </c>
      <c r="B157" t="str">
        <f>IFERROR(IF(0=LEN(ReferenceData!$B$157),"",ReferenceData!$B$157),"")</f>
        <v>AIBG ID Equity</v>
      </c>
      <c r="C157" t="str">
        <f>IFERROR(IF(0=LEN(ReferenceData!$C$157),"",ReferenceData!$C$157),"")</f>
        <v>BS018</v>
      </c>
      <c r="D157" t="str">
        <f>IFERROR(IF(0=LEN(ReferenceData!$D$157),"",ReferenceData!$D$157),"")</f>
        <v>BS_OTHER_LOAN</v>
      </c>
      <c r="E157" t="str">
        <f>IFERROR(IF(0=LEN(ReferenceData!$E$157),"",ReferenceData!$E$157),"")</f>
        <v>Dynamic</v>
      </c>
      <c r="F157" t="str">
        <f ca="1">IFERROR(IF(0=LEN(ReferenceData!$F$157),"",ReferenceData!$F$157),"")</f>
        <v/>
      </c>
      <c r="G157" t="str">
        <f ca="1">IFERROR(IF(0=LEN(ReferenceData!$G$157),"",ReferenceData!$G$157),"")</f>
        <v/>
      </c>
      <c r="H157" t="str">
        <f ca="1">IFERROR(IF(0=LEN(ReferenceData!$H$157),"",ReferenceData!$H$157),"")</f>
        <v/>
      </c>
      <c r="I157" t="str">
        <f ca="1">IFERROR(IF(0=LEN(ReferenceData!$I$157),"",ReferenceData!$I$157),"")</f>
        <v/>
      </c>
      <c r="J157" t="str">
        <f ca="1">IFERROR(IF(0=LEN(ReferenceData!$J$157),"",ReferenceData!$J$157),"")</f>
        <v/>
      </c>
      <c r="K157" t="str">
        <f ca="1">IFERROR(IF(0=LEN(ReferenceData!$K$157),"",ReferenceData!$K$157),"")</f>
        <v/>
      </c>
      <c r="L157" t="str">
        <f ca="1">IFERROR(IF(0=LEN(ReferenceData!$L$157),"",ReferenceData!$L$157),"")</f>
        <v/>
      </c>
      <c r="M157" t="str">
        <f ca="1">IFERROR(IF(0=LEN(ReferenceData!$M$157),"",ReferenceData!$M$157),"")</f>
        <v/>
      </c>
      <c r="N157" t="str">
        <f ca="1">IFERROR(IF(0=LEN(ReferenceData!$N$157),"",ReferenceData!$N$157),"")</f>
        <v/>
      </c>
      <c r="O157" t="str">
        <f ca="1">IFERROR(IF(0=LEN(ReferenceData!$O$157),"",ReferenceData!$O$157),"")</f>
        <v/>
      </c>
      <c r="P157" t="str">
        <f ca="1">IFERROR(IF(0=LEN(ReferenceData!$P$157),"",ReferenceData!$P$157),"")</f>
        <v/>
      </c>
      <c r="Q157" t="str">
        <f ca="1">IFERROR(IF(0=LEN(ReferenceData!$Q$157),"",ReferenceData!$Q$157),"")</f>
        <v/>
      </c>
      <c r="R157" t="str">
        <f ca="1">IFERROR(IF(0=LEN(ReferenceData!$R$157),"",ReferenceData!$R$157),"")</f>
        <v/>
      </c>
      <c r="S157" t="str">
        <f ca="1">IFERROR(IF(0=LEN(ReferenceData!$S$157),"",ReferenceData!$S$157),"")</f>
        <v/>
      </c>
      <c r="T157" t="str">
        <f ca="1">IFERROR(IF(0=LEN(ReferenceData!$T$157),"",ReferenceData!$T$157),"")</f>
        <v/>
      </c>
      <c r="U157" t="str">
        <f ca="1">IFERROR(IF(0=LEN(ReferenceData!$U$157),"",ReferenceData!$U$157),"")</f>
        <v/>
      </c>
      <c r="V157" t="str">
        <f ca="1">IFERROR(IF(0=LEN(ReferenceData!$V$157),"",ReferenceData!$V$157),"")</f>
        <v/>
      </c>
      <c r="W157" t="str">
        <f ca="1">IFERROR(IF(0=LEN(ReferenceData!$W$157),"",ReferenceData!$W$157),"")</f>
        <v/>
      </c>
      <c r="X157" t="str">
        <f ca="1">IFERROR(IF(0=LEN(ReferenceData!$X$157),"",ReferenceData!$X$157),"")</f>
        <v/>
      </c>
      <c r="Y157" t="str">
        <f ca="1">IFERROR(IF(0=LEN(ReferenceData!$Y$157),"",ReferenceData!$Y$157),"")</f>
        <v/>
      </c>
      <c r="Z157" t="str">
        <f ca="1">IFERROR(IF(0=LEN(ReferenceData!$Z$157),"",ReferenceData!$Z$157),"")</f>
        <v/>
      </c>
      <c r="AA157" t="str">
        <f ca="1">IFERROR(IF(0=LEN(ReferenceData!$AA$157),"",ReferenceData!$AA$157),"")</f>
        <v/>
      </c>
      <c r="AB157" t="str">
        <f ca="1">IFERROR(IF(0=LEN(ReferenceData!$AB$157),"",ReferenceData!$AB$157),"")</f>
        <v/>
      </c>
      <c r="AC157" t="str">
        <f ca="1">IFERROR(IF(0=LEN(ReferenceData!$AC$157),"",ReferenceData!$AC$157),"")</f>
        <v/>
      </c>
      <c r="AD157" t="str">
        <f ca="1">IFERROR(IF(0=LEN(ReferenceData!$AD$157),"",ReferenceData!$AD$157),"")</f>
        <v/>
      </c>
      <c r="AE157" t="str">
        <f ca="1">IFERROR(IF(0=LEN(ReferenceData!$AE$157),"",ReferenceData!$AE$157),"")</f>
        <v/>
      </c>
      <c r="AF157" t="str">
        <f ca="1">IFERROR(IF(0=LEN(ReferenceData!$AF$157),"",ReferenceData!$AF$157),"")</f>
        <v/>
      </c>
      <c r="AG157" t="str">
        <f ca="1">IFERROR(IF(0=LEN(ReferenceData!$AG$157),"",ReferenceData!$AG$157),"")</f>
        <v/>
      </c>
      <c r="AH157" t="str">
        <f ca="1">IFERROR(IF(0=LEN(ReferenceData!$AH$157),"",ReferenceData!$AH$157),"")</f>
        <v/>
      </c>
      <c r="AI157" t="str">
        <f ca="1">IFERROR(IF(0=LEN(ReferenceData!$AI$157),"",ReferenceData!$AI$157),"")</f>
        <v/>
      </c>
      <c r="AJ157" t="str">
        <f ca="1">IFERROR(IF(0=LEN(ReferenceData!$AJ$157),"",ReferenceData!$AJ$157),"")</f>
        <v/>
      </c>
      <c r="AK157" t="str">
        <f ca="1">IFERROR(IF(0=LEN(ReferenceData!$AK$157),"",ReferenceData!$AK$157),"")</f>
        <v/>
      </c>
      <c r="AL157" t="str">
        <f ca="1">IFERROR(IF(0=LEN(ReferenceData!$AL$157),"",ReferenceData!$AL$157),"")</f>
        <v/>
      </c>
      <c r="AM157" t="str">
        <f ca="1">IFERROR(IF(0=LEN(ReferenceData!$AM$157),"",ReferenceData!$AM$157),"")</f>
        <v/>
      </c>
      <c r="AN157" t="str">
        <f ca="1">IFERROR(IF(0=LEN(ReferenceData!$AN$157),"",ReferenceData!$AN$157),"")</f>
        <v/>
      </c>
      <c r="AO157" t="str">
        <f ca="1">IFERROR(IF(0=LEN(ReferenceData!$AO$157),"",ReferenceData!$AO$157),"")</f>
        <v/>
      </c>
      <c r="AP157" t="str">
        <f ca="1">IFERROR(IF(0=LEN(ReferenceData!$AP$157),"",ReferenceData!$AP$157),"")</f>
        <v/>
      </c>
      <c r="AQ157" t="str">
        <f ca="1">IFERROR(IF(0=LEN(ReferenceData!$AQ$157),"",ReferenceData!$AQ$157),"")</f>
        <v/>
      </c>
      <c r="AR157" t="str">
        <f ca="1">IFERROR(IF(0=LEN(ReferenceData!$AR$157),"",ReferenceData!$AR$157),"")</f>
        <v/>
      </c>
      <c r="AS157" t="str">
        <f ca="1">IFERROR(IF(0=LEN(ReferenceData!$AS$157),"",ReferenceData!$AS$157),"")</f>
        <v/>
      </c>
      <c r="AT157" t="str">
        <f ca="1">IFERROR(IF(0=LEN(ReferenceData!$AT$157),"",ReferenceData!$AT$157),"")</f>
        <v/>
      </c>
      <c r="AU157" t="str">
        <f ca="1">IFERROR(IF(0=LEN(ReferenceData!$AU$157),"",ReferenceData!$AU$157),"")</f>
        <v/>
      </c>
      <c r="AV157" t="str">
        <f ca="1">IFERROR(IF(0=LEN(ReferenceData!$AV$157),"",ReferenceData!$AV$157),"")</f>
        <v/>
      </c>
      <c r="AW157" t="str">
        <f ca="1">IFERROR(IF(0=LEN(ReferenceData!$AW$157),"",ReferenceData!$AW$157),"")</f>
        <v/>
      </c>
      <c r="AX157" t="str">
        <f ca="1">IFERROR(IF(0=LEN(ReferenceData!$AX$157),"",ReferenceData!$AX$157),"")</f>
        <v/>
      </c>
      <c r="AY157" t="str">
        <f ca="1">IFERROR(IF(0=LEN(ReferenceData!$AY$157),"",ReferenceData!$AY$157),"")</f>
        <v/>
      </c>
      <c r="AZ157" t="str">
        <f ca="1">IFERROR(IF(0=LEN(ReferenceData!$AZ$157),"",ReferenceData!$AZ$157),"")</f>
        <v/>
      </c>
      <c r="BA157" t="str">
        <f ca="1">IFERROR(IF(0=LEN(ReferenceData!$BA$157),"",ReferenceData!$BA$157),"")</f>
        <v/>
      </c>
      <c r="BB157" t="str">
        <f ca="1">IFERROR(IF(0=LEN(ReferenceData!$BB$157),"",ReferenceData!$BB$157),"")</f>
        <v/>
      </c>
      <c r="BC157" t="str">
        <f ca="1">IFERROR(IF(0=LEN(ReferenceData!$BC$157),"",ReferenceData!$BC$157),"")</f>
        <v/>
      </c>
      <c r="BD157" t="str">
        <f ca="1">IFERROR(IF(0=LEN(ReferenceData!$BD$157),"",ReferenceData!$BD$157),"")</f>
        <v/>
      </c>
      <c r="BE157" t="str">
        <f ca="1">IFERROR(IF(0=LEN(ReferenceData!$BE$157),"",ReferenceData!$BE$157),"")</f>
        <v/>
      </c>
      <c r="BF157" t="str">
        <f ca="1">IFERROR(IF(0=LEN(ReferenceData!$BF$157),"",ReferenceData!$BF$157),"")</f>
        <v/>
      </c>
      <c r="BG157" t="str">
        <f ca="1">IFERROR(IF(0=LEN(ReferenceData!$BG$157),"",ReferenceData!$BG$157),"")</f>
        <v/>
      </c>
      <c r="BH157" t="str">
        <f ca="1">IFERROR(IF(0=LEN(ReferenceData!$BH$157),"",ReferenceData!$BH$157),"")</f>
        <v/>
      </c>
      <c r="BI157" t="str">
        <f ca="1">IFERROR(IF(0=LEN(ReferenceData!$BI$157),"",ReferenceData!$BI$157),"")</f>
        <v/>
      </c>
      <c r="BJ157" t="str">
        <f ca="1">IFERROR(IF(0=LEN(ReferenceData!$BJ$157),"",ReferenceData!$BJ$157),"")</f>
        <v/>
      </c>
      <c r="BK157" t="str">
        <f ca="1">IFERROR(IF(0=LEN(ReferenceData!$BK$157),"",ReferenceData!$BK$157),"")</f>
        <v/>
      </c>
      <c r="BL157" t="str">
        <f ca="1">IFERROR(IF(0=LEN(ReferenceData!$BL$157),"",ReferenceData!$BL$157),"")</f>
        <v/>
      </c>
      <c r="BM157" t="str">
        <f ca="1">IFERROR(IF(0=LEN(ReferenceData!$BM$157),"",ReferenceData!$BM$157),"")</f>
        <v/>
      </c>
    </row>
    <row r="158" spans="1:65" x14ac:dyDescent="0.25">
      <c r="A158" t="str">
        <f>IFERROR(IF(0=LEN(ReferenceData!$A$158),"",ReferenceData!$A$158),"")</f>
        <v xml:space="preserve">    Banco de Sabadell SA</v>
      </c>
      <c r="B158" t="str">
        <f>IFERROR(IF(0=LEN(ReferenceData!$B$158),"",ReferenceData!$B$158),"")</f>
        <v>SAB SM Equity</v>
      </c>
      <c r="C158" t="str">
        <f>IFERROR(IF(0=LEN(ReferenceData!$C$158),"",ReferenceData!$C$158),"")</f>
        <v>BS018</v>
      </c>
      <c r="D158" t="str">
        <f>IFERROR(IF(0=LEN(ReferenceData!$D$158),"",ReferenceData!$D$158),"")</f>
        <v>BS_OTHER_LOAN</v>
      </c>
      <c r="E158" t="str">
        <f>IFERROR(IF(0=LEN(ReferenceData!$E$158),"",ReferenceData!$E$158),"")</f>
        <v>Dynamic</v>
      </c>
      <c r="F158">
        <f ca="1">IFERROR(IF(0=LEN(ReferenceData!$F$158),"",ReferenceData!$F$158),"")</f>
        <v>55378.385000000002</v>
      </c>
      <c r="G158">
        <f ca="1">IFERROR(IF(0=LEN(ReferenceData!$G$158),"",ReferenceData!$G$158),"")</f>
        <v>12682</v>
      </c>
      <c r="H158">
        <f ca="1">IFERROR(IF(0=LEN(ReferenceData!$H$158),"",ReferenceData!$H$158),"")</f>
        <v>13246</v>
      </c>
      <c r="I158">
        <f ca="1">IFERROR(IF(0=LEN(ReferenceData!$I$158),"",ReferenceData!$I$158),"")</f>
        <v>13184</v>
      </c>
      <c r="J158">
        <f ca="1">IFERROR(IF(0=LEN(ReferenceData!$J$158),"",ReferenceData!$J$158),"")</f>
        <v>54033.925999999999</v>
      </c>
      <c r="K158">
        <f ca="1">IFERROR(IF(0=LEN(ReferenceData!$K$158),"",ReferenceData!$K$158),"")</f>
        <v>13543</v>
      </c>
      <c r="L158">
        <f ca="1">IFERROR(IF(0=LEN(ReferenceData!$L$158),"",ReferenceData!$L$158),"")</f>
        <v>57122.036999999997</v>
      </c>
      <c r="M158">
        <f ca="1">IFERROR(IF(0=LEN(ReferenceData!$M$158),"",ReferenceData!$M$158),"")</f>
        <v>11305</v>
      </c>
      <c r="N158">
        <f ca="1">IFERROR(IF(0=LEN(ReferenceData!$N$158),"",ReferenceData!$N$158),"")</f>
        <v>58139.504999999997</v>
      </c>
      <c r="O158">
        <f ca="1">IFERROR(IF(0=LEN(ReferenceData!$O$158),"",ReferenceData!$O$158),"")</f>
        <v>11182</v>
      </c>
      <c r="P158">
        <f ca="1">IFERROR(IF(0=LEN(ReferenceData!$P$158),"",ReferenceData!$P$158),"")</f>
        <v>59574.144</v>
      </c>
      <c r="Q158">
        <f ca="1">IFERROR(IF(0=LEN(ReferenceData!$Q$158),"",ReferenceData!$Q$158),"")</f>
        <v>11194</v>
      </c>
      <c r="R158">
        <f ca="1">IFERROR(IF(0=LEN(ReferenceData!$R$158),"",ReferenceData!$R$158),"")</f>
        <v>57429.576000000001</v>
      </c>
      <c r="S158">
        <f ca="1">IFERROR(IF(0=LEN(ReferenceData!$S$158),"",ReferenceData!$S$158),"")</f>
        <v>11122</v>
      </c>
      <c r="T158">
        <f ca="1">IFERROR(IF(0=LEN(ReferenceData!$T$158),"",ReferenceData!$T$158),"")</f>
        <v>57520.841999999997</v>
      </c>
      <c r="U158">
        <f ca="1">IFERROR(IF(0=LEN(ReferenceData!$U$158),"",ReferenceData!$U$158),"")</f>
        <v>11540</v>
      </c>
      <c r="V158">
        <f ca="1">IFERROR(IF(0=LEN(ReferenceData!$V$158),"",ReferenceData!$V$158),"")</f>
        <v>55169.928</v>
      </c>
      <c r="W158">
        <f ca="1">IFERROR(IF(0=LEN(ReferenceData!$W$158),"",ReferenceData!$W$158),"")</f>
        <v>12033</v>
      </c>
      <c r="X158">
        <f ca="1">IFERROR(IF(0=LEN(ReferenceData!$X$158),"",ReferenceData!$X$158),"")</f>
        <v>56523.55</v>
      </c>
      <c r="Y158">
        <f ca="1">IFERROR(IF(0=LEN(ReferenceData!$Y$158),"",ReferenceData!$Y$158),"")</f>
        <v>11713</v>
      </c>
      <c r="Z158">
        <f ca="1">IFERROR(IF(0=LEN(ReferenceData!$Z$158),"",ReferenceData!$Z$158),"")</f>
        <v>49879.256000000001</v>
      </c>
      <c r="AA158">
        <f ca="1">IFERROR(IF(0=LEN(ReferenceData!$AA$158),"",ReferenceData!$AA$158),"")</f>
        <v>11959</v>
      </c>
      <c r="AB158">
        <f ca="1">IFERROR(IF(0=LEN(ReferenceData!$AB$158),"",ReferenceData!$AB$158),"")</f>
        <v>50586.83</v>
      </c>
      <c r="AC158">
        <f ca="1">IFERROR(IF(0=LEN(ReferenceData!$AC$158),"",ReferenceData!$AC$158),"")</f>
        <v>11724</v>
      </c>
      <c r="AD158">
        <f ca="1">IFERROR(IF(0=LEN(ReferenceData!$AD$158),"",ReferenceData!$AD$158),"")</f>
        <v>48787.080999999998</v>
      </c>
      <c r="AE158">
        <f ca="1">IFERROR(IF(0=LEN(ReferenceData!$AE$158),"",ReferenceData!$AE$158),"")</f>
        <v>12105</v>
      </c>
      <c r="AF158">
        <f ca="1">IFERROR(IF(0=LEN(ReferenceData!$AF$158),"",ReferenceData!$AF$158),"")</f>
        <v>48255.614000000001</v>
      </c>
      <c r="AG158">
        <f ca="1">IFERROR(IF(0=LEN(ReferenceData!$AG$158),"",ReferenceData!$AG$158),"")</f>
        <v>12321</v>
      </c>
      <c r="AH158">
        <f ca="1">IFERROR(IF(0=LEN(ReferenceData!$AH$158),"",ReferenceData!$AH$158),"")</f>
        <v>47374.618999999999</v>
      </c>
      <c r="AI158">
        <f ca="1">IFERROR(IF(0=LEN(ReferenceData!$AI$158),"",ReferenceData!$AI$158),"")</f>
        <v>12794</v>
      </c>
      <c r="AJ158">
        <f ca="1">IFERROR(IF(0=LEN(ReferenceData!$AJ$158),"",ReferenceData!$AJ$158),"")</f>
        <v>45977.826999999997</v>
      </c>
      <c r="AK158">
        <f ca="1">IFERROR(IF(0=LEN(ReferenceData!$AK$158),"",ReferenceData!$AK$158),"")</f>
        <v>13646</v>
      </c>
      <c r="AL158">
        <f ca="1">IFERROR(IF(0=LEN(ReferenceData!$AL$158),"",ReferenceData!$AL$158),"")</f>
        <v>47070.207000000002</v>
      </c>
      <c r="AM158">
        <f ca="1">IFERROR(IF(0=LEN(ReferenceData!$AM$158),"",ReferenceData!$AM$158),"")</f>
        <v>14387</v>
      </c>
      <c r="AN158">
        <f ca="1">IFERROR(IF(0=LEN(ReferenceData!$AN$158),"",ReferenceData!$AN$158),"")</f>
        <v>47731.45</v>
      </c>
      <c r="AO158">
        <f ca="1">IFERROR(IF(0=LEN(ReferenceData!$AO$158),"",ReferenceData!$AO$158),"")</f>
        <v>49612</v>
      </c>
      <c r="AP158">
        <f ca="1">IFERROR(IF(0=LEN(ReferenceData!$AP$158),"",ReferenceData!$AP$158),"")</f>
        <v>47813.364000000001</v>
      </c>
      <c r="AQ158">
        <f ca="1">IFERROR(IF(0=LEN(ReferenceData!$AQ$158),"",ReferenceData!$AQ$158),"")</f>
        <v>50312</v>
      </c>
      <c r="AR158">
        <f ca="1">IFERROR(IF(0=LEN(ReferenceData!$AR$158),"",ReferenceData!$AR$158),"")</f>
        <v>51158.857000000004</v>
      </c>
      <c r="AS158">
        <f ca="1">IFERROR(IF(0=LEN(ReferenceData!$AS$158),"",ReferenceData!$AS$158),"")</f>
        <v>48779.097000000002</v>
      </c>
      <c r="AT158">
        <f ca="1">IFERROR(IF(0=LEN(ReferenceData!$AT$158),"",ReferenceData!$AT$158),"")</f>
        <v>56872.398000000001</v>
      </c>
      <c r="AU158">
        <f ca="1">IFERROR(IF(0=LEN(ReferenceData!$AU$158),"",ReferenceData!$AU$158),"")</f>
        <v>47828</v>
      </c>
      <c r="AV158">
        <f ca="1">IFERROR(IF(0=LEN(ReferenceData!$AV$158),"",ReferenceData!$AV$158),"")</f>
        <v>54960.099000000002</v>
      </c>
      <c r="AW158">
        <f ca="1">IFERROR(IF(0=LEN(ReferenceData!$AW$158),"",ReferenceData!$AW$158),"")</f>
        <v>55175.343999999997</v>
      </c>
      <c r="AX158">
        <f ca="1">IFERROR(IF(0=LEN(ReferenceData!$AX$158),"",ReferenceData!$AX$158),"")</f>
        <v>56883.413</v>
      </c>
      <c r="AY158">
        <f ca="1">IFERROR(IF(0=LEN(ReferenceData!$AY$158),"",ReferenceData!$AY$158),"")</f>
        <v>53544.940999999999</v>
      </c>
      <c r="AZ158">
        <f ca="1">IFERROR(IF(0=LEN(ReferenceData!$AZ$158),"",ReferenceData!$AZ$158),"")</f>
        <v>50121.328000000001</v>
      </c>
      <c r="BA158">
        <f ca="1">IFERROR(IF(0=LEN(ReferenceData!$BA$158),"",ReferenceData!$BA$158),"")</f>
        <v>51237.762000000002</v>
      </c>
      <c r="BB158">
        <f ca="1">IFERROR(IF(0=LEN(ReferenceData!$BB$158),"",ReferenceData!$BB$158),"")</f>
        <v>54412.425000000003</v>
      </c>
      <c r="BC158">
        <f ca="1">IFERROR(IF(0=LEN(ReferenceData!$BC$158),"",ReferenceData!$BC$158),"")</f>
        <v>55085.375999999997</v>
      </c>
      <c r="BD158">
        <f ca="1">IFERROR(IF(0=LEN(ReferenceData!$BD$158),"",ReferenceData!$BD$158),"")</f>
        <v>54877.201000000001</v>
      </c>
      <c r="BE158">
        <f ca="1">IFERROR(IF(0=LEN(ReferenceData!$BE$158),"",ReferenceData!$BE$158),"")</f>
        <v>33144.196000000004</v>
      </c>
      <c r="BF158">
        <f ca="1">IFERROR(IF(0=LEN(ReferenceData!$BF$158),"",ReferenceData!$BF$158),"")</f>
        <v>34954.622000000003</v>
      </c>
      <c r="BG158">
        <f ca="1">IFERROR(IF(0=LEN(ReferenceData!$BG$158),"",ReferenceData!$BG$158),"")</f>
        <v>30956.63</v>
      </c>
      <c r="BH158">
        <f ca="1">IFERROR(IF(0=LEN(ReferenceData!$BH$158),"",ReferenceData!$BH$158),"")</f>
        <v>29898.002</v>
      </c>
      <c r="BI158">
        <f ca="1">IFERROR(IF(0=LEN(ReferenceData!$BI$158),"",ReferenceData!$BI$158),"")</f>
        <v>30566.821</v>
      </c>
      <c r="BJ158">
        <f ca="1">IFERROR(IF(0=LEN(ReferenceData!$BJ$158),"",ReferenceData!$BJ$158),"")</f>
        <v>33194.777000000002</v>
      </c>
      <c r="BK158">
        <f ca="1">IFERROR(IF(0=LEN(ReferenceData!$BK$158),"",ReferenceData!$BK$158),"")</f>
        <v>27355.512999999999</v>
      </c>
      <c r="BL158">
        <f ca="1">IFERROR(IF(0=LEN(ReferenceData!$BL$158),"",ReferenceData!$BL$158),"")</f>
        <v>29946.882000000001</v>
      </c>
      <c r="BM158" t="str">
        <f ca="1">IFERROR(IF(0=LEN(ReferenceData!$BM$158),"",ReferenceData!$BM$158),"")</f>
        <v/>
      </c>
    </row>
    <row r="159" spans="1:65" x14ac:dyDescent="0.25">
      <c r="A159" t="str">
        <f>IFERROR(IF(0=LEN(ReferenceData!$A$159),"",ReferenceData!$A$159),"")</f>
        <v xml:space="preserve">    Banco Santander SA</v>
      </c>
      <c r="B159" t="str">
        <f>IFERROR(IF(0=LEN(ReferenceData!$B$159),"",ReferenceData!$B$159),"")</f>
        <v>SAN SM Equity</v>
      </c>
      <c r="C159" t="str">
        <f>IFERROR(IF(0=LEN(ReferenceData!$C$159),"",ReferenceData!$C$159),"")</f>
        <v>BS018</v>
      </c>
      <c r="D159" t="str">
        <f>IFERROR(IF(0=LEN(ReferenceData!$D$159),"",ReferenceData!$D$159),"")</f>
        <v>BS_OTHER_LOAN</v>
      </c>
      <c r="E159" t="str">
        <f>IFERROR(IF(0=LEN(ReferenceData!$E$159),"",ReferenceData!$E$159),"")</f>
        <v>Dynamic</v>
      </c>
      <c r="F159">
        <f ca="1">IFERROR(IF(0=LEN(ReferenceData!$F$159),"",ReferenceData!$F$159),"")</f>
        <v>44487</v>
      </c>
      <c r="G159">
        <f ca="1">IFERROR(IF(0=LEN(ReferenceData!$G$159),"",ReferenceData!$G$159),"")</f>
        <v>44522</v>
      </c>
      <c r="H159">
        <f ca="1">IFERROR(IF(0=LEN(ReferenceData!$H$159),"",ReferenceData!$H$159),"")</f>
        <v>11783</v>
      </c>
      <c r="I159">
        <f ca="1">IFERROR(IF(0=LEN(ReferenceData!$I$159),"",ReferenceData!$I$159),"")</f>
        <v>14121</v>
      </c>
      <c r="J159">
        <f ca="1">IFERROR(IF(0=LEN(ReferenceData!$J$159),"",ReferenceData!$J$159),"")</f>
        <v>20849</v>
      </c>
      <c r="K159">
        <f ca="1">IFERROR(IF(0=LEN(ReferenceData!$K$159),"",ReferenceData!$K$159),"")</f>
        <v>18355</v>
      </c>
      <c r="L159">
        <f ca="1">IFERROR(IF(0=LEN(ReferenceData!$L$159),"",ReferenceData!$L$159),"")</f>
        <v>20674</v>
      </c>
      <c r="M159">
        <f ca="1">IFERROR(IF(0=LEN(ReferenceData!$M$159),"",ReferenceData!$M$159),"")</f>
        <v>18368</v>
      </c>
      <c r="N159">
        <f ca="1">IFERROR(IF(0=LEN(ReferenceData!$N$159),"",ReferenceData!$N$159),"")</f>
        <v>19916</v>
      </c>
      <c r="O159">
        <f ca="1">IFERROR(IF(0=LEN(ReferenceData!$O$159),"",ReferenceData!$O$159),"")</f>
        <v>16650</v>
      </c>
      <c r="P159">
        <f ca="1">IFERROR(IF(0=LEN(ReferenceData!$P$159),"",ReferenceData!$P$159),"")</f>
        <v>15598</v>
      </c>
      <c r="Q159">
        <f ca="1">IFERROR(IF(0=LEN(ReferenceData!$Q$159),"",ReferenceData!$Q$159),"")</f>
        <v>12802</v>
      </c>
      <c r="R159">
        <f ca="1">IFERROR(IF(0=LEN(ReferenceData!$R$159),"",ReferenceData!$R$159),"")</f>
        <v>16631</v>
      </c>
      <c r="S159">
        <f ca="1">IFERROR(IF(0=LEN(ReferenceData!$S$159),"",ReferenceData!$S$159),"")</f>
        <v>5733</v>
      </c>
      <c r="T159">
        <f ca="1">IFERROR(IF(0=LEN(ReferenceData!$T$159),"",ReferenceData!$T$159),"")</f>
        <v>8308</v>
      </c>
      <c r="U159">
        <f ca="1">IFERROR(IF(0=LEN(ReferenceData!$U$159),"",ReferenceData!$U$159),"")</f>
        <v>3791</v>
      </c>
      <c r="V159">
        <f ca="1">IFERROR(IF(0=LEN(ReferenceData!$V$159),"",ReferenceData!$V$159),"")</f>
        <v>4482</v>
      </c>
      <c r="W159">
        <f ca="1">IFERROR(IF(0=LEN(ReferenceData!$W$159),"",ReferenceData!$W$159),"")</f>
        <v>29596</v>
      </c>
      <c r="X159">
        <f ca="1">IFERROR(IF(0=LEN(ReferenceData!$X$159),"",ReferenceData!$X$159),"")</f>
        <v>41659</v>
      </c>
      <c r="Y159">
        <f ca="1">IFERROR(IF(0=LEN(ReferenceData!$Y$159),"",ReferenceData!$Y$159),"")</f>
        <v>1157</v>
      </c>
      <c r="Z159">
        <f ca="1">IFERROR(IF(0=LEN(ReferenceData!$Z$159),"",ReferenceData!$Z$159),"")</f>
        <v>40257</v>
      </c>
      <c r="AA159">
        <f ca="1">IFERROR(IF(0=LEN(ReferenceData!$AA$159),"",ReferenceData!$AA$159),"")</f>
        <v>40634</v>
      </c>
      <c r="AB159">
        <f ca="1">IFERROR(IF(0=LEN(ReferenceData!$AB$159),"",ReferenceData!$AB$159),"")</f>
        <v>41734</v>
      </c>
      <c r="AC159">
        <f ca="1">IFERROR(IF(0=LEN(ReferenceData!$AC$159),"",ReferenceData!$AC$159),"")</f>
        <v>42333</v>
      </c>
      <c r="AD159">
        <f ca="1">IFERROR(IF(0=LEN(ReferenceData!$AD$159),"",ReferenceData!$AD$159),"")</f>
        <v>43012</v>
      </c>
      <c r="AE159">
        <f ca="1">IFERROR(IF(0=LEN(ReferenceData!$AE$159),"",ReferenceData!$AE$159),"")</f>
        <v>43499</v>
      </c>
      <c r="AF159">
        <f ca="1">IFERROR(IF(0=LEN(ReferenceData!$AF$159),"",ReferenceData!$AF$159),"")</f>
        <v>45086</v>
      </c>
      <c r="AG159">
        <f ca="1">IFERROR(IF(0=LEN(ReferenceData!$AG$159),"",ReferenceData!$AG$159),"")</f>
        <v>44133</v>
      </c>
      <c r="AH159">
        <f ca="1">IFERROR(IF(0=LEN(ReferenceData!$AH$159),"",ReferenceData!$AH$159),"")</f>
        <v>61865</v>
      </c>
      <c r="AI159">
        <f ca="1">IFERROR(IF(0=LEN(ReferenceData!$AI$159),"",ReferenceData!$AI$159),"")</f>
        <v>110511</v>
      </c>
      <c r="AJ159">
        <f ca="1">IFERROR(IF(0=LEN(ReferenceData!$AJ$159),"",ReferenceData!$AJ$159),"")</f>
        <v>118322</v>
      </c>
      <c r="AK159">
        <f ca="1">IFERROR(IF(0=LEN(ReferenceData!$AK$159),"",ReferenceData!$AK$159),"")</f>
        <v>39159</v>
      </c>
      <c r="AL159">
        <f ca="1">IFERROR(IF(0=LEN(ReferenceData!$AL$159),"",ReferenceData!$AL$159),"")</f>
        <v>43483</v>
      </c>
      <c r="AM159">
        <f ca="1">IFERROR(IF(0=LEN(ReferenceData!$AM$159),"",ReferenceData!$AM$159),"")</f>
        <v>287604</v>
      </c>
      <c r="AN159">
        <f ca="1">IFERROR(IF(0=LEN(ReferenceData!$AN$159),"",ReferenceData!$AN$159),"")</f>
        <v>300967</v>
      </c>
      <c r="AO159">
        <f ca="1">IFERROR(IF(0=LEN(ReferenceData!$AO$159),"",ReferenceData!$AO$159),"")</f>
        <v>282066</v>
      </c>
      <c r="AP159">
        <f ca="1">IFERROR(IF(0=LEN(ReferenceData!$AP$159),"",ReferenceData!$AP$159),"")</f>
        <v>256623</v>
      </c>
      <c r="AQ159" t="str">
        <f ca="1">IFERROR(IF(0=LEN(ReferenceData!$AQ$159),"",ReferenceData!$AQ$159),"")</f>
        <v/>
      </c>
      <c r="AR159" t="str">
        <f ca="1">IFERROR(IF(0=LEN(ReferenceData!$AR$159),"",ReferenceData!$AR$159),"")</f>
        <v/>
      </c>
      <c r="AS159" t="str">
        <f ca="1">IFERROR(IF(0=LEN(ReferenceData!$AS$159),"",ReferenceData!$AS$159),"")</f>
        <v/>
      </c>
      <c r="AT159">
        <f ca="1">IFERROR(IF(0=LEN(ReferenceData!$AT$159),"",ReferenceData!$AT$159),"")</f>
        <v>65327</v>
      </c>
      <c r="AU159" t="str">
        <f ca="1">IFERROR(IF(0=LEN(ReferenceData!$AU$159),"",ReferenceData!$AU$159),"")</f>
        <v/>
      </c>
      <c r="AV159" t="str">
        <f ca="1">IFERROR(IF(0=LEN(ReferenceData!$AV$159),"",ReferenceData!$AV$159),"")</f>
        <v/>
      </c>
      <c r="AW159" t="str">
        <f ca="1">IFERROR(IF(0=LEN(ReferenceData!$AW$159),"",ReferenceData!$AW$159),"")</f>
        <v/>
      </c>
      <c r="AX159">
        <f ca="1">IFERROR(IF(0=LEN(ReferenceData!$AX$159),"",ReferenceData!$AX$159),"")</f>
        <v>59239</v>
      </c>
      <c r="AY159" t="str">
        <f ca="1">IFERROR(IF(0=LEN(ReferenceData!$AY$159),"",ReferenceData!$AY$159),"")</f>
        <v/>
      </c>
      <c r="AZ159" t="str">
        <f ca="1">IFERROR(IF(0=LEN(ReferenceData!$AZ$159),"",ReferenceData!$AZ$159),"")</f>
        <v/>
      </c>
      <c r="BA159" t="str">
        <f ca="1">IFERROR(IF(0=LEN(ReferenceData!$BA$159),"",ReferenceData!$BA$159),"")</f>
        <v/>
      </c>
      <c r="BB159">
        <f ca="1">IFERROR(IF(0=LEN(ReferenceData!$BB$159),"",ReferenceData!$BB$159),"")</f>
        <v>65298</v>
      </c>
      <c r="BC159" t="str">
        <f ca="1">IFERROR(IF(0=LEN(ReferenceData!$BC$159),"",ReferenceData!$BC$159),"")</f>
        <v/>
      </c>
      <c r="BD159" t="str">
        <f ca="1">IFERROR(IF(0=LEN(ReferenceData!$BD$159),"",ReferenceData!$BD$159),"")</f>
        <v/>
      </c>
      <c r="BE159" t="str">
        <f ca="1">IFERROR(IF(0=LEN(ReferenceData!$BE$159),"",ReferenceData!$BE$159),"")</f>
        <v/>
      </c>
      <c r="BF159">
        <f ca="1">IFERROR(IF(0=LEN(ReferenceData!$BF$159),"",ReferenceData!$BF$159),"")</f>
        <v>55557</v>
      </c>
      <c r="BG159" t="str">
        <f ca="1">IFERROR(IF(0=LEN(ReferenceData!$BG$159),"",ReferenceData!$BG$159),"")</f>
        <v/>
      </c>
      <c r="BH159" t="str">
        <f ca="1">IFERROR(IF(0=LEN(ReferenceData!$BH$159),"",ReferenceData!$BH$159),"")</f>
        <v/>
      </c>
      <c r="BI159" t="str">
        <f ca="1">IFERROR(IF(0=LEN(ReferenceData!$BI$159),"",ReferenceData!$BI$159),"")</f>
        <v/>
      </c>
      <c r="BJ159">
        <f ca="1">IFERROR(IF(0=LEN(ReferenceData!$BJ$159),"",ReferenceData!$BJ$159),"")</f>
        <v>53208.968999999997</v>
      </c>
      <c r="BK159" t="str">
        <f ca="1">IFERROR(IF(0=LEN(ReferenceData!$BK$159),"",ReferenceData!$BK$159),"")</f>
        <v/>
      </c>
      <c r="BL159" t="str">
        <f ca="1">IFERROR(IF(0=LEN(ReferenceData!$BL$159),"",ReferenceData!$BL$159),"")</f>
        <v/>
      </c>
      <c r="BM159" t="str">
        <f ca="1">IFERROR(IF(0=LEN(ReferenceData!$BM$159),"",ReferenceData!$BM$159),"")</f>
        <v/>
      </c>
    </row>
    <row r="160" spans="1:65" x14ac:dyDescent="0.25">
      <c r="A160" t="str">
        <f>IFERROR(IF(0=LEN(ReferenceData!$A$160),"",ReferenceData!$A$160),"")</f>
        <v xml:space="preserve">    Barclays PLC</v>
      </c>
      <c r="B160" t="str">
        <f>IFERROR(IF(0=LEN(ReferenceData!$B$160),"",ReferenceData!$B$160),"")</f>
        <v>BARC LN Equity</v>
      </c>
      <c r="C160" t="str">
        <f>IFERROR(IF(0=LEN(ReferenceData!$C$160),"",ReferenceData!$C$160),"")</f>
        <v>BS018</v>
      </c>
      <c r="D160" t="str">
        <f>IFERROR(IF(0=LEN(ReferenceData!$D$160),"",ReferenceData!$D$160),"")</f>
        <v>BS_OTHER_LOAN</v>
      </c>
      <c r="E160" t="str">
        <f>IFERROR(IF(0=LEN(ReferenceData!$E$160),"",ReferenceData!$E$160),"")</f>
        <v>Dynamic</v>
      </c>
      <c r="F160">
        <f ca="1">IFERROR(IF(0=LEN(ReferenceData!$F$160),"",ReferenceData!$F$160),"")</f>
        <v>42267.502079999998</v>
      </c>
      <c r="G160">
        <f ca="1">IFERROR(IF(0=LEN(ReferenceData!$G$160),"",ReferenceData!$G$160),"")</f>
        <v>77731.119120000003</v>
      </c>
      <c r="H160">
        <f ca="1">IFERROR(IF(0=LEN(ReferenceData!$H$160),"",ReferenceData!$H$160),"")</f>
        <v>84729.477599999998</v>
      </c>
      <c r="I160">
        <f ca="1">IFERROR(IF(0=LEN(ReferenceData!$I$160),"",ReferenceData!$I$160),"")</f>
        <v>67163.572159999996</v>
      </c>
      <c r="J160">
        <f ca="1">IFERROR(IF(0=LEN(ReferenceData!$J$160),"",ReferenceData!$J$160),"")</f>
        <v>45212.673719999999</v>
      </c>
      <c r="K160">
        <f ca="1">IFERROR(IF(0=LEN(ReferenceData!$K$160),"",ReferenceData!$K$160),"")</f>
        <v>14100.71091</v>
      </c>
      <c r="L160">
        <f ca="1">IFERROR(IF(0=LEN(ReferenceData!$L$160),"",ReferenceData!$L$160),"")</f>
        <v>82732.033710000003</v>
      </c>
      <c r="M160">
        <f ca="1">IFERROR(IF(0=LEN(ReferenceData!$M$160),"",ReferenceData!$M$160),"")</f>
        <v>0</v>
      </c>
      <c r="N160">
        <f ca="1">IFERROR(IF(0=LEN(ReferenceData!$N$160),"",ReferenceData!$N$160),"")</f>
        <v>57235.930540000001</v>
      </c>
      <c r="O160">
        <f ca="1">IFERROR(IF(0=LEN(ReferenceData!$O$160),"",ReferenceData!$O$160),"")</f>
        <v>6591.5975490000001</v>
      </c>
      <c r="P160">
        <f ca="1">IFERROR(IF(0=LEN(ReferenceData!$P$160),"",ReferenceData!$P$160),"")</f>
        <v>6386.4491079999998</v>
      </c>
      <c r="Q160" t="str">
        <f ca="1">IFERROR(IF(0=LEN(ReferenceData!$Q$160),"",ReferenceData!$Q$160),"")</f>
        <v/>
      </c>
      <c r="R160">
        <f ca="1">IFERROR(IF(0=LEN(ReferenceData!$R$160),"",ReferenceData!$R$160),"")</f>
        <v>56587.61681</v>
      </c>
      <c r="S160">
        <f ca="1">IFERROR(IF(0=LEN(ReferenceData!$S$160),"",ReferenceData!$S$160),"")</f>
        <v>7224.3375679999999</v>
      </c>
      <c r="T160">
        <f ca="1">IFERROR(IF(0=LEN(ReferenceData!$T$160),"",ReferenceData!$T$160),"")</f>
        <v>7590.0582329999997</v>
      </c>
      <c r="U160" t="str">
        <f ca="1">IFERROR(IF(0=LEN(ReferenceData!$U$160),"",ReferenceData!$U$160),"")</f>
        <v/>
      </c>
      <c r="V160">
        <f ca="1">IFERROR(IF(0=LEN(ReferenceData!$V$160),"",ReferenceData!$V$160),"")</f>
        <v>54399.653740000002</v>
      </c>
      <c r="W160">
        <f ca="1">IFERROR(IF(0=LEN(ReferenceData!$W$160),"",ReferenceData!$W$160),"")</f>
        <v>9575.8602630000005</v>
      </c>
      <c r="X160">
        <f ca="1">IFERROR(IF(0=LEN(ReferenceData!$X$160),"",ReferenceData!$X$160),"")</f>
        <v>9866.4252419999993</v>
      </c>
      <c r="Y160" t="str">
        <f ca="1">IFERROR(IF(0=LEN(ReferenceData!$Y$160),"",ReferenceData!$Y$160),"")</f>
        <v/>
      </c>
      <c r="Z160">
        <f ca="1">IFERROR(IF(0=LEN(ReferenceData!$Z$160),"",ReferenceData!$Z$160),"")</f>
        <v>48690.056909999999</v>
      </c>
      <c r="AA160" t="str">
        <f ca="1">IFERROR(IF(0=LEN(ReferenceData!$AA$160),"",ReferenceData!$AA$160),"")</f>
        <v/>
      </c>
      <c r="AB160">
        <f ca="1">IFERROR(IF(0=LEN(ReferenceData!$AB$160),"",ReferenceData!$AB$160),"")</f>
        <v>0</v>
      </c>
      <c r="AC160" t="str">
        <f ca="1">IFERROR(IF(0=LEN(ReferenceData!$AC$160),"",ReferenceData!$AC$160),"")</f>
        <v/>
      </c>
      <c r="AD160">
        <f ca="1">IFERROR(IF(0=LEN(ReferenceData!$AD$160),"",ReferenceData!$AD$160),"")</f>
        <v>33704.778030000001</v>
      </c>
      <c r="AE160" t="str">
        <f ca="1">IFERROR(IF(0=LEN(ReferenceData!$AE$160),"",ReferenceData!$AE$160),"")</f>
        <v/>
      </c>
      <c r="AF160">
        <f ca="1">IFERROR(IF(0=LEN(ReferenceData!$AF$160),"",ReferenceData!$AF$160),"")</f>
        <v>0</v>
      </c>
      <c r="AG160" t="str">
        <f ca="1">IFERROR(IF(0=LEN(ReferenceData!$AG$160),"",ReferenceData!$AG$160),"")</f>
        <v/>
      </c>
      <c r="AH160">
        <f ca="1">IFERROR(IF(0=LEN(ReferenceData!$AH$160),"",ReferenceData!$AH$160),"")</f>
        <v>24840.8724</v>
      </c>
      <c r="AI160" t="str">
        <f ca="1">IFERROR(IF(0=LEN(ReferenceData!$AI$160),"",ReferenceData!$AI$160),"")</f>
        <v/>
      </c>
      <c r="AJ160">
        <f ca="1">IFERROR(IF(0=LEN(ReferenceData!$AJ$160),"",ReferenceData!$AJ$160),"")</f>
        <v>84448.852360000004</v>
      </c>
      <c r="AK160" t="str">
        <f ca="1">IFERROR(IF(0=LEN(ReferenceData!$AK$160),"",ReferenceData!$AK$160),"")</f>
        <v/>
      </c>
      <c r="AL160">
        <f ca="1">IFERROR(IF(0=LEN(ReferenceData!$AL$160),"",ReferenceData!$AL$160),"")</f>
        <v>29696.121650000001</v>
      </c>
      <c r="AM160" t="str">
        <f ca="1">IFERROR(IF(0=LEN(ReferenceData!$AM$160),"",ReferenceData!$AM$160),"")</f>
        <v/>
      </c>
      <c r="AN160">
        <f ca="1">IFERROR(IF(0=LEN(ReferenceData!$AN$160),"",ReferenceData!$AN$160),"")</f>
        <v>107532.7485</v>
      </c>
      <c r="AO160" t="str">
        <f ca="1">IFERROR(IF(0=LEN(ReferenceData!$AO$160),"",ReferenceData!$AO$160),"")</f>
        <v/>
      </c>
      <c r="AP160">
        <f ca="1">IFERROR(IF(0=LEN(ReferenceData!$AP$160),"",ReferenceData!$AP$160),"")</f>
        <v>32905.390939999997</v>
      </c>
      <c r="AQ160" t="str">
        <f ca="1">IFERROR(IF(0=LEN(ReferenceData!$AQ$160),"",ReferenceData!$AQ$160),"")</f>
        <v/>
      </c>
      <c r="AR160">
        <f ca="1">IFERROR(IF(0=LEN(ReferenceData!$AR$160),"",ReferenceData!$AR$160),"")</f>
        <v>124222.28320000001</v>
      </c>
      <c r="AS160" t="str">
        <f ca="1">IFERROR(IF(0=LEN(ReferenceData!$AS$160),"",ReferenceData!$AS$160),"")</f>
        <v/>
      </c>
      <c r="AT160">
        <f ca="1">IFERROR(IF(0=LEN(ReferenceData!$AT$160),"",ReferenceData!$AT$160),"")</f>
        <v>32462.562809999999</v>
      </c>
      <c r="AU160" t="str">
        <f ca="1">IFERROR(IF(0=LEN(ReferenceData!$AU$160),"",ReferenceData!$AU$160),"")</f>
        <v/>
      </c>
      <c r="AV160">
        <f ca="1">IFERROR(IF(0=LEN(ReferenceData!$AV$160),"",ReferenceData!$AV$160),"")</f>
        <v>111588.98850000001</v>
      </c>
      <c r="AW160" t="str">
        <f ca="1">IFERROR(IF(0=LEN(ReferenceData!$AW$160),"",ReferenceData!$AW$160),"")</f>
        <v/>
      </c>
      <c r="AX160">
        <f ca="1">IFERROR(IF(0=LEN(ReferenceData!$AX$160),"",ReferenceData!$AX$160),"")</f>
        <v>37716.513449999999</v>
      </c>
      <c r="AY160" t="str">
        <f ca="1">IFERROR(IF(0=LEN(ReferenceData!$AY$160),"",ReferenceData!$AY$160),"")</f>
        <v/>
      </c>
      <c r="AZ160">
        <f ca="1">IFERROR(IF(0=LEN(ReferenceData!$AZ$160),"",ReferenceData!$AZ$160),"")</f>
        <v>40232.95233</v>
      </c>
      <c r="BA160" t="str">
        <f ca="1">IFERROR(IF(0=LEN(ReferenceData!$BA$160),"",ReferenceData!$BA$160),"")</f>
        <v/>
      </c>
      <c r="BB160">
        <f ca="1">IFERROR(IF(0=LEN(ReferenceData!$BB$160),"",ReferenceData!$BB$160),"")</f>
        <v>44061.517160000003</v>
      </c>
      <c r="BC160" t="str">
        <f ca="1">IFERROR(IF(0=LEN(ReferenceData!$BC$160),"",ReferenceData!$BC$160),"")</f>
        <v/>
      </c>
      <c r="BD160">
        <f ca="1">IFERROR(IF(0=LEN(ReferenceData!$BD$160),"",ReferenceData!$BD$160),"")</f>
        <v>44110.660819999997</v>
      </c>
      <c r="BE160" t="str">
        <f ca="1">IFERROR(IF(0=LEN(ReferenceData!$BE$160),"",ReferenceData!$BE$160),"")</f>
        <v/>
      </c>
      <c r="BF160">
        <f ca="1">IFERROR(IF(0=LEN(ReferenceData!$BF$160),"",ReferenceData!$BF$160),"")</f>
        <v>47881.644139999997</v>
      </c>
      <c r="BG160" t="str">
        <f ca="1">IFERROR(IF(0=LEN(ReferenceData!$BG$160),"",ReferenceData!$BG$160),"")</f>
        <v/>
      </c>
      <c r="BH160">
        <f ca="1">IFERROR(IF(0=LEN(ReferenceData!$BH$160),"",ReferenceData!$BH$160),"")</f>
        <v>53833.862099999998</v>
      </c>
      <c r="BI160" t="str">
        <f ca="1">IFERROR(IF(0=LEN(ReferenceData!$BI$160),"",ReferenceData!$BI$160),"")</f>
        <v/>
      </c>
      <c r="BJ160">
        <f ca="1">IFERROR(IF(0=LEN(ReferenceData!$BJ$160),"",ReferenceData!$BJ$160),"")</f>
        <v>20403.84348</v>
      </c>
      <c r="BK160" t="str">
        <f ca="1">IFERROR(IF(0=LEN(ReferenceData!$BK$160),"",ReferenceData!$BK$160),"")</f>
        <v/>
      </c>
      <c r="BL160">
        <f ca="1">IFERROR(IF(0=LEN(ReferenceData!$BL$160),"",ReferenceData!$BL$160),"")</f>
        <v>11997.745290000001</v>
      </c>
      <c r="BM160" t="str">
        <f ca="1">IFERROR(IF(0=LEN(ReferenceData!$BM$160),"",ReferenceData!$BM$160),"")</f>
        <v/>
      </c>
    </row>
    <row r="161" spans="1:65" x14ac:dyDescent="0.25">
      <c r="A161" t="str">
        <f>IFERROR(IF(0=LEN(ReferenceData!$A$161),"",ReferenceData!$A$161),"")</f>
        <v xml:space="preserve">    BAWAG Group AG</v>
      </c>
      <c r="B161" t="str">
        <f>IFERROR(IF(0=LEN(ReferenceData!$B$161),"",ReferenceData!$B$161),"")</f>
        <v>BG AV Equity</v>
      </c>
      <c r="C161" t="str">
        <f>IFERROR(IF(0=LEN(ReferenceData!$C$161),"",ReferenceData!$C$161),"")</f>
        <v>BS018</v>
      </c>
      <c r="D161" t="str">
        <f>IFERROR(IF(0=LEN(ReferenceData!$D$161),"",ReferenceData!$D$161),"")</f>
        <v>BS_OTHER_LOAN</v>
      </c>
      <c r="E161" t="str">
        <f>IFERROR(IF(0=LEN(ReferenceData!$E$161),"",ReferenceData!$E$161),"")</f>
        <v>Dynamic</v>
      </c>
      <c r="F161" t="str">
        <f ca="1">IFERROR(IF(0=LEN(ReferenceData!$F$161),"",ReferenceData!$F$161),"")</f>
        <v/>
      </c>
      <c r="G161" t="str">
        <f ca="1">IFERROR(IF(0=LEN(ReferenceData!$G$161),"",ReferenceData!$G$161),"")</f>
        <v/>
      </c>
      <c r="H161">
        <f ca="1">IFERROR(IF(0=LEN(ReferenceData!$H$161),"",ReferenceData!$H$161),"")</f>
        <v>2107</v>
      </c>
      <c r="I161" t="str">
        <f ca="1">IFERROR(IF(0=LEN(ReferenceData!$I$161),"",ReferenceData!$I$161),"")</f>
        <v/>
      </c>
      <c r="J161">
        <f ca="1">IFERROR(IF(0=LEN(ReferenceData!$J$161),"",ReferenceData!$J$161),"")</f>
        <v>1494</v>
      </c>
      <c r="K161" t="str">
        <f ca="1">IFERROR(IF(0=LEN(ReferenceData!$K$161),"",ReferenceData!$K$161),"")</f>
        <v/>
      </c>
      <c r="L161">
        <f ca="1">IFERROR(IF(0=LEN(ReferenceData!$L$161),"",ReferenceData!$L$161),"")</f>
        <v>1527</v>
      </c>
      <c r="M161" t="str">
        <f ca="1">IFERROR(IF(0=LEN(ReferenceData!$M$161),"",ReferenceData!$M$161),"")</f>
        <v/>
      </c>
      <c r="N161">
        <f ca="1">IFERROR(IF(0=LEN(ReferenceData!$N$161),"",ReferenceData!$N$161),"")</f>
        <v>1574</v>
      </c>
      <c r="O161" t="str">
        <f ca="1">IFERROR(IF(0=LEN(ReferenceData!$O$161),"",ReferenceData!$O$161),"")</f>
        <v/>
      </c>
      <c r="P161">
        <f ca="1">IFERROR(IF(0=LEN(ReferenceData!$P$161),"",ReferenceData!$P$161),"")</f>
        <v>1601</v>
      </c>
      <c r="Q161" t="str">
        <f ca="1">IFERROR(IF(0=LEN(ReferenceData!$Q$161),"",ReferenceData!$Q$161),"")</f>
        <v/>
      </c>
      <c r="R161">
        <f ca="1">IFERROR(IF(0=LEN(ReferenceData!$R$161),"",ReferenceData!$R$161),"")</f>
        <v>1636</v>
      </c>
      <c r="S161" t="str">
        <f ca="1">IFERROR(IF(0=LEN(ReferenceData!$S$161),"",ReferenceData!$S$161),"")</f>
        <v/>
      </c>
      <c r="T161" t="str">
        <f ca="1">IFERROR(IF(0=LEN(ReferenceData!$T$161),"",ReferenceData!$T$161),"")</f>
        <v/>
      </c>
      <c r="U161" t="str">
        <f ca="1">IFERROR(IF(0=LEN(ReferenceData!$U$161),"",ReferenceData!$U$161),"")</f>
        <v/>
      </c>
      <c r="V161">
        <f ca="1">IFERROR(IF(0=LEN(ReferenceData!$V$161),"",ReferenceData!$V$161),"")</f>
        <v>1741</v>
      </c>
      <c r="W161" t="str">
        <f ca="1">IFERROR(IF(0=LEN(ReferenceData!$W$161),"",ReferenceData!$W$161),"")</f>
        <v/>
      </c>
      <c r="X161" t="str">
        <f ca="1">IFERROR(IF(0=LEN(ReferenceData!$X$161),"",ReferenceData!$X$161),"")</f>
        <v/>
      </c>
      <c r="Y161" t="str">
        <f ca="1">IFERROR(IF(0=LEN(ReferenceData!$Y$161),"",ReferenceData!$Y$161),"")</f>
        <v/>
      </c>
      <c r="Z161" t="str">
        <f ca="1">IFERROR(IF(0=LEN(ReferenceData!$Z$161),"",ReferenceData!$Z$161),"")</f>
        <v/>
      </c>
      <c r="AA161" t="str">
        <f ca="1">IFERROR(IF(0=LEN(ReferenceData!$AA$161),"",ReferenceData!$AA$161),"")</f>
        <v/>
      </c>
      <c r="AB161" t="str">
        <f ca="1">IFERROR(IF(0=LEN(ReferenceData!$AB$161),"",ReferenceData!$AB$161),"")</f>
        <v/>
      </c>
      <c r="AC161" t="str">
        <f ca="1">IFERROR(IF(0=LEN(ReferenceData!$AC$161),"",ReferenceData!$AC$161),"")</f>
        <v/>
      </c>
      <c r="AD161" t="str">
        <f ca="1">IFERROR(IF(0=LEN(ReferenceData!$AD$161),"",ReferenceData!$AD$161),"")</f>
        <v/>
      </c>
      <c r="AE161" t="str">
        <f ca="1">IFERROR(IF(0=LEN(ReferenceData!$AE$161),"",ReferenceData!$AE$161),"")</f>
        <v/>
      </c>
      <c r="AF161" t="str">
        <f ca="1">IFERROR(IF(0=LEN(ReferenceData!$AF$161),"",ReferenceData!$AF$161),"")</f>
        <v/>
      </c>
      <c r="AG161" t="str">
        <f ca="1">IFERROR(IF(0=LEN(ReferenceData!$AG$161),"",ReferenceData!$AG$161),"")</f>
        <v/>
      </c>
      <c r="AH161" t="str">
        <f ca="1">IFERROR(IF(0=LEN(ReferenceData!$AH$161),"",ReferenceData!$AH$161),"")</f>
        <v/>
      </c>
      <c r="AI161" t="str">
        <f ca="1">IFERROR(IF(0=LEN(ReferenceData!$AI$161),"",ReferenceData!$AI$161),"")</f>
        <v/>
      </c>
      <c r="AJ161" t="str">
        <f ca="1">IFERROR(IF(0=LEN(ReferenceData!$AJ$161),"",ReferenceData!$AJ$161),"")</f>
        <v/>
      </c>
      <c r="AK161" t="str">
        <f ca="1">IFERROR(IF(0=LEN(ReferenceData!$AK$161),"",ReferenceData!$AK$161),"")</f>
        <v/>
      </c>
      <c r="AL161" t="str">
        <f ca="1">IFERROR(IF(0=LEN(ReferenceData!$AL$161),"",ReferenceData!$AL$161),"")</f>
        <v/>
      </c>
      <c r="AM161" t="str">
        <f ca="1">IFERROR(IF(0=LEN(ReferenceData!$AM$161),"",ReferenceData!$AM$161),"")</f>
        <v/>
      </c>
      <c r="AN161">
        <f ca="1">IFERROR(IF(0=LEN(ReferenceData!$AN$161),"",ReferenceData!$AN$161),"")</f>
        <v>22535</v>
      </c>
      <c r="AO161">
        <f ca="1">IFERROR(IF(0=LEN(ReferenceData!$AO$161),"",ReferenceData!$AO$161),"")</f>
        <v>23419</v>
      </c>
      <c r="AP161" t="str">
        <f ca="1">IFERROR(IF(0=LEN(ReferenceData!$AP$161),"",ReferenceData!$AP$161),"")</f>
        <v/>
      </c>
      <c r="AQ161" t="str">
        <f ca="1">IFERROR(IF(0=LEN(ReferenceData!$AQ$161),"",ReferenceData!$AQ$161),"")</f>
        <v/>
      </c>
      <c r="AR161" t="str">
        <f ca="1">IFERROR(IF(0=LEN(ReferenceData!$AR$161),"",ReferenceData!$AR$161),"")</f>
        <v/>
      </c>
      <c r="AS161" t="str">
        <f ca="1">IFERROR(IF(0=LEN(ReferenceData!$AS$161),"",ReferenceData!$AS$161),"")</f>
        <v/>
      </c>
      <c r="AT161" t="str">
        <f ca="1">IFERROR(IF(0=LEN(ReferenceData!$AT$161),"",ReferenceData!$AT$161),"")</f>
        <v/>
      </c>
      <c r="AU161" t="str">
        <f ca="1">IFERROR(IF(0=LEN(ReferenceData!$AU$161),"",ReferenceData!$AU$161),"")</f>
        <v/>
      </c>
      <c r="AV161" t="str">
        <f ca="1">IFERROR(IF(0=LEN(ReferenceData!$AV$161),"",ReferenceData!$AV$161),"")</f>
        <v/>
      </c>
      <c r="AW161" t="str">
        <f ca="1">IFERROR(IF(0=LEN(ReferenceData!$AW$161),"",ReferenceData!$AW$161),"")</f>
        <v/>
      </c>
      <c r="AX161" t="str">
        <f ca="1">IFERROR(IF(0=LEN(ReferenceData!$AX$161),"",ReferenceData!$AX$161),"")</f>
        <v/>
      </c>
      <c r="AY161" t="str">
        <f ca="1">IFERROR(IF(0=LEN(ReferenceData!$AY$161),"",ReferenceData!$AY$161),"")</f>
        <v/>
      </c>
      <c r="AZ161" t="str">
        <f ca="1">IFERROR(IF(0=LEN(ReferenceData!$AZ$161),"",ReferenceData!$AZ$161),"")</f>
        <v/>
      </c>
      <c r="BA161" t="str">
        <f ca="1">IFERROR(IF(0=LEN(ReferenceData!$BA$161),"",ReferenceData!$BA$161),"")</f>
        <v/>
      </c>
      <c r="BB161" t="str">
        <f ca="1">IFERROR(IF(0=LEN(ReferenceData!$BB$161),"",ReferenceData!$BB$161),"")</f>
        <v/>
      </c>
      <c r="BC161" t="str">
        <f ca="1">IFERROR(IF(0=LEN(ReferenceData!$BC$161),"",ReferenceData!$BC$161),"")</f>
        <v/>
      </c>
      <c r="BD161" t="str">
        <f ca="1">IFERROR(IF(0=LEN(ReferenceData!$BD$161),"",ReferenceData!$BD$161),"")</f>
        <v/>
      </c>
      <c r="BE161" t="str">
        <f ca="1">IFERROR(IF(0=LEN(ReferenceData!$BE$161),"",ReferenceData!$BE$161),"")</f>
        <v/>
      </c>
      <c r="BF161" t="str">
        <f ca="1">IFERROR(IF(0=LEN(ReferenceData!$BF$161),"",ReferenceData!$BF$161),"")</f>
        <v/>
      </c>
      <c r="BG161" t="str">
        <f ca="1">IFERROR(IF(0=LEN(ReferenceData!$BG$161),"",ReferenceData!$BG$161),"")</f>
        <v/>
      </c>
      <c r="BH161" t="str">
        <f ca="1">IFERROR(IF(0=LEN(ReferenceData!$BH$161),"",ReferenceData!$BH$161),"")</f>
        <v/>
      </c>
      <c r="BI161" t="str">
        <f ca="1">IFERROR(IF(0=LEN(ReferenceData!$BI$161),"",ReferenceData!$BI$161),"")</f>
        <v/>
      </c>
      <c r="BJ161" t="str">
        <f ca="1">IFERROR(IF(0=LEN(ReferenceData!$BJ$161),"",ReferenceData!$BJ$161),"")</f>
        <v/>
      </c>
      <c r="BK161" t="str">
        <f ca="1">IFERROR(IF(0=LEN(ReferenceData!$BK$161),"",ReferenceData!$BK$161),"")</f>
        <v/>
      </c>
      <c r="BL161" t="str">
        <f ca="1">IFERROR(IF(0=LEN(ReferenceData!$BL$161),"",ReferenceData!$BL$161),"")</f>
        <v/>
      </c>
      <c r="BM161" t="str">
        <f ca="1">IFERROR(IF(0=LEN(ReferenceData!$BM$161),"",ReferenceData!$BM$161),"")</f>
        <v/>
      </c>
    </row>
    <row r="162" spans="1:65" x14ac:dyDescent="0.25">
      <c r="A162" t="str">
        <f>IFERROR(IF(0=LEN(ReferenceData!$A$162),"",ReferenceData!$A$162),"")</f>
        <v xml:space="preserve">    BNP Paribas SA</v>
      </c>
      <c r="B162" t="str">
        <f>IFERROR(IF(0=LEN(ReferenceData!$B$162),"",ReferenceData!$B$162),"")</f>
        <v>BNP FP Equity</v>
      </c>
      <c r="C162" t="str">
        <f>IFERROR(IF(0=LEN(ReferenceData!$C$162),"",ReferenceData!$C$162),"")</f>
        <v>BS018</v>
      </c>
      <c r="D162" t="str">
        <f>IFERROR(IF(0=LEN(ReferenceData!$D$162),"",ReferenceData!$D$162),"")</f>
        <v>BS_OTHER_LOAN</v>
      </c>
      <c r="E162" t="str">
        <f>IFERROR(IF(0=LEN(ReferenceData!$E$162),"",ReferenceData!$E$162),"")</f>
        <v>Dynamic</v>
      </c>
      <c r="F162">
        <f ca="1">IFERROR(IF(0=LEN(ReferenceData!$F$162),"",ReferenceData!$F$162),"")</f>
        <v>14366</v>
      </c>
      <c r="G162" t="str">
        <f ca="1">IFERROR(IF(0=LEN(ReferenceData!$G$162),"",ReferenceData!$G$162),"")</f>
        <v/>
      </c>
      <c r="H162">
        <f ca="1">IFERROR(IF(0=LEN(ReferenceData!$H$162),"",ReferenceData!$H$162),"")</f>
        <v>19899</v>
      </c>
      <c r="I162" t="str">
        <f ca="1">IFERROR(IF(0=LEN(ReferenceData!$I$162),"",ReferenceData!$I$162),"")</f>
        <v/>
      </c>
      <c r="J162">
        <f ca="1">IFERROR(IF(0=LEN(ReferenceData!$J$162),"",ReferenceData!$J$162),"")</f>
        <v>12174</v>
      </c>
      <c r="K162" t="str">
        <f ca="1">IFERROR(IF(0=LEN(ReferenceData!$K$162),"",ReferenceData!$K$162),"")</f>
        <v/>
      </c>
      <c r="L162">
        <f ca="1">IFERROR(IF(0=LEN(ReferenceData!$L$162),"",ReferenceData!$L$162),"")</f>
        <v>14316</v>
      </c>
      <c r="M162" t="str">
        <f ca="1">IFERROR(IF(0=LEN(ReferenceData!$M$162),"",ReferenceData!$M$162),"")</f>
        <v/>
      </c>
      <c r="N162">
        <f ca="1">IFERROR(IF(0=LEN(ReferenceData!$N$162),"",ReferenceData!$N$162),"")</f>
        <v>15675</v>
      </c>
      <c r="O162" t="str">
        <f ca="1">IFERROR(IF(0=LEN(ReferenceData!$O$162),"",ReferenceData!$O$162),"")</f>
        <v/>
      </c>
      <c r="P162">
        <f ca="1">IFERROR(IF(0=LEN(ReferenceData!$P$162),"",ReferenceData!$P$162),"")</f>
        <v>20943</v>
      </c>
      <c r="Q162" t="str">
        <f ca="1">IFERROR(IF(0=LEN(ReferenceData!$Q$162),"",ReferenceData!$Q$162),"")</f>
        <v/>
      </c>
      <c r="R162">
        <f ca="1">IFERROR(IF(0=LEN(ReferenceData!$R$162),"",ReferenceData!$R$162),"")</f>
        <v>10550</v>
      </c>
      <c r="S162" t="str">
        <f ca="1">IFERROR(IF(0=LEN(ReferenceData!$S$162),"",ReferenceData!$S$162),"")</f>
        <v/>
      </c>
      <c r="T162">
        <f ca="1">IFERROR(IF(0=LEN(ReferenceData!$T$162),"",ReferenceData!$T$162),"")</f>
        <v>19508</v>
      </c>
      <c r="U162" t="str">
        <f ca="1">IFERROR(IF(0=LEN(ReferenceData!$U$162),"",ReferenceData!$U$162),"")</f>
        <v/>
      </c>
      <c r="V162">
        <f ca="1">IFERROR(IF(0=LEN(ReferenceData!$V$162),"",ReferenceData!$V$162),"")</f>
        <v>9921</v>
      </c>
      <c r="W162" t="str">
        <f ca="1">IFERROR(IF(0=LEN(ReferenceData!$W$162),"",ReferenceData!$W$162),"")</f>
        <v/>
      </c>
      <c r="X162">
        <f ca="1">IFERROR(IF(0=LEN(ReferenceData!$X$162),"",ReferenceData!$X$162),"")</f>
        <v>16641</v>
      </c>
      <c r="Y162" t="str">
        <f ca="1">IFERROR(IF(0=LEN(ReferenceData!$Y$162),"",ReferenceData!$Y$162),"")</f>
        <v/>
      </c>
      <c r="Z162">
        <f ca="1">IFERROR(IF(0=LEN(ReferenceData!$Z$162),"",ReferenceData!$Z$162),"")</f>
        <v>12609</v>
      </c>
      <c r="AA162" t="str">
        <f ca="1">IFERROR(IF(0=LEN(ReferenceData!$AA$162),"",ReferenceData!$AA$162),"")</f>
        <v/>
      </c>
      <c r="AB162">
        <f ca="1">IFERROR(IF(0=LEN(ReferenceData!$AB$162),"",ReferenceData!$AB$162),"")</f>
        <v>15112</v>
      </c>
      <c r="AC162" t="str">
        <f ca="1">IFERROR(IF(0=LEN(ReferenceData!$AC$162),"",ReferenceData!$AC$162),"")</f>
        <v/>
      </c>
      <c r="AD162">
        <f ca="1">IFERROR(IF(0=LEN(ReferenceData!$AD$162),"",ReferenceData!$AD$162),"")</f>
        <v>11494</v>
      </c>
      <c r="AE162" t="str">
        <f ca="1">IFERROR(IF(0=LEN(ReferenceData!$AE$162),"",ReferenceData!$AE$162),"")</f>
        <v/>
      </c>
      <c r="AF162">
        <f ca="1">IFERROR(IF(0=LEN(ReferenceData!$AF$162),"",ReferenceData!$AF$162),"")</f>
        <v>11772</v>
      </c>
      <c r="AG162" t="str">
        <f ca="1">IFERROR(IF(0=LEN(ReferenceData!$AG$162),"",ReferenceData!$AG$162),"")</f>
        <v/>
      </c>
      <c r="AH162">
        <f ca="1">IFERROR(IF(0=LEN(ReferenceData!$AH$162),"",ReferenceData!$AH$162),"")</f>
        <v>11488</v>
      </c>
      <c r="AI162" t="str">
        <f ca="1">IFERROR(IF(0=LEN(ReferenceData!$AI$162),"",ReferenceData!$AI$162),"")</f>
        <v/>
      </c>
      <c r="AJ162">
        <f ca="1">IFERROR(IF(0=LEN(ReferenceData!$AJ$162),"",ReferenceData!$AJ$162),"")</f>
        <v>36810</v>
      </c>
      <c r="AK162" t="str">
        <f ca="1">IFERROR(IF(0=LEN(ReferenceData!$AK$162),"",ReferenceData!$AK$162),"")</f>
        <v/>
      </c>
      <c r="AL162" t="str">
        <f ca="1">IFERROR(IF(0=LEN(ReferenceData!$AL$162),"",ReferenceData!$AL$162),"")</f>
        <v/>
      </c>
      <c r="AM162" t="str">
        <f ca="1">IFERROR(IF(0=LEN(ReferenceData!$AM$162),"",ReferenceData!$AM$162),"")</f>
        <v/>
      </c>
      <c r="AN162">
        <f ca="1">IFERROR(IF(0=LEN(ReferenceData!$AN$162),"",ReferenceData!$AN$162),"")</f>
        <v>31596</v>
      </c>
      <c r="AO162" t="str">
        <f ca="1">IFERROR(IF(0=LEN(ReferenceData!$AO$162),"",ReferenceData!$AO$162),"")</f>
        <v/>
      </c>
      <c r="AP162">
        <f ca="1">IFERROR(IF(0=LEN(ReferenceData!$AP$162),"",ReferenceData!$AP$162),"")</f>
        <v>31780</v>
      </c>
      <c r="AQ162" t="str">
        <f ca="1">IFERROR(IF(0=LEN(ReferenceData!$AQ$162),"",ReferenceData!$AQ$162),"")</f>
        <v/>
      </c>
      <c r="AR162" t="str">
        <f ca="1">IFERROR(IF(0=LEN(ReferenceData!$AR$162),"",ReferenceData!$AR$162),"")</f>
        <v/>
      </c>
      <c r="AS162" t="str">
        <f ca="1">IFERROR(IF(0=LEN(ReferenceData!$AS$162),"",ReferenceData!$AS$162),"")</f>
        <v/>
      </c>
      <c r="AT162">
        <f ca="1">IFERROR(IF(0=LEN(ReferenceData!$AT$162),"",ReferenceData!$AT$162),"")</f>
        <v>33010</v>
      </c>
      <c r="AU162" t="str">
        <f ca="1">IFERROR(IF(0=LEN(ReferenceData!$AU$162),"",ReferenceData!$AU$162),"")</f>
        <v/>
      </c>
      <c r="AV162">
        <f ca="1">IFERROR(IF(0=LEN(ReferenceData!$AV$162),"",ReferenceData!$AV$162),"")</f>
        <v>41340</v>
      </c>
      <c r="AW162" t="str">
        <f ca="1">IFERROR(IF(0=LEN(ReferenceData!$AW$162),"",ReferenceData!$AW$162),"")</f>
        <v/>
      </c>
      <c r="AX162" t="str">
        <f ca="1">IFERROR(IF(0=LEN(ReferenceData!$AX$162),"",ReferenceData!$AX$162),"")</f>
        <v/>
      </c>
      <c r="AY162" t="str">
        <f ca="1">IFERROR(IF(0=LEN(ReferenceData!$AY$162),"",ReferenceData!$AY$162),"")</f>
        <v/>
      </c>
      <c r="AZ162" t="str">
        <f ca="1">IFERROR(IF(0=LEN(ReferenceData!$AZ$162),"",ReferenceData!$AZ$162),"")</f>
        <v/>
      </c>
      <c r="BA162" t="str">
        <f ca="1">IFERROR(IF(0=LEN(ReferenceData!$BA$162),"",ReferenceData!$BA$162),"")</f>
        <v/>
      </c>
      <c r="BB162" t="str">
        <f ca="1">IFERROR(IF(0=LEN(ReferenceData!$BB$162),"",ReferenceData!$BB$162),"")</f>
        <v/>
      </c>
      <c r="BC162" t="str">
        <f ca="1">IFERROR(IF(0=LEN(ReferenceData!$BC$162),"",ReferenceData!$BC$162),"")</f>
        <v/>
      </c>
      <c r="BD162" t="str">
        <f ca="1">IFERROR(IF(0=LEN(ReferenceData!$BD$162),"",ReferenceData!$BD$162),"")</f>
        <v/>
      </c>
      <c r="BE162" t="str">
        <f ca="1">IFERROR(IF(0=LEN(ReferenceData!$BE$162),"",ReferenceData!$BE$162),"")</f>
        <v/>
      </c>
      <c r="BF162" t="str">
        <f ca="1">IFERROR(IF(0=LEN(ReferenceData!$BF$162),"",ReferenceData!$BF$162),"")</f>
        <v/>
      </c>
      <c r="BG162" t="str">
        <f ca="1">IFERROR(IF(0=LEN(ReferenceData!$BG$162),"",ReferenceData!$BG$162),"")</f>
        <v/>
      </c>
      <c r="BH162" t="str">
        <f ca="1">IFERROR(IF(0=LEN(ReferenceData!$BH$162),"",ReferenceData!$BH$162),"")</f>
        <v/>
      </c>
      <c r="BI162" t="str">
        <f ca="1">IFERROR(IF(0=LEN(ReferenceData!$BI$162),"",ReferenceData!$BI$162),"")</f>
        <v/>
      </c>
      <c r="BJ162" t="str">
        <f ca="1">IFERROR(IF(0=LEN(ReferenceData!$BJ$162),"",ReferenceData!$BJ$162),"")</f>
        <v/>
      </c>
      <c r="BK162" t="str">
        <f ca="1">IFERROR(IF(0=LEN(ReferenceData!$BK$162),"",ReferenceData!$BK$162),"")</f>
        <v/>
      </c>
      <c r="BL162" t="str">
        <f ca="1">IFERROR(IF(0=LEN(ReferenceData!$BL$162),"",ReferenceData!$BL$162),"")</f>
        <v/>
      </c>
      <c r="BM162" t="str">
        <f ca="1">IFERROR(IF(0=LEN(ReferenceData!$BM$162),"",ReferenceData!$BM$162),"")</f>
        <v/>
      </c>
    </row>
    <row r="163" spans="1:65" x14ac:dyDescent="0.25">
      <c r="A163" t="str">
        <f>IFERROR(IF(0=LEN(ReferenceData!$A$163),"",ReferenceData!$A$163),"")</f>
        <v xml:space="preserve">    Banco BPM SpA</v>
      </c>
      <c r="B163" t="str">
        <f>IFERROR(IF(0=LEN(ReferenceData!$B$163),"",ReferenceData!$B$163),"")</f>
        <v>BAMI IM Equity</v>
      </c>
      <c r="C163" t="str">
        <f>IFERROR(IF(0=LEN(ReferenceData!$C$163),"",ReferenceData!$C$163),"")</f>
        <v>BS018</v>
      </c>
      <c r="D163" t="str">
        <f>IFERROR(IF(0=LEN(ReferenceData!$D$163),"",ReferenceData!$D$163),"")</f>
        <v>BS_OTHER_LOAN</v>
      </c>
      <c r="E163" t="str">
        <f>IFERROR(IF(0=LEN(ReferenceData!$E$163),"",ReferenceData!$E$163),"")</f>
        <v>Dynamic</v>
      </c>
      <c r="F163" t="str">
        <f ca="1">IFERROR(IF(0=LEN(ReferenceData!$F$163),"",ReferenceData!$F$163),"")</f>
        <v/>
      </c>
      <c r="G163" t="str">
        <f ca="1">IFERROR(IF(0=LEN(ReferenceData!$G$163),"",ReferenceData!$G$163),"")</f>
        <v/>
      </c>
      <c r="H163">
        <f ca="1">IFERROR(IF(0=LEN(ReferenceData!$H$163),"",ReferenceData!$H$163),"")</f>
        <v>19092.124</v>
      </c>
      <c r="I163" t="str">
        <f ca="1">IFERROR(IF(0=LEN(ReferenceData!$I$163),"",ReferenceData!$I$163),"")</f>
        <v/>
      </c>
      <c r="J163">
        <f ca="1">IFERROR(IF(0=LEN(ReferenceData!$J$163),"",ReferenceData!$J$163),"")</f>
        <v>16300.950999999999</v>
      </c>
      <c r="K163" t="str">
        <f ca="1">IFERROR(IF(0=LEN(ReferenceData!$K$163),"",ReferenceData!$K$163),"")</f>
        <v/>
      </c>
      <c r="L163">
        <f ca="1">IFERROR(IF(0=LEN(ReferenceData!$L$163),"",ReferenceData!$L$163),"")</f>
        <v>15220.128000000001</v>
      </c>
      <c r="M163" t="str">
        <f ca="1">IFERROR(IF(0=LEN(ReferenceData!$M$163),"",ReferenceData!$M$163),"")</f>
        <v/>
      </c>
      <c r="N163">
        <f ca="1">IFERROR(IF(0=LEN(ReferenceData!$N$163),"",ReferenceData!$N$163),"")</f>
        <v>18846.761999999999</v>
      </c>
      <c r="O163" t="str">
        <f ca="1">IFERROR(IF(0=LEN(ReferenceData!$O$163),"",ReferenceData!$O$163),"")</f>
        <v/>
      </c>
      <c r="P163">
        <f ca="1">IFERROR(IF(0=LEN(ReferenceData!$P$163),"",ReferenceData!$P$163),"")</f>
        <v>14107.249</v>
      </c>
      <c r="Q163" t="str">
        <f ca="1">IFERROR(IF(0=LEN(ReferenceData!$Q$163),"",ReferenceData!$Q$163),"")</f>
        <v/>
      </c>
      <c r="R163">
        <f ca="1">IFERROR(IF(0=LEN(ReferenceData!$R$163),"",ReferenceData!$R$163),"")</f>
        <v>20115.412</v>
      </c>
      <c r="S163" t="str">
        <f ca="1">IFERROR(IF(0=LEN(ReferenceData!$S$163),"",ReferenceData!$S$163),"")</f>
        <v/>
      </c>
      <c r="T163">
        <f ca="1">IFERROR(IF(0=LEN(ReferenceData!$T$163),"",ReferenceData!$T$163),"")</f>
        <v>18460.830999999998</v>
      </c>
      <c r="U163" t="str">
        <f ca="1">IFERROR(IF(0=LEN(ReferenceData!$U$163),"",ReferenceData!$U$163),"")</f>
        <v/>
      </c>
      <c r="V163">
        <f ca="1">IFERROR(IF(0=LEN(ReferenceData!$V$163),"",ReferenceData!$V$163),"")</f>
        <v>23790.03</v>
      </c>
      <c r="W163" t="str">
        <f ca="1">IFERROR(IF(0=LEN(ReferenceData!$W$163),"",ReferenceData!$W$163),"")</f>
        <v/>
      </c>
      <c r="X163">
        <f ca="1">IFERROR(IF(0=LEN(ReferenceData!$X$163),"",ReferenceData!$X$163),"")</f>
        <v>24135.084999999999</v>
      </c>
      <c r="Y163" t="str">
        <f ca="1">IFERROR(IF(0=LEN(ReferenceData!$Y$163),"",ReferenceData!$Y$163),"")</f>
        <v/>
      </c>
      <c r="Z163">
        <f ca="1">IFERROR(IF(0=LEN(ReferenceData!$Z$163),"",ReferenceData!$Z$163),"")</f>
        <v>32009.825000000001</v>
      </c>
      <c r="AA163" t="str">
        <f ca="1">IFERROR(IF(0=LEN(ReferenceData!$AA$163),"",ReferenceData!$AA$163),"")</f>
        <v/>
      </c>
      <c r="AB163">
        <f ca="1">IFERROR(IF(0=LEN(ReferenceData!$AB$163),"",ReferenceData!$AB$163),"")</f>
        <v>25419.402999999998</v>
      </c>
      <c r="AC163" t="str">
        <f ca="1">IFERROR(IF(0=LEN(ReferenceData!$AC$163),"",ReferenceData!$AC$163),"")</f>
        <v/>
      </c>
      <c r="AD163">
        <f ca="1">IFERROR(IF(0=LEN(ReferenceData!$AD$163),"",ReferenceData!$AD$163),"")</f>
        <v>27419.675999999999</v>
      </c>
      <c r="AE163" t="str">
        <f ca="1">IFERROR(IF(0=LEN(ReferenceData!$AE$163),"",ReferenceData!$AE$163),"")</f>
        <v/>
      </c>
      <c r="AF163">
        <f ca="1">IFERROR(IF(0=LEN(ReferenceData!$AF$163),"",ReferenceData!$AF$163),"")</f>
        <v>34840.567999999999</v>
      </c>
      <c r="AG163" t="str">
        <f ca="1">IFERROR(IF(0=LEN(ReferenceData!$AG$163),"",ReferenceData!$AG$163),"")</f>
        <v/>
      </c>
      <c r="AH163">
        <f ca="1">IFERROR(IF(0=LEN(ReferenceData!$AH$163),"",ReferenceData!$AH$163),"")</f>
        <v>36459.199000000001</v>
      </c>
      <c r="AI163" t="str">
        <f ca="1">IFERROR(IF(0=LEN(ReferenceData!$AI$163),"",ReferenceData!$AI$163),"")</f>
        <v/>
      </c>
      <c r="AJ163">
        <f ca="1">IFERROR(IF(0=LEN(ReferenceData!$AJ$163),"",ReferenceData!$AJ$163),"")</f>
        <v>43839.904000000002</v>
      </c>
      <c r="AK163" t="str">
        <f ca="1">IFERROR(IF(0=LEN(ReferenceData!$AK$163),"",ReferenceData!$AK$163),"")</f>
        <v/>
      </c>
      <c r="AL163" t="str">
        <f ca="1">IFERROR(IF(0=LEN(ReferenceData!$AL$163),"",ReferenceData!$AL$163),"")</f>
        <v/>
      </c>
      <c r="AM163" t="str">
        <f ca="1">IFERROR(IF(0=LEN(ReferenceData!$AM$163),"",ReferenceData!$AM$163),"")</f>
        <v/>
      </c>
      <c r="AN163">
        <f ca="1">IFERROR(IF(0=LEN(ReferenceData!$AN$163),"",ReferenceData!$AN$163),"")</f>
        <v>31036.118999999999</v>
      </c>
      <c r="AO163" t="str">
        <f ca="1">IFERROR(IF(0=LEN(ReferenceData!$AO$163),"",ReferenceData!$AO$163),"")</f>
        <v/>
      </c>
      <c r="AP163">
        <f ca="1">IFERROR(IF(0=LEN(ReferenceData!$AP$163),"",ReferenceData!$AP$163),"")</f>
        <v>28844.682000000001</v>
      </c>
      <c r="AQ163">
        <f ca="1">IFERROR(IF(0=LEN(ReferenceData!$AQ$163),"",ReferenceData!$AQ$163),"")</f>
        <v>29799.355</v>
      </c>
      <c r="AR163">
        <f ca="1">IFERROR(IF(0=LEN(ReferenceData!$AR$163),"",ReferenceData!$AR$163),"")</f>
        <v>29965.151999999998</v>
      </c>
      <c r="AS163">
        <f ca="1">IFERROR(IF(0=LEN(ReferenceData!$AS$163),"",ReferenceData!$AS$163),"")</f>
        <v>30630.348000000002</v>
      </c>
      <c r="AT163">
        <f ca="1">IFERROR(IF(0=LEN(ReferenceData!$AT$163),"",ReferenceData!$AT$163),"")</f>
        <v>30251.94</v>
      </c>
      <c r="AU163">
        <f ca="1">IFERROR(IF(0=LEN(ReferenceData!$AU$163),"",ReferenceData!$AU$163),"")</f>
        <v>32548.993999999999</v>
      </c>
      <c r="AV163">
        <f ca="1">IFERROR(IF(0=LEN(ReferenceData!$AV$163),"",ReferenceData!$AV$163),"")</f>
        <v>29704.428</v>
      </c>
      <c r="AW163">
        <f ca="1">IFERROR(IF(0=LEN(ReferenceData!$AW$163),"",ReferenceData!$AW$163),"")</f>
        <v>27519.758999999998</v>
      </c>
      <c r="AX163">
        <f ca="1">IFERROR(IF(0=LEN(ReferenceData!$AX$163),"",ReferenceData!$AX$163),"")</f>
        <v>29140.774000000001</v>
      </c>
      <c r="AY163">
        <f ca="1">IFERROR(IF(0=LEN(ReferenceData!$AY$163),"",ReferenceData!$AY$163),"")</f>
        <v>31035.276000000002</v>
      </c>
      <c r="AZ163">
        <f ca="1">IFERROR(IF(0=LEN(ReferenceData!$AZ$163),"",ReferenceData!$AZ$163),"")</f>
        <v>30380.311000000002</v>
      </c>
      <c r="BA163">
        <f ca="1">IFERROR(IF(0=LEN(ReferenceData!$BA$163),"",ReferenceData!$BA$163),"")</f>
        <v>29617.489000000001</v>
      </c>
      <c r="BB163">
        <f ca="1">IFERROR(IF(0=LEN(ReferenceData!$BB$163),"",ReferenceData!$BB$163),"")</f>
        <v>29502.17</v>
      </c>
      <c r="BC163">
        <f ca="1">IFERROR(IF(0=LEN(ReferenceData!$BC$163),"",ReferenceData!$BC$163),"")</f>
        <v>29517.200000000001</v>
      </c>
      <c r="BD163">
        <f ca="1">IFERROR(IF(0=LEN(ReferenceData!$BD$163),"",ReferenceData!$BD$163),"")</f>
        <v>29773.52</v>
      </c>
      <c r="BE163">
        <f ca="1">IFERROR(IF(0=LEN(ReferenceData!$BE$163),"",ReferenceData!$BE$163),"")</f>
        <v>31970.042000000001</v>
      </c>
      <c r="BF163">
        <f ca="1">IFERROR(IF(0=LEN(ReferenceData!$BF$163),"",ReferenceData!$BF$163),"")</f>
        <v>31781.929</v>
      </c>
      <c r="BG163">
        <f ca="1">IFERROR(IF(0=LEN(ReferenceData!$BG$163),"",ReferenceData!$BG$163),"")</f>
        <v>32568.824000000001</v>
      </c>
      <c r="BH163">
        <f ca="1">IFERROR(IF(0=LEN(ReferenceData!$BH$163),"",ReferenceData!$BH$163),"")</f>
        <v>33026.324999999997</v>
      </c>
      <c r="BI163">
        <f ca="1">IFERROR(IF(0=LEN(ReferenceData!$BI$163),"",ReferenceData!$BI$163),"")</f>
        <v>33416.822999999997</v>
      </c>
      <c r="BJ163">
        <f ca="1">IFERROR(IF(0=LEN(ReferenceData!$BJ$163),"",ReferenceData!$BJ$163),"")</f>
        <v>34400.307000000001</v>
      </c>
      <c r="BK163">
        <f ca="1">IFERROR(IF(0=LEN(ReferenceData!$BK$163),"",ReferenceData!$BK$163),"")</f>
        <v>35567.277000000002</v>
      </c>
      <c r="BL163">
        <f ca="1">IFERROR(IF(0=LEN(ReferenceData!$BL$163),"",ReferenceData!$BL$163),"")</f>
        <v>36203.887000000002</v>
      </c>
      <c r="BM163">
        <f ca="1">IFERROR(IF(0=LEN(ReferenceData!$BM$163),"",ReferenceData!$BM$163),"")</f>
        <v>36898.485000000001</v>
      </c>
    </row>
    <row r="164" spans="1:65" x14ac:dyDescent="0.25">
      <c r="A164" t="str">
        <f>IFERROR(IF(0=LEN(ReferenceData!$A$164),"",ReferenceData!$A$164),"")</f>
        <v xml:space="preserve">    Banco Bilbao Vizcaya Argentaria SA</v>
      </c>
      <c r="B164" t="str">
        <f>IFERROR(IF(0=LEN(ReferenceData!$B$164),"",ReferenceData!$B$164),"")</f>
        <v>BBVA SM Equity</v>
      </c>
      <c r="C164" t="str">
        <f>IFERROR(IF(0=LEN(ReferenceData!$C$164),"",ReferenceData!$C$164),"")</f>
        <v>BS018</v>
      </c>
      <c r="D164" t="str">
        <f>IFERROR(IF(0=LEN(ReferenceData!$D$164),"",ReferenceData!$D$164),"")</f>
        <v>BS_OTHER_LOAN</v>
      </c>
      <c r="E164" t="str">
        <f>IFERROR(IF(0=LEN(ReferenceData!$E$164),"",ReferenceData!$E$164),"")</f>
        <v>Dynamic</v>
      </c>
      <c r="F164">
        <f ca="1">IFERROR(IF(0=LEN(ReferenceData!$F$164),"",ReferenceData!$F$164),"")</f>
        <v>39395</v>
      </c>
      <c r="G164">
        <f ca="1">IFERROR(IF(0=LEN(ReferenceData!$G$164),"",ReferenceData!$G$164),"")</f>
        <v>47682</v>
      </c>
      <c r="H164">
        <f ca="1">IFERROR(IF(0=LEN(ReferenceData!$H$164),"",ReferenceData!$H$164),"")</f>
        <v>50782</v>
      </c>
      <c r="I164">
        <f ca="1">IFERROR(IF(0=LEN(ReferenceData!$I$164),"",ReferenceData!$I$164),"")</f>
        <v>49675</v>
      </c>
      <c r="J164">
        <f ca="1">IFERROR(IF(0=LEN(ReferenceData!$J$164),"",ReferenceData!$J$164),"")</f>
        <v>35079</v>
      </c>
      <c r="K164">
        <f ca="1">IFERROR(IF(0=LEN(ReferenceData!$K$164),"",ReferenceData!$K$164),"")</f>
        <v>51472</v>
      </c>
      <c r="L164">
        <f ca="1">IFERROR(IF(0=LEN(ReferenceData!$L$164),"",ReferenceData!$L$164),"")</f>
        <v>51821</v>
      </c>
      <c r="M164">
        <f ca="1">IFERROR(IF(0=LEN(ReferenceData!$M$164),"",ReferenceData!$M$164),"")</f>
        <v>47654</v>
      </c>
      <c r="N164">
        <f ca="1">IFERROR(IF(0=LEN(ReferenceData!$N$164),"",ReferenceData!$N$164),"")</f>
        <v>33168</v>
      </c>
      <c r="O164">
        <f ca="1">IFERROR(IF(0=LEN(ReferenceData!$O$164),"",ReferenceData!$O$164),"")</f>
        <v>46648</v>
      </c>
      <c r="P164">
        <f ca="1">IFERROR(IF(0=LEN(ReferenceData!$P$164),"",ReferenceData!$P$164),"")</f>
        <v>48984</v>
      </c>
      <c r="Q164">
        <f ca="1">IFERROR(IF(0=LEN(ReferenceData!$Q$164),"",ReferenceData!$Q$164),"")</f>
        <v>46416</v>
      </c>
      <c r="R164">
        <f ca="1">IFERROR(IF(0=LEN(ReferenceData!$R$164),"",ReferenceData!$R$164),"")</f>
        <v>30148</v>
      </c>
      <c r="S164">
        <f ca="1">IFERROR(IF(0=LEN(ReferenceData!$S$164),"",ReferenceData!$S$164),"")</f>
        <v>45514</v>
      </c>
      <c r="T164">
        <f ca="1">IFERROR(IF(0=LEN(ReferenceData!$T$164),"",ReferenceData!$T$164),"")</f>
        <v>47276</v>
      </c>
      <c r="U164">
        <f ca="1">IFERROR(IF(0=LEN(ReferenceData!$U$164),"",ReferenceData!$U$164),"")</f>
        <v>45110</v>
      </c>
      <c r="V164">
        <f ca="1">IFERROR(IF(0=LEN(ReferenceData!$V$164),"",ReferenceData!$V$164),"")</f>
        <v>29750</v>
      </c>
      <c r="W164">
        <f ca="1">IFERROR(IF(0=LEN(ReferenceData!$W$164),"",ReferenceData!$W$164),"")</f>
        <v>52911</v>
      </c>
      <c r="X164">
        <f ca="1">IFERROR(IF(0=LEN(ReferenceData!$X$164),"",ReferenceData!$X$164),"")</f>
        <v>56488</v>
      </c>
      <c r="Y164">
        <f ca="1">IFERROR(IF(0=LEN(ReferenceData!$Y$164),"",ReferenceData!$Y$164),"")</f>
        <v>47354</v>
      </c>
      <c r="Z164">
        <f ca="1">IFERROR(IF(0=LEN(ReferenceData!$Z$164),"",ReferenceData!$Z$164),"")</f>
        <v>35726</v>
      </c>
      <c r="AA164">
        <f ca="1">IFERROR(IF(0=LEN(ReferenceData!$AA$164),"",ReferenceData!$AA$164),"")</f>
        <v>57293</v>
      </c>
      <c r="AB164">
        <f ca="1">IFERROR(IF(0=LEN(ReferenceData!$AB$164),"",ReferenceData!$AB$164),"")</f>
        <v>57004</v>
      </c>
      <c r="AC164">
        <f ca="1">IFERROR(IF(0=LEN(ReferenceData!$AC$164),"",ReferenceData!$AC$164),"")</f>
        <v>56068</v>
      </c>
      <c r="AD164">
        <f ca="1">IFERROR(IF(0=LEN(ReferenceData!$AD$164),"",ReferenceData!$AD$164),"")</f>
        <v>55086</v>
      </c>
      <c r="AE164">
        <f ca="1">IFERROR(IF(0=LEN(ReferenceData!$AE$164),"",ReferenceData!$AE$164),"")</f>
        <v>45746</v>
      </c>
      <c r="AF164">
        <f ca="1">IFERROR(IF(0=LEN(ReferenceData!$AF$164),"",ReferenceData!$AF$164),"")</f>
        <v>65742</v>
      </c>
      <c r="AG164">
        <f ca="1">IFERROR(IF(0=LEN(ReferenceData!$AG$164),"",ReferenceData!$AG$164),"")</f>
        <v>78904</v>
      </c>
      <c r="AH164">
        <f ca="1">IFERROR(IF(0=LEN(ReferenceData!$AH$164),"",ReferenceData!$AH$164),"")</f>
        <v>53867</v>
      </c>
      <c r="AI164">
        <f ca="1">IFERROR(IF(0=LEN(ReferenceData!$AI$164),"",ReferenceData!$AI$164),"")</f>
        <v>62795</v>
      </c>
      <c r="AJ164">
        <f ca="1">IFERROR(IF(0=LEN(ReferenceData!$AJ$164),"",ReferenceData!$AJ$164),"")</f>
        <v>68253</v>
      </c>
      <c r="AK164">
        <f ca="1">IFERROR(IF(0=LEN(ReferenceData!$AK$164),"",ReferenceData!$AK$164),"")</f>
        <v>69033</v>
      </c>
      <c r="AL164">
        <f ca="1">IFERROR(IF(0=LEN(ReferenceData!$AL$164),"",ReferenceData!$AL$164),"")</f>
        <v>181769</v>
      </c>
      <c r="AM164">
        <f ca="1">IFERROR(IF(0=LEN(ReferenceData!$AM$164),"",ReferenceData!$AM$164),"")</f>
        <v>23588</v>
      </c>
      <c r="AN164">
        <f ca="1">IFERROR(IF(0=LEN(ReferenceData!$AN$164),"",ReferenceData!$AN$164),"")</f>
        <v>24212</v>
      </c>
      <c r="AO164">
        <f ca="1">IFERROR(IF(0=LEN(ReferenceData!$AO$164),"",ReferenceData!$AO$164),"")</f>
        <v>24826</v>
      </c>
      <c r="AP164">
        <f ca="1">IFERROR(IF(0=LEN(ReferenceData!$AP$164),"",ReferenceData!$AP$164),"")</f>
        <v>188750</v>
      </c>
      <c r="AQ164">
        <f ca="1">IFERROR(IF(0=LEN(ReferenceData!$AQ$164),"",ReferenceData!$AQ$164),"")</f>
        <v>25747</v>
      </c>
      <c r="AR164">
        <f ca="1">IFERROR(IF(0=LEN(ReferenceData!$AR$164),"",ReferenceData!$AR$164),"")</f>
        <v>25766</v>
      </c>
      <c r="AS164">
        <f ca="1">IFERROR(IF(0=LEN(ReferenceData!$AS$164),"",ReferenceData!$AS$164),"")</f>
        <v>22787</v>
      </c>
      <c r="AT164">
        <f ca="1">IFERROR(IF(0=LEN(ReferenceData!$AT$164),"",ReferenceData!$AT$164),"")</f>
        <v>70226</v>
      </c>
      <c r="AU164">
        <f ca="1">IFERROR(IF(0=LEN(ReferenceData!$AU$164),"",ReferenceData!$AU$164),"")</f>
        <v>23983</v>
      </c>
      <c r="AV164">
        <f ca="1">IFERROR(IF(0=LEN(ReferenceData!$AV$164),"",ReferenceData!$AV$164),"")</f>
        <v>24555</v>
      </c>
      <c r="AW164">
        <f ca="1">IFERROR(IF(0=LEN(ReferenceData!$AW$164),"",ReferenceData!$AW$164),"")</f>
        <v>25033</v>
      </c>
      <c r="AX164">
        <f ca="1">IFERROR(IF(0=LEN(ReferenceData!$AX$164),"",ReferenceData!$AX$164),"")</f>
        <v>62901</v>
      </c>
      <c r="AY164" t="str">
        <f ca="1">IFERROR(IF(0=LEN(ReferenceData!$AY$164),"",ReferenceData!$AY$164),"")</f>
        <v/>
      </c>
      <c r="AZ164">
        <f ca="1">IFERROR(IF(0=LEN(ReferenceData!$AZ$164),"",ReferenceData!$AZ$164),"")</f>
        <v>21811</v>
      </c>
      <c r="BA164">
        <f ca="1">IFERROR(IF(0=LEN(ReferenceData!$BA$164),"",ReferenceData!$BA$164),"")</f>
        <v>21448</v>
      </c>
      <c r="BB164">
        <f ca="1">IFERROR(IF(0=LEN(ReferenceData!$BB$164),"",ReferenceData!$BB$164),"")</f>
        <v>67312</v>
      </c>
      <c r="BC164" t="str">
        <f ca="1">IFERROR(IF(0=LEN(ReferenceData!$BC$164),"",ReferenceData!$BC$164),"")</f>
        <v/>
      </c>
      <c r="BD164" t="str">
        <f ca="1">IFERROR(IF(0=LEN(ReferenceData!$BD$164),"",ReferenceData!$BD$164),"")</f>
        <v/>
      </c>
      <c r="BE164" t="str">
        <f ca="1">IFERROR(IF(0=LEN(ReferenceData!$BE$164),"",ReferenceData!$BE$164),"")</f>
        <v/>
      </c>
      <c r="BF164">
        <f ca="1">IFERROR(IF(0=LEN(ReferenceData!$BF$164),"",ReferenceData!$BF$164),"")</f>
        <v>68625</v>
      </c>
      <c r="BG164" t="str">
        <f ca="1">IFERROR(IF(0=LEN(ReferenceData!$BG$164),"",ReferenceData!$BG$164),"")</f>
        <v/>
      </c>
      <c r="BH164" t="str">
        <f ca="1">IFERROR(IF(0=LEN(ReferenceData!$BH$164),"",ReferenceData!$BH$164),"")</f>
        <v/>
      </c>
      <c r="BI164" t="str">
        <f ca="1">IFERROR(IF(0=LEN(ReferenceData!$BI$164),"",ReferenceData!$BI$164),"")</f>
        <v/>
      </c>
      <c r="BJ164">
        <f ca="1">IFERROR(IF(0=LEN(ReferenceData!$BJ$164),"",ReferenceData!$BJ$164),"")</f>
        <v>62146</v>
      </c>
      <c r="BK164" t="str">
        <f ca="1">IFERROR(IF(0=LEN(ReferenceData!$BK$164),"",ReferenceData!$BK$164),"")</f>
        <v/>
      </c>
      <c r="BL164" t="str">
        <f ca="1">IFERROR(IF(0=LEN(ReferenceData!$BL$164),"",ReferenceData!$BL$164),"")</f>
        <v/>
      </c>
      <c r="BM164" t="str">
        <f ca="1">IFERROR(IF(0=LEN(ReferenceData!$BM$164),"",ReferenceData!$BM$164),"")</f>
        <v/>
      </c>
    </row>
    <row r="165" spans="1:65" x14ac:dyDescent="0.25">
      <c r="A165" t="str">
        <f>IFERROR(IF(0=LEN(ReferenceData!$A$165),"",ReferenceData!$A$165),"")</f>
        <v xml:space="preserve">    Bank of Ireland Group PLC</v>
      </c>
      <c r="B165" t="str">
        <f>IFERROR(IF(0=LEN(ReferenceData!$B$165),"",ReferenceData!$B$165),"")</f>
        <v>BIRG ID Equity</v>
      </c>
      <c r="C165" t="str">
        <f>IFERROR(IF(0=LEN(ReferenceData!$C$165),"",ReferenceData!$C$165),"")</f>
        <v>BS018</v>
      </c>
      <c r="D165" t="str">
        <f>IFERROR(IF(0=LEN(ReferenceData!$D$165),"",ReferenceData!$D$165),"")</f>
        <v>BS_OTHER_LOAN</v>
      </c>
      <c r="E165" t="str">
        <f>IFERROR(IF(0=LEN(ReferenceData!$E$165),"",ReferenceData!$E$165),"")</f>
        <v>Dynamic</v>
      </c>
      <c r="F165" t="str">
        <f ca="1">IFERROR(IF(0=LEN(ReferenceData!$F$165),"",ReferenceData!$F$165),"")</f>
        <v/>
      </c>
      <c r="G165" t="str">
        <f ca="1">IFERROR(IF(0=LEN(ReferenceData!$G$165),"",ReferenceData!$G$165),"")</f>
        <v/>
      </c>
      <c r="H165" t="str">
        <f ca="1">IFERROR(IF(0=LEN(ReferenceData!$H$165),"",ReferenceData!$H$165),"")</f>
        <v/>
      </c>
      <c r="I165" t="str">
        <f ca="1">IFERROR(IF(0=LEN(ReferenceData!$I$165),"",ReferenceData!$I$165),"")</f>
        <v/>
      </c>
      <c r="J165" t="str">
        <f ca="1">IFERROR(IF(0=LEN(ReferenceData!$J$165),"",ReferenceData!$J$165),"")</f>
        <v/>
      </c>
      <c r="K165" t="str">
        <f ca="1">IFERROR(IF(0=LEN(ReferenceData!$K$165),"",ReferenceData!$K$165),"")</f>
        <v/>
      </c>
      <c r="L165" t="str">
        <f ca="1">IFERROR(IF(0=LEN(ReferenceData!$L$165),"",ReferenceData!$L$165),"")</f>
        <v/>
      </c>
      <c r="M165" t="str">
        <f ca="1">IFERROR(IF(0=LEN(ReferenceData!$M$165),"",ReferenceData!$M$165),"")</f>
        <v/>
      </c>
      <c r="N165" t="str">
        <f ca="1">IFERROR(IF(0=LEN(ReferenceData!$N$165),"",ReferenceData!$N$165),"")</f>
        <v/>
      </c>
      <c r="O165" t="str">
        <f ca="1">IFERROR(IF(0=LEN(ReferenceData!$O$165),"",ReferenceData!$O$165),"")</f>
        <v/>
      </c>
      <c r="P165" t="str">
        <f ca="1">IFERROR(IF(0=LEN(ReferenceData!$P$165),"",ReferenceData!$P$165),"")</f>
        <v/>
      </c>
      <c r="Q165" t="str">
        <f ca="1">IFERROR(IF(0=LEN(ReferenceData!$Q$165),"",ReferenceData!$Q$165),"")</f>
        <v/>
      </c>
      <c r="R165" t="str">
        <f ca="1">IFERROR(IF(0=LEN(ReferenceData!$R$165),"",ReferenceData!$R$165),"")</f>
        <v/>
      </c>
      <c r="S165" t="str">
        <f ca="1">IFERROR(IF(0=LEN(ReferenceData!$S$165),"",ReferenceData!$S$165),"")</f>
        <v/>
      </c>
      <c r="T165" t="str">
        <f ca="1">IFERROR(IF(0=LEN(ReferenceData!$T$165),"",ReferenceData!$T$165),"")</f>
        <v/>
      </c>
      <c r="U165" t="str">
        <f ca="1">IFERROR(IF(0=LEN(ReferenceData!$U$165),"",ReferenceData!$U$165),"")</f>
        <v/>
      </c>
      <c r="V165" t="str">
        <f ca="1">IFERROR(IF(0=LEN(ReferenceData!$V$165),"",ReferenceData!$V$165),"")</f>
        <v/>
      </c>
      <c r="W165" t="str">
        <f ca="1">IFERROR(IF(0=LEN(ReferenceData!$W$165),"",ReferenceData!$W$165),"")</f>
        <v/>
      </c>
      <c r="X165" t="str">
        <f ca="1">IFERROR(IF(0=LEN(ReferenceData!$X$165),"",ReferenceData!$X$165),"")</f>
        <v/>
      </c>
      <c r="Y165" t="str">
        <f ca="1">IFERROR(IF(0=LEN(ReferenceData!$Y$165),"",ReferenceData!$Y$165),"")</f>
        <v/>
      </c>
      <c r="Z165" t="str">
        <f ca="1">IFERROR(IF(0=LEN(ReferenceData!$Z$165),"",ReferenceData!$Z$165),"")</f>
        <v/>
      </c>
      <c r="AA165" t="str">
        <f ca="1">IFERROR(IF(0=LEN(ReferenceData!$AA$165),"",ReferenceData!$AA$165),"")</f>
        <v/>
      </c>
      <c r="AB165" t="str">
        <f ca="1">IFERROR(IF(0=LEN(ReferenceData!$AB$165),"",ReferenceData!$AB$165),"")</f>
        <v/>
      </c>
      <c r="AC165" t="str">
        <f ca="1">IFERROR(IF(0=LEN(ReferenceData!$AC$165),"",ReferenceData!$AC$165),"")</f>
        <v/>
      </c>
      <c r="AD165" t="str">
        <f ca="1">IFERROR(IF(0=LEN(ReferenceData!$AD$165),"",ReferenceData!$AD$165),"")</f>
        <v/>
      </c>
      <c r="AE165" t="str">
        <f ca="1">IFERROR(IF(0=LEN(ReferenceData!$AE$165),"",ReferenceData!$AE$165),"")</f>
        <v/>
      </c>
      <c r="AF165" t="str">
        <f ca="1">IFERROR(IF(0=LEN(ReferenceData!$AF$165),"",ReferenceData!$AF$165),"")</f>
        <v/>
      </c>
      <c r="AG165" t="str">
        <f ca="1">IFERROR(IF(0=LEN(ReferenceData!$AG$165),"",ReferenceData!$AG$165),"")</f>
        <v/>
      </c>
      <c r="AH165" t="str">
        <f ca="1">IFERROR(IF(0=LEN(ReferenceData!$AH$165),"",ReferenceData!$AH$165),"")</f>
        <v/>
      </c>
      <c r="AI165" t="str">
        <f ca="1">IFERROR(IF(0=LEN(ReferenceData!$AI$165),"",ReferenceData!$AI$165),"")</f>
        <v/>
      </c>
      <c r="AJ165" t="str">
        <f ca="1">IFERROR(IF(0=LEN(ReferenceData!$AJ$165),"",ReferenceData!$AJ$165),"")</f>
        <v/>
      </c>
      <c r="AK165" t="str">
        <f ca="1">IFERROR(IF(0=LEN(ReferenceData!$AK$165),"",ReferenceData!$AK$165),"")</f>
        <v/>
      </c>
      <c r="AL165" t="str">
        <f ca="1">IFERROR(IF(0=LEN(ReferenceData!$AL$165),"",ReferenceData!$AL$165),"")</f>
        <v/>
      </c>
      <c r="AM165" t="str">
        <f ca="1">IFERROR(IF(0=LEN(ReferenceData!$AM$165),"",ReferenceData!$AM$165),"")</f>
        <v/>
      </c>
      <c r="AN165" t="str">
        <f ca="1">IFERROR(IF(0=LEN(ReferenceData!$AN$165),"",ReferenceData!$AN$165),"")</f>
        <v/>
      </c>
      <c r="AO165" t="str">
        <f ca="1">IFERROR(IF(0=LEN(ReferenceData!$AO$165),"",ReferenceData!$AO$165),"")</f>
        <v/>
      </c>
      <c r="AP165" t="str">
        <f ca="1">IFERROR(IF(0=LEN(ReferenceData!$AP$165),"",ReferenceData!$AP$165),"")</f>
        <v/>
      </c>
      <c r="AQ165" t="str">
        <f ca="1">IFERROR(IF(0=LEN(ReferenceData!$AQ$165),"",ReferenceData!$AQ$165),"")</f>
        <v/>
      </c>
      <c r="AR165" t="str">
        <f ca="1">IFERROR(IF(0=LEN(ReferenceData!$AR$165),"",ReferenceData!$AR$165),"")</f>
        <v/>
      </c>
      <c r="AS165" t="str">
        <f ca="1">IFERROR(IF(0=LEN(ReferenceData!$AS$165),"",ReferenceData!$AS$165),"")</f>
        <v/>
      </c>
      <c r="AT165" t="str">
        <f ca="1">IFERROR(IF(0=LEN(ReferenceData!$AT$165),"",ReferenceData!$AT$165),"")</f>
        <v/>
      </c>
      <c r="AU165" t="str">
        <f ca="1">IFERROR(IF(0=LEN(ReferenceData!$AU$165),"",ReferenceData!$AU$165),"")</f>
        <v/>
      </c>
      <c r="AV165" t="str">
        <f ca="1">IFERROR(IF(0=LEN(ReferenceData!$AV$165),"",ReferenceData!$AV$165),"")</f>
        <v/>
      </c>
      <c r="AW165" t="str">
        <f ca="1">IFERROR(IF(0=LEN(ReferenceData!$AW$165),"",ReferenceData!$AW$165),"")</f>
        <v/>
      </c>
      <c r="AX165" t="str">
        <f ca="1">IFERROR(IF(0=LEN(ReferenceData!$AX$165),"",ReferenceData!$AX$165),"")</f>
        <v/>
      </c>
      <c r="AY165" t="str">
        <f ca="1">IFERROR(IF(0=LEN(ReferenceData!$AY$165),"",ReferenceData!$AY$165),"")</f>
        <v/>
      </c>
      <c r="AZ165" t="str">
        <f ca="1">IFERROR(IF(0=LEN(ReferenceData!$AZ$165),"",ReferenceData!$AZ$165),"")</f>
        <v/>
      </c>
      <c r="BA165" t="str">
        <f ca="1">IFERROR(IF(0=LEN(ReferenceData!$BA$165),"",ReferenceData!$BA$165),"")</f>
        <v/>
      </c>
      <c r="BB165" t="str">
        <f ca="1">IFERROR(IF(0=LEN(ReferenceData!$BB$165),"",ReferenceData!$BB$165),"")</f>
        <v/>
      </c>
      <c r="BC165" t="str">
        <f ca="1">IFERROR(IF(0=LEN(ReferenceData!$BC$165),"",ReferenceData!$BC$165),"")</f>
        <v/>
      </c>
      <c r="BD165" t="str">
        <f ca="1">IFERROR(IF(0=LEN(ReferenceData!$BD$165),"",ReferenceData!$BD$165),"")</f>
        <v/>
      </c>
      <c r="BE165" t="str">
        <f ca="1">IFERROR(IF(0=LEN(ReferenceData!$BE$165),"",ReferenceData!$BE$165),"")</f>
        <v/>
      </c>
      <c r="BF165" t="str">
        <f ca="1">IFERROR(IF(0=LEN(ReferenceData!$BF$165),"",ReferenceData!$BF$165),"")</f>
        <v/>
      </c>
      <c r="BG165" t="str">
        <f ca="1">IFERROR(IF(0=LEN(ReferenceData!$BG$165),"",ReferenceData!$BG$165),"")</f>
        <v/>
      </c>
      <c r="BH165" t="str">
        <f ca="1">IFERROR(IF(0=LEN(ReferenceData!$BH$165),"",ReferenceData!$BH$165),"")</f>
        <v/>
      </c>
      <c r="BI165" t="str">
        <f ca="1">IFERROR(IF(0=LEN(ReferenceData!$BI$165),"",ReferenceData!$BI$165),"")</f>
        <v/>
      </c>
      <c r="BJ165" t="str">
        <f ca="1">IFERROR(IF(0=LEN(ReferenceData!$BJ$165),"",ReferenceData!$BJ$165),"")</f>
        <v/>
      </c>
      <c r="BK165" t="str">
        <f ca="1">IFERROR(IF(0=LEN(ReferenceData!$BK$165),"",ReferenceData!$BK$165),"")</f>
        <v/>
      </c>
      <c r="BL165" t="str">
        <f ca="1">IFERROR(IF(0=LEN(ReferenceData!$BL$165),"",ReferenceData!$BL$165),"")</f>
        <v/>
      </c>
      <c r="BM165" t="str">
        <f ca="1">IFERROR(IF(0=LEN(ReferenceData!$BM$165),"",ReferenceData!$BM$165),"")</f>
        <v/>
      </c>
    </row>
    <row r="166" spans="1:65" x14ac:dyDescent="0.25">
      <c r="A166" t="str">
        <f>IFERROR(IF(0=LEN(ReferenceData!$A$166),"",ReferenceData!$A$166),"")</f>
        <v xml:space="preserve">    Bankinter SA</v>
      </c>
      <c r="B166" t="str">
        <f>IFERROR(IF(0=LEN(ReferenceData!$B$166),"",ReferenceData!$B$166),"")</f>
        <v>BKT SM Equity</v>
      </c>
      <c r="C166" t="str">
        <f>IFERROR(IF(0=LEN(ReferenceData!$C$166),"",ReferenceData!$C$166),"")</f>
        <v>BS018</v>
      </c>
      <c r="D166" t="str">
        <f>IFERROR(IF(0=LEN(ReferenceData!$D$166),"",ReferenceData!$D$166),"")</f>
        <v>BS_OTHER_LOAN</v>
      </c>
      <c r="E166" t="str">
        <f>IFERROR(IF(0=LEN(ReferenceData!$E$166),"",ReferenceData!$E$166),"")</f>
        <v>Dynamic</v>
      </c>
      <c r="F166">
        <f ca="1">IFERROR(IF(0=LEN(ReferenceData!$F$166),"",ReferenceData!$F$166),"")</f>
        <v>15298.201999999999</v>
      </c>
      <c r="G166">
        <f ca="1">IFERROR(IF(0=LEN(ReferenceData!$G$166),"",ReferenceData!$G$166),"")</f>
        <v>15356.777</v>
      </c>
      <c r="H166">
        <f ca="1">IFERROR(IF(0=LEN(ReferenceData!$H$166),"",ReferenceData!$H$166),"")</f>
        <v>15538.855</v>
      </c>
      <c r="I166">
        <f ca="1">IFERROR(IF(0=LEN(ReferenceData!$I$166),"",ReferenceData!$I$166),"")</f>
        <v>15746.549000000001</v>
      </c>
      <c r="J166">
        <f ca="1">IFERROR(IF(0=LEN(ReferenceData!$J$166),"",ReferenceData!$J$166),"")</f>
        <v>28234.502</v>
      </c>
      <c r="K166">
        <f ca="1">IFERROR(IF(0=LEN(ReferenceData!$K$166),"",ReferenceData!$K$166),"")</f>
        <v>15139.251</v>
      </c>
      <c r="L166">
        <f ca="1">IFERROR(IF(0=LEN(ReferenceData!$L$166),"",ReferenceData!$L$166),"")</f>
        <v>15340.207</v>
      </c>
      <c r="M166">
        <f ca="1">IFERROR(IF(0=LEN(ReferenceData!$M$166),"",ReferenceData!$M$166),"")</f>
        <v>14710.794</v>
      </c>
      <c r="N166">
        <f ca="1">IFERROR(IF(0=LEN(ReferenceData!$N$166),"",ReferenceData!$N$166),"")</f>
        <v>26623.866000000002</v>
      </c>
      <c r="O166">
        <f ca="1">IFERROR(IF(0=LEN(ReferenceData!$O$166),"",ReferenceData!$O$166),"")</f>
        <v>15254.674000000001</v>
      </c>
      <c r="P166">
        <f ca="1">IFERROR(IF(0=LEN(ReferenceData!$P$166),"",ReferenceData!$P$166),"")</f>
        <v>14732.416999999999</v>
      </c>
      <c r="Q166">
        <f ca="1">IFERROR(IF(0=LEN(ReferenceData!$Q$166),"",ReferenceData!$Q$166),"")</f>
        <v>13973.739</v>
      </c>
      <c r="R166">
        <f ca="1">IFERROR(IF(0=LEN(ReferenceData!$R$166),"",ReferenceData!$R$166),"")</f>
        <v>25193.050999999999</v>
      </c>
      <c r="S166">
        <f ca="1">IFERROR(IF(0=LEN(ReferenceData!$S$166),"",ReferenceData!$S$166),"")</f>
        <v>13327.748</v>
      </c>
      <c r="T166">
        <f ca="1">IFERROR(IF(0=LEN(ReferenceData!$T$166),"",ReferenceData!$T$166),"")</f>
        <v>13891.468999999999</v>
      </c>
      <c r="U166">
        <f ca="1">IFERROR(IF(0=LEN(ReferenceData!$U$166),"",ReferenceData!$U$166),"")</f>
        <v>12920.614</v>
      </c>
      <c r="V166">
        <f ca="1">IFERROR(IF(0=LEN(ReferenceData!$V$166),"",ReferenceData!$V$166),"")</f>
        <v>25416.191999999999</v>
      </c>
      <c r="W166">
        <f ca="1">IFERROR(IF(0=LEN(ReferenceData!$W$166),"",ReferenceData!$W$166),"")</f>
        <v>13214.198</v>
      </c>
      <c r="X166">
        <f ca="1">IFERROR(IF(0=LEN(ReferenceData!$X$166),"",ReferenceData!$X$166),"")</f>
        <v>13468.472</v>
      </c>
      <c r="Y166">
        <f ca="1">IFERROR(IF(0=LEN(ReferenceData!$Y$166),"",ReferenceData!$Y$166),"")</f>
        <v>13837.761</v>
      </c>
      <c r="Z166">
        <f ca="1">IFERROR(IF(0=LEN(ReferenceData!$Z$166),"",ReferenceData!$Z$166),"")</f>
        <v>21375.017</v>
      </c>
      <c r="AA166">
        <f ca="1">IFERROR(IF(0=LEN(ReferenceData!$AA$166),"",ReferenceData!$AA$166),"")</f>
        <v>14048.550999999999</v>
      </c>
      <c r="AB166">
        <f ca="1">IFERROR(IF(0=LEN(ReferenceData!$AB$166),"",ReferenceData!$AB$166),"")</f>
        <v>14696.593000000001</v>
      </c>
      <c r="AC166">
        <f ca="1">IFERROR(IF(0=LEN(ReferenceData!$AC$166),"",ReferenceData!$AC$166),"")</f>
        <v>13923.561</v>
      </c>
      <c r="AD166">
        <f ca="1">IFERROR(IF(0=LEN(ReferenceData!$AD$166),"",ReferenceData!$AD$166),"")</f>
        <v>11929.655000000001</v>
      </c>
      <c r="AE166">
        <f ca="1">IFERROR(IF(0=LEN(ReferenceData!$AE$166),"",ReferenceData!$AE$166),"")</f>
        <v>14329.361000000001</v>
      </c>
      <c r="AF166">
        <f ca="1">IFERROR(IF(0=LEN(ReferenceData!$AF$166),"",ReferenceData!$AF$166),"")</f>
        <v>14249.24</v>
      </c>
      <c r="AG166">
        <f ca="1">IFERROR(IF(0=LEN(ReferenceData!$AG$166),"",ReferenceData!$AG$166),"")</f>
        <v>13410.459000000001</v>
      </c>
      <c r="AH166">
        <f ca="1">IFERROR(IF(0=LEN(ReferenceData!$AH$166),"",ReferenceData!$AH$166),"")</f>
        <v>11900.112999999999</v>
      </c>
      <c r="AI166">
        <f ca="1">IFERROR(IF(0=LEN(ReferenceData!$AI$166),"",ReferenceData!$AI$166),"")</f>
        <v>13361.205</v>
      </c>
      <c r="AJ166">
        <f ca="1">IFERROR(IF(0=LEN(ReferenceData!$AJ$166),"",ReferenceData!$AJ$166),"")</f>
        <v>13225.343999999999</v>
      </c>
      <c r="AK166">
        <f ca="1">IFERROR(IF(0=LEN(ReferenceData!$AK$166),"",ReferenceData!$AK$166),"")</f>
        <v>12798.333000000001</v>
      </c>
      <c r="AL166">
        <f ca="1">IFERROR(IF(0=LEN(ReferenceData!$AL$166),"",ReferenceData!$AL$166),"")</f>
        <v>11461.427</v>
      </c>
      <c r="AM166">
        <f ca="1">IFERROR(IF(0=LEN(ReferenceData!$AM$166),"",ReferenceData!$AM$166),"")</f>
        <v>12604.56</v>
      </c>
      <c r="AN166">
        <f ca="1">IFERROR(IF(0=LEN(ReferenceData!$AN$166),"",ReferenceData!$AN$166),"")</f>
        <v>12348.18</v>
      </c>
      <c r="AO166">
        <f ca="1">IFERROR(IF(0=LEN(ReferenceData!$AO$166),"",ReferenceData!$AO$166),"")</f>
        <v>11143.929</v>
      </c>
      <c r="AP166">
        <f ca="1">IFERROR(IF(0=LEN(ReferenceData!$AP$166),"",ReferenceData!$AP$166),"")</f>
        <v>17000.984</v>
      </c>
      <c r="AQ166">
        <f ca="1">IFERROR(IF(0=LEN(ReferenceData!$AQ$166),"",ReferenceData!$AQ$166),"")</f>
        <v>9790.8709999999992</v>
      </c>
      <c r="AR166">
        <f ca="1">IFERROR(IF(0=LEN(ReferenceData!$AR$166),"",ReferenceData!$AR$166),"")</f>
        <v>11057.519</v>
      </c>
      <c r="AS166">
        <f ca="1">IFERROR(IF(0=LEN(ReferenceData!$AS$166),"",ReferenceData!$AS$166),"")</f>
        <v>9065.1869999999999</v>
      </c>
      <c r="AT166">
        <f ca="1">IFERROR(IF(0=LEN(ReferenceData!$AT$166),"",ReferenceData!$AT$166),"")</f>
        <v>16733.527999999998</v>
      </c>
      <c r="AU166">
        <f ca="1">IFERROR(IF(0=LEN(ReferenceData!$AU$166),"",ReferenceData!$AU$166),"")</f>
        <v>9220.0130000000008</v>
      </c>
      <c r="AV166">
        <f ca="1">IFERROR(IF(0=LEN(ReferenceData!$AV$166),"",ReferenceData!$AV$166),"")</f>
        <v>11235.540999999999</v>
      </c>
      <c r="AW166">
        <f ca="1">IFERROR(IF(0=LEN(ReferenceData!$AW$166),"",ReferenceData!$AW$166),"")</f>
        <v>9575.0660000000007</v>
      </c>
      <c r="AX166">
        <f ca="1">IFERROR(IF(0=LEN(ReferenceData!$AX$166),"",ReferenceData!$AX$166),"")</f>
        <v>14800.434999999999</v>
      </c>
      <c r="AY166">
        <f ca="1">IFERROR(IF(0=LEN(ReferenceData!$AY$166),"",ReferenceData!$AY$166),"")</f>
        <v>10256.58</v>
      </c>
      <c r="AZ166">
        <f ca="1">IFERROR(IF(0=LEN(ReferenceData!$AZ$166),"",ReferenceData!$AZ$166),"")</f>
        <v>12560.866</v>
      </c>
      <c r="BA166">
        <f ca="1">IFERROR(IF(0=LEN(ReferenceData!$BA$166),"",ReferenceData!$BA$166),"")</f>
        <v>12169.17</v>
      </c>
      <c r="BB166">
        <f ca="1">IFERROR(IF(0=LEN(ReferenceData!$BB$166),"",ReferenceData!$BB$166),"")</f>
        <v>12340.125</v>
      </c>
      <c r="BC166">
        <f ca="1">IFERROR(IF(0=LEN(ReferenceData!$BC$166),"",ReferenceData!$BC$166),"")</f>
        <v>13534.875</v>
      </c>
      <c r="BD166">
        <f ca="1">IFERROR(IF(0=LEN(ReferenceData!$BD$166),"",ReferenceData!$BD$166),"")</f>
        <v>13232.153</v>
      </c>
      <c r="BE166">
        <f ca="1">IFERROR(IF(0=LEN(ReferenceData!$BE$166),"",ReferenceData!$BE$166),"")</f>
        <v>11783.695</v>
      </c>
      <c r="BF166">
        <f ca="1">IFERROR(IF(0=LEN(ReferenceData!$BF$166),"",ReferenceData!$BF$166),"")</f>
        <v>11120.075999999999</v>
      </c>
      <c r="BG166">
        <f ca="1">IFERROR(IF(0=LEN(ReferenceData!$BG$166),"",ReferenceData!$BG$166),"")</f>
        <v>11093.960999999999</v>
      </c>
      <c r="BH166">
        <f ca="1">IFERROR(IF(0=LEN(ReferenceData!$BH$166),"",ReferenceData!$BH$166),"")</f>
        <v>10701.957</v>
      </c>
      <c r="BI166">
        <f ca="1">IFERROR(IF(0=LEN(ReferenceData!$BI$166),"",ReferenceData!$BI$166),"")</f>
        <v>10130.166999999999</v>
      </c>
      <c r="BJ166">
        <f ca="1">IFERROR(IF(0=LEN(ReferenceData!$BJ$166),"",ReferenceData!$BJ$166),"")</f>
        <v>9435.3430000000008</v>
      </c>
      <c r="BK166">
        <f ca="1">IFERROR(IF(0=LEN(ReferenceData!$BK$166),"",ReferenceData!$BK$166),"")</f>
        <v>10117.337</v>
      </c>
      <c r="BL166">
        <f ca="1">IFERROR(IF(0=LEN(ReferenceData!$BL$166),"",ReferenceData!$BL$166),"")</f>
        <v>10128.369000000001</v>
      </c>
      <c r="BM166">
        <f ca="1">IFERROR(IF(0=LEN(ReferenceData!$BM$166),"",ReferenceData!$BM$166),"")</f>
        <v>10285.472</v>
      </c>
    </row>
    <row r="167" spans="1:65" x14ac:dyDescent="0.25">
      <c r="A167" t="str">
        <f>IFERROR(IF(0=LEN(ReferenceData!$A$167),"",ReferenceData!$A$167),"")</f>
        <v xml:space="preserve">    CaixaBank SA</v>
      </c>
      <c r="B167" t="str">
        <f>IFERROR(IF(0=LEN(ReferenceData!$B$167),"",ReferenceData!$B$167),"")</f>
        <v>CABK SM Equity</v>
      </c>
      <c r="C167" t="str">
        <f>IFERROR(IF(0=LEN(ReferenceData!$C$167),"",ReferenceData!$C$167),"")</f>
        <v>BS018</v>
      </c>
      <c r="D167" t="str">
        <f>IFERROR(IF(0=LEN(ReferenceData!$D$167),"",ReferenceData!$D$167),"")</f>
        <v>BS_OTHER_LOAN</v>
      </c>
      <c r="E167" t="str">
        <f>IFERROR(IF(0=LEN(ReferenceData!$E$167),"",ReferenceData!$E$167),"")</f>
        <v>Dynamic</v>
      </c>
      <c r="F167">
        <f ca="1">IFERROR(IF(0=LEN(ReferenceData!$F$167),"",ReferenceData!$F$167),"")</f>
        <v>35771</v>
      </c>
      <c r="G167">
        <f ca="1">IFERROR(IF(0=LEN(ReferenceData!$G$167),"",ReferenceData!$G$167),"")</f>
        <v>35367</v>
      </c>
      <c r="H167">
        <f ca="1">IFERROR(IF(0=LEN(ReferenceData!$H$167),"",ReferenceData!$H$167),"")</f>
        <v>41599</v>
      </c>
      <c r="I167">
        <f ca="1">IFERROR(IF(0=LEN(ReferenceData!$I$167),"",ReferenceData!$I$167),"")</f>
        <v>37474</v>
      </c>
      <c r="J167">
        <f ca="1">IFERROR(IF(0=LEN(ReferenceData!$J$167),"",ReferenceData!$J$167),"")</f>
        <v>15896</v>
      </c>
      <c r="K167">
        <f ca="1">IFERROR(IF(0=LEN(ReferenceData!$K$167),"",ReferenceData!$K$167),"")</f>
        <v>40656</v>
      </c>
      <c r="L167">
        <f ca="1">IFERROR(IF(0=LEN(ReferenceData!$L$167),"",ReferenceData!$L$167),"")</f>
        <v>46638</v>
      </c>
      <c r="M167">
        <f ca="1">IFERROR(IF(0=LEN(ReferenceData!$M$167),"",ReferenceData!$M$167),"")</f>
        <v>43788</v>
      </c>
      <c r="N167">
        <f ca="1">IFERROR(IF(0=LEN(ReferenceData!$N$167),"",ReferenceData!$N$167),"")</f>
        <v>19682</v>
      </c>
      <c r="O167">
        <f ca="1">IFERROR(IF(0=LEN(ReferenceData!$O$167),"",ReferenceData!$O$167),"")</f>
        <v>46844</v>
      </c>
      <c r="P167">
        <f ca="1">IFERROR(IF(0=LEN(ReferenceData!$P$167),"",ReferenceData!$P$167),"")</f>
        <v>22570</v>
      </c>
      <c r="Q167">
        <f ca="1">IFERROR(IF(0=LEN(ReferenceData!$Q$167),"",ReferenceData!$Q$167),"")</f>
        <v>49300</v>
      </c>
      <c r="R167">
        <f ca="1">IFERROR(IF(0=LEN(ReferenceData!$R$167),"",ReferenceData!$R$167),"")</f>
        <v>20619</v>
      </c>
      <c r="S167">
        <f ca="1">IFERROR(IF(0=LEN(ReferenceData!$S$167),"",ReferenceData!$S$167),"")</f>
        <v>24772</v>
      </c>
      <c r="T167">
        <f ca="1">IFERROR(IF(0=LEN(ReferenceData!$T$167),"",ReferenceData!$T$167),"")</f>
        <v>24813</v>
      </c>
      <c r="U167">
        <f ca="1">IFERROR(IF(0=LEN(ReferenceData!$U$167),"",ReferenceData!$U$167),"")</f>
        <v>49820</v>
      </c>
      <c r="V167">
        <f ca="1">IFERROR(IF(0=LEN(ReferenceData!$V$167),"",ReferenceData!$V$167),"")</f>
        <v>15534</v>
      </c>
      <c r="W167">
        <f ca="1">IFERROR(IF(0=LEN(ReferenceData!$W$167),"",ReferenceData!$W$167),"")</f>
        <v>12158</v>
      </c>
      <c r="X167">
        <f ca="1">IFERROR(IF(0=LEN(ReferenceData!$X$167),"",ReferenceData!$X$167),"")</f>
        <v>11924</v>
      </c>
      <c r="Y167">
        <f ca="1">IFERROR(IF(0=LEN(ReferenceData!$Y$167),"",ReferenceData!$Y$167),"")</f>
        <v>34160</v>
      </c>
      <c r="Z167">
        <f ca="1">IFERROR(IF(0=LEN(ReferenceData!$Z$167),"",ReferenceData!$Z$167),"")</f>
        <v>11216</v>
      </c>
      <c r="AA167">
        <f ca="1">IFERROR(IF(0=LEN(ReferenceData!$AA$167),"",ReferenceData!$AA$167),"")</f>
        <v>16125</v>
      </c>
      <c r="AB167">
        <f ca="1">IFERROR(IF(0=LEN(ReferenceData!$AB$167),"",ReferenceData!$AB$167),"")</f>
        <v>39510.436000000002</v>
      </c>
      <c r="AC167">
        <f ca="1">IFERROR(IF(0=LEN(ReferenceData!$AC$167),"",ReferenceData!$AC$167),"")</f>
        <v>33709</v>
      </c>
      <c r="AD167">
        <f ca="1">IFERROR(IF(0=LEN(ReferenceData!$AD$167),"",ReferenceData!$AD$167),"")</f>
        <v>10832</v>
      </c>
      <c r="AE167">
        <f ca="1">IFERROR(IF(0=LEN(ReferenceData!$AE$167),"",ReferenceData!$AE$167),"")</f>
        <v>45940</v>
      </c>
      <c r="AF167">
        <f ca="1">IFERROR(IF(0=LEN(ReferenceData!$AF$167),"",ReferenceData!$AF$167),"")</f>
        <v>37327.082999999999</v>
      </c>
      <c r="AG167">
        <f ca="1">IFERROR(IF(0=LEN(ReferenceData!$AG$167),"",ReferenceData!$AG$167),"")</f>
        <v>35277</v>
      </c>
      <c r="AH167">
        <f ca="1">IFERROR(IF(0=LEN(ReferenceData!$AH$167),"",ReferenceData!$AH$167),"")</f>
        <v>11196.861000000001</v>
      </c>
      <c r="AI167">
        <f ca="1">IFERROR(IF(0=LEN(ReferenceData!$AI$167),"",ReferenceData!$AI$167),"")</f>
        <v>12514</v>
      </c>
      <c r="AJ167">
        <f ca="1">IFERROR(IF(0=LEN(ReferenceData!$AJ$167),"",ReferenceData!$AJ$167),"")</f>
        <v>12112.803</v>
      </c>
      <c r="AK167">
        <f ca="1">IFERROR(IF(0=LEN(ReferenceData!$AK$167),"",ReferenceData!$AK$167),"")</f>
        <v>47824</v>
      </c>
      <c r="AL167">
        <f ca="1">IFERROR(IF(0=LEN(ReferenceData!$AL$167),"",ReferenceData!$AL$167),"")</f>
        <v>45615</v>
      </c>
      <c r="AM167">
        <f ca="1">IFERROR(IF(0=LEN(ReferenceData!$AM$167),"",ReferenceData!$AM$167),"")</f>
        <v>45793</v>
      </c>
      <c r="AN167">
        <f ca="1">IFERROR(IF(0=LEN(ReferenceData!$AN$167),"",ReferenceData!$AN$167),"")</f>
        <v>49030</v>
      </c>
      <c r="AO167">
        <f ca="1">IFERROR(IF(0=LEN(ReferenceData!$AO$167),"",ReferenceData!$AO$167),"")</f>
        <v>47538</v>
      </c>
      <c r="AP167">
        <f ca="1">IFERROR(IF(0=LEN(ReferenceData!$AP$167),"",ReferenceData!$AP$167),"")</f>
        <v>47378</v>
      </c>
      <c r="AQ167">
        <f ca="1">IFERROR(IF(0=LEN(ReferenceData!$AQ$167),"",ReferenceData!$AQ$167),"")</f>
        <v>51094</v>
      </c>
      <c r="AR167">
        <f ca="1">IFERROR(IF(0=LEN(ReferenceData!$AR$167),"",ReferenceData!$AR$167),"")</f>
        <v>53710</v>
      </c>
      <c r="AS167">
        <f ca="1">IFERROR(IF(0=LEN(ReferenceData!$AS$167),"",ReferenceData!$AS$167),"")</f>
        <v>48713</v>
      </c>
      <c r="AT167">
        <f ca="1">IFERROR(IF(0=LEN(ReferenceData!$AT$167),"",ReferenceData!$AT$167),"")</f>
        <v>48066</v>
      </c>
      <c r="AU167">
        <f ca="1">IFERROR(IF(0=LEN(ReferenceData!$AU$167),"",ReferenceData!$AU$167),"")</f>
        <v>43772</v>
      </c>
      <c r="AV167">
        <f ca="1">IFERROR(IF(0=LEN(ReferenceData!$AV$167),"",ReferenceData!$AV$167),"")</f>
        <v>46401</v>
      </c>
      <c r="AW167">
        <f ca="1">IFERROR(IF(0=LEN(ReferenceData!$AW$167),"",ReferenceData!$AW$167),"")</f>
        <v>43652</v>
      </c>
      <c r="AX167">
        <f ca="1">IFERROR(IF(0=LEN(ReferenceData!$AX$167),"",ReferenceData!$AX$167),"")</f>
        <v>49996</v>
      </c>
      <c r="AY167">
        <f ca="1">IFERROR(IF(0=LEN(ReferenceData!$AY$167),"",ReferenceData!$AY$167),"")</f>
        <v>47304</v>
      </c>
      <c r="AZ167">
        <f ca="1">IFERROR(IF(0=LEN(ReferenceData!$AZ$167),"",ReferenceData!$AZ$167),"")</f>
        <v>49600</v>
      </c>
      <c r="BA167">
        <f ca="1">IFERROR(IF(0=LEN(ReferenceData!$BA$167),"",ReferenceData!$BA$167),"")</f>
        <v>52938</v>
      </c>
      <c r="BB167">
        <f ca="1">IFERROR(IF(0=LEN(ReferenceData!$BB$167),"",ReferenceData!$BB$167),"")</f>
        <v>48703</v>
      </c>
      <c r="BC167">
        <f ca="1">IFERROR(IF(0=LEN(ReferenceData!$BC$167),"",ReferenceData!$BC$167),"")</f>
        <v>47504</v>
      </c>
      <c r="BD167">
        <f ca="1">IFERROR(IF(0=LEN(ReferenceData!$BD$167),"",ReferenceData!$BD$167),"")</f>
        <v>41080</v>
      </c>
      <c r="BE167">
        <f ca="1">IFERROR(IF(0=LEN(ReferenceData!$BE$167),"",ReferenceData!$BE$167),"")</f>
        <v>39334</v>
      </c>
      <c r="BF167">
        <f ca="1">IFERROR(IF(0=LEN(ReferenceData!$BF$167),"",ReferenceData!$BF$167),"")</f>
        <v>38425</v>
      </c>
      <c r="BG167">
        <f ca="1">IFERROR(IF(0=LEN(ReferenceData!$BG$167),"",ReferenceData!$BG$167),"")</f>
        <v>39190</v>
      </c>
      <c r="BH167">
        <f ca="1">IFERROR(IF(0=LEN(ReferenceData!$BH$167),"",ReferenceData!$BH$167),"")</f>
        <v>38076</v>
      </c>
      <c r="BI167">
        <f ca="1">IFERROR(IF(0=LEN(ReferenceData!$BI$167),"",ReferenceData!$BI$167),"")</f>
        <v>93157</v>
      </c>
      <c r="BJ167">
        <f ca="1">IFERROR(IF(0=LEN(ReferenceData!$BJ$167),"",ReferenceData!$BJ$167),"")</f>
        <v>38211</v>
      </c>
      <c r="BK167">
        <f ca="1">IFERROR(IF(0=LEN(ReferenceData!$BK$167),"",ReferenceData!$BK$167),"")</f>
        <v>36323</v>
      </c>
      <c r="BL167">
        <f ca="1">IFERROR(IF(0=LEN(ReferenceData!$BL$167),"",ReferenceData!$BL$167),"")</f>
        <v>36344</v>
      </c>
      <c r="BM167">
        <f ca="1">IFERROR(IF(0=LEN(ReferenceData!$BM$167),"",ReferenceData!$BM$167),"")</f>
        <v>84220</v>
      </c>
    </row>
    <row r="168" spans="1:65" x14ac:dyDescent="0.25">
      <c r="A168" t="str">
        <f>IFERROR(IF(0=LEN(ReferenceData!$A$168),"",ReferenceData!$A$168),"")</f>
        <v xml:space="preserve">    Commerzbank AG</v>
      </c>
      <c r="B168" t="str">
        <f>IFERROR(IF(0=LEN(ReferenceData!$B$168),"",ReferenceData!$B$168),"")</f>
        <v>CBK GR Equity</v>
      </c>
      <c r="C168" t="str">
        <f>IFERROR(IF(0=LEN(ReferenceData!$C$168),"",ReferenceData!$C$168),"")</f>
        <v>BS018</v>
      </c>
      <c r="D168" t="str">
        <f>IFERROR(IF(0=LEN(ReferenceData!$D$168),"",ReferenceData!$D$168),"")</f>
        <v>BS_OTHER_LOAN</v>
      </c>
      <c r="E168" t="str">
        <f>IFERROR(IF(0=LEN(ReferenceData!$E$168),"",ReferenceData!$E$168),"")</f>
        <v>Dynamic</v>
      </c>
      <c r="F168" t="str">
        <f ca="1">IFERROR(IF(0=LEN(ReferenceData!$F$168),"",ReferenceData!$F$168),"")</f>
        <v/>
      </c>
      <c r="G168" t="str">
        <f ca="1">IFERROR(IF(0=LEN(ReferenceData!$G$168),"",ReferenceData!$G$168),"")</f>
        <v/>
      </c>
      <c r="H168" t="str">
        <f ca="1">IFERROR(IF(0=LEN(ReferenceData!$H$168),"",ReferenceData!$H$168),"")</f>
        <v/>
      </c>
      <c r="I168" t="str">
        <f ca="1">IFERROR(IF(0=LEN(ReferenceData!$I$168),"",ReferenceData!$I$168),"")</f>
        <v/>
      </c>
      <c r="J168">
        <f ca="1">IFERROR(IF(0=LEN(ReferenceData!$J$168),"",ReferenceData!$J$168),"")</f>
        <v>32388</v>
      </c>
      <c r="K168" t="str">
        <f ca="1">IFERROR(IF(0=LEN(ReferenceData!$K$168),"",ReferenceData!$K$168),"")</f>
        <v/>
      </c>
      <c r="L168" t="str">
        <f ca="1">IFERROR(IF(0=LEN(ReferenceData!$L$168),"",ReferenceData!$L$168),"")</f>
        <v/>
      </c>
      <c r="M168" t="str">
        <f ca="1">IFERROR(IF(0=LEN(ReferenceData!$M$168),"",ReferenceData!$M$168),"")</f>
        <v/>
      </c>
      <c r="N168">
        <f ca="1">IFERROR(IF(0=LEN(ReferenceData!$N$168),"",ReferenceData!$N$168),"")</f>
        <v>30022</v>
      </c>
      <c r="O168" t="str">
        <f ca="1">IFERROR(IF(0=LEN(ReferenceData!$O$168),"",ReferenceData!$O$168),"")</f>
        <v/>
      </c>
      <c r="P168" t="str">
        <f ca="1">IFERROR(IF(0=LEN(ReferenceData!$P$168),"",ReferenceData!$P$168),"")</f>
        <v/>
      </c>
      <c r="Q168" t="str">
        <f ca="1">IFERROR(IF(0=LEN(ReferenceData!$Q$168),"",ReferenceData!$Q$168),"")</f>
        <v/>
      </c>
      <c r="R168">
        <f ca="1">IFERROR(IF(0=LEN(ReferenceData!$R$168),"",ReferenceData!$R$168),"")</f>
        <v>29525</v>
      </c>
      <c r="S168" t="str">
        <f ca="1">IFERROR(IF(0=LEN(ReferenceData!$S$168),"",ReferenceData!$S$168),"")</f>
        <v/>
      </c>
      <c r="T168">
        <f ca="1">IFERROR(IF(0=LEN(ReferenceData!$T$168),"",ReferenceData!$T$168),"")</f>
        <v>32650</v>
      </c>
      <c r="U168" t="str">
        <f ca="1">IFERROR(IF(0=LEN(ReferenceData!$U$168),"",ReferenceData!$U$168),"")</f>
        <v/>
      </c>
      <c r="V168">
        <f ca="1">IFERROR(IF(0=LEN(ReferenceData!$V$168),"",ReferenceData!$V$168),"")</f>
        <v>32325</v>
      </c>
      <c r="W168">
        <f ca="1">IFERROR(IF(0=LEN(ReferenceData!$W$168),"",ReferenceData!$W$168),"")</f>
        <v>20109</v>
      </c>
      <c r="X168">
        <f ca="1">IFERROR(IF(0=LEN(ReferenceData!$X$168),"",ReferenceData!$X$168),"")</f>
        <v>33401</v>
      </c>
      <c r="Y168">
        <f ca="1">IFERROR(IF(0=LEN(ReferenceData!$Y$168),"",ReferenceData!$Y$168),"")</f>
        <v>17336</v>
      </c>
      <c r="Z168">
        <f ca="1">IFERROR(IF(0=LEN(ReferenceData!$Z$168),"",ReferenceData!$Z$168),"")</f>
        <v>30053</v>
      </c>
      <c r="AA168">
        <f ca="1">IFERROR(IF(0=LEN(ReferenceData!$AA$168),"",ReferenceData!$AA$168),"")</f>
        <v>16694</v>
      </c>
      <c r="AB168">
        <f ca="1">IFERROR(IF(0=LEN(ReferenceData!$AB$168),"",ReferenceData!$AB$168),"")</f>
        <v>28894</v>
      </c>
      <c r="AC168">
        <f ca="1">IFERROR(IF(0=LEN(ReferenceData!$AC$168),"",ReferenceData!$AC$168),"")</f>
        <v>30301</v>
      </c>
      <c r="AD168">
        <f ca="1">IFERROR(IF(0=LEN(ReferenceData!$AD$168),"",ReferenceData!$AD$168),"")</f>
        <v>24618</v>
      </c>
      <c r="AE168">
        <f ca="1">IFERROR(IF(0=LEN(ReferenceData!$AE$168),"",ReferenceData!$AE$168),"")</f>
        <v>25553</v>
      </c>
      <c r="AF168">
        <f ca="1">IFERROR(IF(0=LEN(ReferenceData!$AF$168),"",ReferenceData!$AF$168),"")</f>
        <v>26360</v>
      </c>
      <c r="AG168">
        <f ca="1">IFERROR(IF(0=LEN(ReferenceData!$AG$168),"",ReferenceData!$AG$168),"")</f>
        <v>26419</v>
      </c>
      <c r="AH168">
        <f ca="1">IFERROR(IF(0=LEN(ReferenceData!$AH$168),"",ReferenceData!$AH$168),"")</f>
        <v>29482</v>
      </c>
      <c r="AI168" t="str">
        <f ca="1">IFERROR(IF(0=LEN(ReferenceData!$AI$168),"",ReferenceData!$AI$168),"")</f>
        <v/>
      </c>
      <c r="AJ168" t="str">
        <f ca="1">IFERROR(IF(0=LEN(ReferenceData!$AJ$168),"",ReferenceData!$AJ$168),"")</f>
        <v/>
      </c>
      <c r="AK168" t="str">
        <f ca="1">IFERROR(IF(0=LEN(ReferenceData!$AK$168),"",ReferenceData!$AK$168),"")</f>
        <v/>
      </c>
      <c r="AL168">
        <f ca="1">IFERROR(IF(0=LEN(ReferenceData!$AL$168),"",ReferenceData!$AL$168),"")</f>
        <v>53882</v>
      </c>
      <c r="AM168" t="str">
        <f ca="1">IFERROR(IF(0=LEN(ReferenceData!$AM$168),"",ReferenceData!$AM$168),"")</f>
        <v/>
      </c>
      <c r="AN168" t="str">
        <f ca="1">IFERROR(IF(0=LEN(ReferenceData!$AN$168),"",ReferenceData!$AN$168),"")</f>
        <v/>
      </c>
      <c r="AO168">
        <f ca="1">IFERROR(IF(0=LEN(ReferenceData!$AO$168),"",ReferenceData!$AO$168),"")</f>
        <v>184107</v>
      </c>
      <c r="AP168">
        <f ca="1">IFERROR(IF(0=LEN(ReferenceData!$AP$168),"",ReferenceData!$AP$168),"")</f>
        <v>79297</v>
      </c>
      <c r="AQ168">
        <f ca="1">IFERROR(IF(0=LEN(ReferenceData!$AQ$168),"",ReferenceData!$AQ$168),"")</f>
        <v>182819</v>
      </c>
      <c r="AR168">
        <f ca="1">IFERROR(IF(0=LEN(ReferenceData!$AR$168),"",ReferenceData!$AR$168),"")</f>
        <v>186362</v>
      </c>
      <c r="AS168">
        <f ca="1">IFERROR(IF(0=LEN(ReferenceData!$AS$168),"",ReferenceData!$AS$168),"")</f>
        <v>189899</v>
      </c>
      <c r="AT168">
        <f ca="1">IFERROR(IF(0=LEN(ReferenceData!$AT$168),"",ReferenceData!$AT$168),"")</f>
        <v>84620</v>
      </c>
      <c r="AU168">
        <f ca="1">IFERROR(IF(0=LEN(ReferenceData!$AU$168),"",ReferenceData!$AU$168),"")</f>
        <v>191604</v>
      </c>
      <c r="AV168">
        <f ca="1">IFERROR(IF(0=LEN(ReferenceData!$AV$168),"",ReferenceData!$AV$168),"")</f>
        <v>189076</v>
      </c>
      <c r="AW168">
        <f ca="1">IFERROR(IF(0=LEN(ReferenceData!$AW$168),"",ReferenceData!$AW$168),"")</f>
        <v>191771</v>
      </c>
      <c r="AX168">
        <f ca="1">IFERROR(IF(0=LEN(ReferenceData!$AX$168),"",ReferenceData!$AX$168),"")</f>
        <v>91150</v>
      </c>
      <c r="AY168">
        <f ca="1">IFERROR(IF(0=LEN(ReferenceData!$AY$168),"",ReferenceData!$AY$168),"")</f>
        <v>201179</v>
      </c>
      <c r="AZ168">
        <f ca="1">IFERROR(IF(0=LEN(ReferenceData!$AZ$168),"",ReferenceData!$AZ$168),"")</f>
        <v>195765</v>
      </c>
      <c r="BA168">
        <f ca="1">IFERROR(IF(0=LEN(ReferenceData!$BA$168),"",ReferenceData!$BA$168),"")</f>
        <v>213093</v>
      </c>
      <c r="BB168">
        <f ca="1">IFERROR(IF(0=LEN(ReferenceData!$BB$168),"",ReferenceData!$BB$168),"")</f>
        <v>100837</v>
      </c>
      <c r="BC168">
        <f ca="1">IFERROR(IF(0=LEN(ReferenceData!$BC$168),"",ReferenceData!$BC$168),"")</f>
        <v>228000</v>
      </c>
      <c r="BD168">
        <f ca="1">IFERROR(IF(0=LEN(ReferenceData!$BD$168),"",ReferenceData!$BD$168),"")</f>
        <v>239359</v>
      </c>
      <c r="BE168">
        <f ca="1">IFERROR(IF(0=LEN(ReferenceData!$BE$168),"",ReferenceData!$BE$168),"")</f>
        <v>244694</v>
      </c>
      <c r="BF168">
        <f ca="1">IFERROR(IF(0=LEN(ReferenceData!$BF$168),"",ReferenceData!$BF$168),"")</f>
        <v>8460</v>
      </c>
      <c r="BG168">
        <f ca="1">IFERROR(IF(0=LEN(ReferenceData!$BG$168),"",ReferenceData!$BG$168),"")</f>
        <v>257571</v>
      </c>
      <c r="BH168">
        <f ca="1">IFERROR(IF(0=LEN(ReferenceData!$BH$168),"",ReferenceData!$BH$168),"")</f>
        <v>258784</v>
      </c>
      <c r="BI168">
        <f ca="1">IFERROR(IF(0=LEN(ReferenceData!$BI$168),"",ReferenceData!$BI$168),"")</f>
        <v>273077</v>
      </c>
      <c r="BJ168" t="str">
        <f ca="1">IFERROR(IF(0=LEN(ReferenceData!$BJ$168),"",ReferenceData!$BJ$168),"")</f>
        <v/>
      </c>
      <c r="BK168">
        <f ca="1">IFERROR(IF(0=LEN(ReferenceData!$BK$168),"",ReferenceData!$BK$168),"")</f>
        <v>288455</v>
      </c>
      <c r="BL168">
        <f ca="1">IFERROR(IF(0=LEN(ReferenceData!$BL$168),"",ReferenceData!$BL$168),"")</f>
        <v>298030</v>
      </c>
      <c r="BM168">
        <f ca="1">IFERROR(IF(0=LEN(ReferenceData!$BM$168),"",ReferenceData!$BM$168),"")</f>
        <v>304947</v>
      </c>
    </row>
    <row r="169" spans="1:65" x14ac:dyDescent="0.25">
      <c r="A169" t="str">
        <f>IFERROR(IF(0=LEN(ReferenceData!$A$169),"",ReferenceData!$A$169),"")</f>
        <v xml:space="preserve">    Credit Agricole SA</v>
      </c>
      <c r="B169" t="str">
        <f>IFERROR(IF(0=LEN(ReferenceData!$B$169),"",ReferenceData!$B$169),"")</f>
        <v>ACA FP Equity</v>
      </c>
      <c r="C169" t="str">
        <f>IFERROR(IF(0=LEN(ReferenceData!$C$169),"",ReferenceData!$C$169),"")</f>
        <v>BS018</v>
      </c>
      <c r="D169" t="str">
        <f>IFERROR(IF(0=LEN(ReferenceData!$D$169),"",ReferenceData!$D$169),"")</f>
        <v>BS_OTHER_LOAN</v>
      </c>
      <c r="E169" t="str">
        <f>IFERROR(IF(0=LEN(ReferenceData!$E$169),"",ReferenceData!$E$169),"")</f>
        <v>Dynamic</v>
      </c>
      <c r="F169">
        <f ca="1">IFERROR(IF(0=LEN(ReferenceData!$F$169),"",ReferenceData!$F$169),"")</f>
        <v>45243</v>
      </c>
      <c r="G169" t="str">
        <f ca="1">IFERROR(IF(0=LEN(ReferenceData!$G$169),"",ReferenceData!$G$169),"")</f>
        <v/>
      </c>
      <c r="H169">
        <f ca="1">IFERROR(IF(0=LEN(ReferenceData!$H$169),"",ReferenceData!$H$169),"")</f>
        <v>46721</v>
      </c>
      <c r="I169" t="str">
        <f ca="1">IFERROR(IF(0=LEN(ReferenceData!$I$169),"",ReferenceData!$I$169),"")</f>
        <v/>
      </c>
      <c r="J169">
        <f ca="1">IFERROR(IF(0=LEN(ReferenceData!$J$169),"",ReferenceData!$J$169),"")</f>
        <v>43603</v>
      </c>
      <c r="K169" t="str">
        <f ca="1">IFERROR(IF(0=LEN(ReferenceData!$K$169),"",ReferenceData!$K$169),"")</f>
        <v/>
      </c>
      <c r="L169">
        <f ca="1">IFERROR(IF(0=LEN(ReferenceData!$L$169),"",ReferenceData!$L$169),"")</f>
        <v>42293</v>
      </c>
      <c r="M169" t="str">
        <f ca="1">IFERROR(IF(0=LEN(ReferenceData!$M$169),"",ReferenceData!$M$169),"")</f>
        <v/>
      </c>
      <c r="N169">
        <f ca="1">IFERROR(IF(0=LEN(ReferenceData!$N$169),"",ReferenceData!$N$169),"")</f>
        <v>34838</v>
      </c>
      <c r="O169" t="str">
        <f ca="1">IFERROR(IF(0=LEN(ReferenceData!$O$169),"",ReferenceData!$O$169),"")</f>
        <v/>
      </c>
      <c r="P169">
        <f ca="1">IFERROR(IF(0=LEN(ReferenceData!$P$169),"",ReferenceData!$P$169),"")</f>
        <v>35288</v>
      </c>
      <c r="Q169" t="str">
        <f ca="1">IFERROR(IF(0=LEN(ReferenceData!$Q$169),"",ReferenceData!$Q$169),"")</f>
        <v/>
      </c>
      <c r="R169">
        <f ca="1">IFERROR(IF(0=LEN(ReferenceData!$R$169),"",ReferenceData!$R$169),"")</f>
        <v>31083</v>
      </c>
      <c r="S169" t="str">
        <f ca="1">IFERROR(IF(0=LEN(ReferenceData!$S$169),"",ReferenceData!$S$169),"")</f>
        <v/>
      </c>
      <c r="T169">
        <f ca="1">IFERROR(IF(0=LEN(ReferenceData!$T$169),"",ReferenceData!$T$169),"")</f>
        <v>32149</v>
      </c>
      <c r="U169" t="str">
        <f ca="1">IFERROR(IF(0=LEN(ReferenceData!$U$169),"",ReferenceData!$U$169),"")</f>
        <v/>
      </c>
      <c r="V169">
        <f ca="1">IFERROR(IF(0=LEN(ReferenceData!$V$169),"",ReferenceData!$V$169),"")</f>
        <v>31227</v>
      </c>
      <c r="W169" t="str">
        <f ca="1">IFERROR(IF(0=LEN(ReferenceData!$W$169),"",ReferenceData!$W$169),"")</f>
        <v/>
      </c>
      <c r="X169">
        <f ca="1">IFERROR(IF(0=LEN(ReferenceData!$X$169),"",ReferenceData!$X$169),"")</f>
        <v>33178</v>
      </c>
      <c r="Y169" t="str">
        <f ca="1">IFERROR(IF(0=LEN(ReferenceData!$Y$169),"",ReferenceData!$Y$169),"")</f>
        <v/>
      </c>
      <c r="Z169">
        <f ca="1">IFERROR(IF(0=LEN(ReferenceData!$Z$169),"",ReferenceData!$Z$169),"")</f>
        <v>32458</v>
      </c>
      <c r="AA169" t="str">
        <f ca="1">IFERROR(IF(0=LEN(ReferenceData!$AA$169),"",ReferenceData!$AA$169),"")</f>
        <v/>
      </c>
      <c r="AB169">
        <f ca="1">IFERROR(IF(0=LEN(ReferenceData!$AB$169),"",ReferenceData!$AB$169),"")</f>
        <v>31473</v>
      </c>
      <c r="AC169" t="str">
        <f ca="1">IFERROR(IF(0=LEN(ReferenceData!$AC$169),"",ReferenceData!$AC$169),"")</f>
        <v/>
      </c>
      <c r="AD169" t="str">
        <f ca="1">IFERROR(IF(0=LEN(ReferenceData!$AD$169),"",ReferenceData!$AD$169),"")</f>
        <v/>
      </c>
      <c r="AE169" t="str">
        <f ca="1">IFERROR(IF(0=LEN(ReferenceData!$AE$169),"",ReferenceData!$AE$169),"")</f>
        <v/>
      </c>
      <c r="AF169" t="str">
        <f ca="1">IFERROR(IF(0=LEN(ReferenceData!$AF$169),"",ReferenceData!$AF$169),"")</f>
        <v/>
      </c>
      <c r="AG169" t="str">
        <f ca="1">IFERROR(IF(0=LEN(ReferenceData!$AG$169),"",ReferenceData!$AG$169),"")</f>
        <v/>
      </c>
      <c r="AH169" t="str">
        <f ca="1">IFERROR(IF(0=LEN(ReferenceData!$AH$169),"",ReferenceData!$AH$169),"")</f>
        <v/>
      </c>
      <c r="AI169" t="str">
        <f ca="1">IFERROR(IF(0=LEN(ReferenceData!$AI$169),"",ReferenceData!$AI$169),"")</f>
        <v/>
      </c>
      <c r="AJ169" t="str">
        <f ca="1">IFERROR(IF(0=LEN(ReferenceData!$AJ$169),"",ReferenceData!$AJ$169),"")</f>
        <v/>
      </c>
      <c r="AK169" t="str">
        <f ca="1">IFERROR(IF(0=LEN(ReferenceData!$AK$169),"",ReferenceData!$AK$169),"")</f>
        <v/>
      </c>
      <c r="AL169" t="str">
        <f ca="1">IFERROR(IF(0=LEN(ReferenceData!$AL$169),"",ReferenceData!$AL$169),"")</f>
        <v/>
      </c>
      <c r="AM169" t="str">
        <f ca="1">IFERROR(IF(0=LEN(ReferenceData!$AM$169),"",ReferenceData!$AM$169),"")</f>
        <v/>
      </c>
      <c r="AN169" t="str">
        <f ca="1">IFERROR(IF(0=LEN(ReferenceData!$AN$169),"",ReferenceData!$AN$169),"")</f>
        <v/>
      </c>
      <c r="AO169" t="str">
        <f ca="1">IFERROR(IF(0=LEN(ReferenceData!$AO$169),"",ReferenceData!$AO$169),"")</f>
        <v/>
      </c>
      <c r="AP169" t="str">
        <f ca="1">IFERROR(IF(0=LEN(ReferenceData!$AP$169),"",ReferenceData!$AP$169),"")</f>
        <v/>
      </c>
      <c r="AQ169" t="str">
        <f ca="1">IFERROR(IF(0=LEN(ReferenceData!$AQ$169),"",ReferenceData!$AQ$169),"")</f>
        <v/>
      </c>
      <c r="AR169" t="str">
        <f ca="1">IFERROR(IF(0=LEN(ReferenceData!$AR$169),"",ReferenceData!$AR$169),"")</f>
        <v/>
      </c>
      <c r="AS169" t="str">
        <f ca="1">IFERROR(IF(0=LEN(ReferenceData!$AS$169),"",ReferenceData!$AS$169),"")</f>
        <v/>
      </c>
      <c r="AT169" t="str">
        <f ca="1">IFERROR(IF(0=LEN(ReferenceData!$AT$169),"",ReferenceData!$AT$169),"")</f>
        <v/>
      </c>
      <c r="AU169" t="str">
        <f ca="1">IFERROR(IF(0=LEN(ReferenceData!$AU$169),"",ReferenceData!$AU$169),"")</f>
        <v/>
      </c>
      <c r="AV169" t="str">
        <f ca="1">IFERROR(IF(0=LEN(ReferenceData!$AV$169),"",ReferenceData!$AV$169),"")</f>
        <v/>
      </c>
      <c r="AW169" t="str">
        <f ca="1">IFERROR(IF(0=LEN(ReferenceData!$AW$169),"",ReferenceData!$AW$169),"")</f>
        <v/>
      </c>
      <c r="AX169" t="str">
        <f ca="1">IFERROR(IF(0=LEN(ReferenceData!$AX$169),"",ReferenceData!$AX$169),"")</f>
        <v/>
      </c>
      <c r="AY169" t="str">
        <f ca="1">IFERROR(IF(0=LEN(ReferenceData!$AY$169),"",ReferenceData!$AY$169),"")</f>
        <v/>
      </c>
      <c r="AZ169" t="str">
        <f ca="1">IFERROR(IF(0=LEN(ReferenceData!$AZ$169),"",ReferenceData!$AZ$169),"")</f>
        <v/>
      </c>
      <c r="BA169" t="str">
        <f ca="1">IFERROR(IF(0=LEN(ReferenceData!$BA$169),"",ReferenceData!$BA$169),"")</f>
        <v/>
      </c>
      <c r="BB169" t="str">
        <f ca="1">IFERROR(IF(0=LEN(ReferenceData!$BB$169),"",ReferenceData!$BB$169),"")</f>
        <v/>
      </c>
      <c r="BC169" t="str">
        <f ca="1">IFERROR(IF(0=LEN(ReferenceData!$BC$169),"",ReferenceData!$BC$169),"")</f>
        <v/>
      </c>
      <c r="BD169" t="str">
        <f ca="1">IFERROR(IF(0=LEN(ReferenceData!$BD$169),"",ReferenceData!$BD$169),"")</f>
        <v/>
      </c>
      <c r="BE169" t="str">
        <f ca="1">IFERROR(IF(0=LEN(ReferenceData!$BE$169),"",ReferenceData!$BE$169),"")</f>
        <v/>
      </c>
      <c r="BF169" t="str">
        <f ca="1">IFERROR(IF(0=LEN(ReferenceData!$BF$169),"",ReferenceData!$BF$169),"")</f>
        <v/>
      </c>
      <c r="BG169" t="str">
        <f ca="1">IFERROR(IF(0=LEN(ReferenceData!$BG$169),"",ReferenceData!$BG$169),"")</f>
        <v/>
      </c>
      <c r="BH169" t="str">
        <f ca="1">IFERROR(IF(0=LEN(ReferenceData!$BH$169),"",ReferenceData!$BH$169),"")</f>
        <v/>
      </c>
      <c r="BI169" t="str">
        <f ca="1">IFERROR(IF(0=LEN(ReferenceData!$BI$169),"",ReferenceData!$BI$169),"")</f>
        <v/>
      </c>
      <c r="BJ169" t="str">
        <f ca="1">IFERROR(IF(0=LEN(ReferenceData!$BJ$169),"",ReferenceData!$BJ$169),"")</f>
        <v/>
      </c>
      <c r="BK169" t="str">
        <f ca="1">IFERROR(IF(0=LEN(ReferenceData!$BK$169),"",ReferenceData!$BK$169),"")</f>
        <v/>
      </c>
      <c r="BL169" t="str">
        <f ca="1">IFERROR(IF(0=LEN(ReferenceData!$BL$169),"",ReferenceData!$BL$169),"")</f>
        <v/>
      </c>
      <c r="BM169" t="str">
        <f ca="1">IFERROR(IF(0=LEN(ReferenceData!$BM$169),"",ReferenceData!$BM$169),"")</f>
        <v/>
      </c>
    </row>
    <row r="170" spans="1:65" x14ac:dyDescent="0.25">
      <c r="A170" t="str">
        <f>IFERROR(IF(0=LEN(ReferenceData!$A$170),"",ReferenceData!$A$170),"")</f>
        <v xml:space="preserve">    Deutsche Bank AG</v>
      </c>
      <c r="B170" t="str">
        <f>IFERROR(IF(0=LEN(ReferenceData!$B$170),"",ReferenceData!$B$170),"")</f>
        <v>DBK GR Equity</v>
      </c>
      <c r="C170" t="str">
        <f>IFERROR(IF(0=LEN(ReferenceData!$C$170),"",ReferenceData!$C$170),"")</f>
        <v>BS018</v>
      </c>
      <c r="D170" t="str">
        <f>IFERROR(IF(0=LEN(ReferenceData!$D$170),"",ReferenceData!$D$170),"")</f>
        <v>BS_OTHER_LOAN</v>
      </c>
      <c r="E170" t="str">
        <f>IFERROR(IF(0=LEN(ReferenceData!$E$170),"",ReferenceData!$E$170),"")</f>
        <v>Dynamic</v>
      </c>
      <c r="F170">
        <f ca="1">IFERROR(IF(0=LEN(ReferenceData!$F$170),"",ReferenceData!$F$170),"")</f>
        <v>5483</v>
      </c>
      <c r="G170" t="str">
        <f ca="1">IFERROR(IF(0=LEN(ReferenceData!$G$170),"",ReferenceData!$G$170),"")</f>
        <v/>
      </c>
      <c r="H170" t="str">
        <f ca="1">IFERROR(IF(0=LEN(ReferenceData!$H$170),"",ReferenceData!$H$170),"")</f>
        <v/>
      </c>
      <c r="I170" t="str">
        <f ca="1">IFERROR(IF(0=LEN(ReferenceData!$I$170),"",ReferenceData!$I$170),"")</f>
        <v/>
      </c>
      <c r="J170">
        <f ca="1">IFERROR(IF(0=LEN(ReferenceData!$J$170),"",ReferenceData!$J$170),"")</f>
        <v>3375</v>
      </c>
      <c r="K170" t="str">
        <f ca="1">IFERROR(IF(0=LEN(ReferenceData!$K$170),"",ReferenceData!$K$170),"")</f>
        <v/>
      </c>
      <c r="L170" t="str">
        <f ca="1">IFERROR(IF(0=LEN(ReferenceData!$L$170),"",ReferenceData!$L$170),"")</f>
        <v/>
      </c>
      <c r="M170" t="str">
        <f ca="1">IFERROR(IF(0=LEN(ReferenceData!$M$170),"",ReferenceData!$M$170),"")</f>
        <v/>
      </c>
      <c r="N170">
        <f ca="1">IFERROR(IF(0=LEN(ReferenceData!$N$170),"",ReferenceData!$N$170),"")</f>
        <v>4475</v>
      </c>
      <c r="O170" t="str">
        <f ca="1">IFERROR(IF(0=LEN(ReferenceData!$O$170),"",ReferenceData!$O$170),"")</f>
        <v/>
      </c>
      <c r="P170" t="str">
        <f ca="1">IFERROR(IF(0=LEN(ReferenceData!$P$170),"",ReferenceData!$P$170),"")</f>
        <v/>
      </c>
      <c r="Q170" t="str">
        <f ca="1">IFERROR(IF(0=LEN(ReferenceData!$Q$170),"",ReferenceData!$Q$170),"")</f>
        <v/>
      </c>
      <c r="R170">
        <f ca="1">IFERROR(IF(0=LEN(ReferenceData!$R$170),"",ReferenceData!$R$170),"")</f>
        <v>5034</v>
      </c>
      <c r="S170" t="str">
        <f ca="1">IFERROR(IF(0=LEN(ReferenceData!$S$170),"",ReferenceData!$S$170),"")</f>
        <v/>
      </c>
      <c r="T170" t="str">
        <f ca="1">IFERROR(IF(0=LEN(ReferenceData!$T$170),"",ReferenceData!$T$170),"")</f>
        <v/>
      </c>
      <c r="U170" t="str">
        <f ca="1">IFERROR(IF(0=LEN(ReferenceData!$U$170),"",ReferenceData!$U$170),"")</f>
        <v/>
      </c>
      <c r="V170">
        <f ca="1">IFERROR(IF(0=LEN(ReferenceData!$V$170),"",ReferenceData!$V$170),"")</f>
        <v>5771</v>
      </c>
      <c r="W170" t="str">
        <f ca="1">IFERROR(IF(0=LEN(ReferenceData!$W$170),"",ReferenceData!$W$170),"")</f>
        <v/>
      </c>
      <c r="X170" t="str">
        <f ca="1">IFERROR(IF(0=LEN(ReferenceData!$X$170),"",ReferenceData!$X$170),"")</f>
        <v/>
      </c>
      <c r="Y170" t="str">
        <f ca="1">IFERROR(IF(0=LEN(ReferenceData!$Y$170),"",ReferenceData!$Y$170),"")</f>
        <v/>
      </c>
      <c r="Z170">
        <f ca="1">IFERROR(IF(0=LEN(ReferenceData!$Z$170),"",ReferenceData!$Z$170),"")</f>
        <v>5426</v>
      </c>
      <c r="AA170" t="str">
        <f ca="1">IFERROR(IF(0=LEN(ReferenceData!$AA$170),"",ReferenceData!$AA$170),"")</f>
        <v/>
      </c>
      <c r="AB170" t="str">
        <f ca="1">IFERROR(IF(0=LEN(ReferenceData!$AB$170),"",ReferenceData!$AB$170),"")</f>
        <v/>
      </c>
      <c r="AC170" t="str">
        <f ca="1">IFERROR(IF(0=LEN(ReferenceData!$AC$170),"",ReferenceData!$AC$170),"")</f>
        <v/>
      </c>
      <c r="AD170">
        <f ca="1">IFERROR(IF(0=LEN(ReferenceData!$AD$170),"",ReferenceData!$AD$170),"")</f>
        <v>5074</v>
      </c>
      <c r="AE170" t="str">
        <f ca="1">IFERROR(IF(0=LEN(ReferenceData!$AE$170),"",ReferenceData!$AE$170),"")</f>
        <v/>
      </c>
      <c r="AF170" t="str">
        <f ca="1">IFERROR(IF(0=LEN(ReferenceData!$AF$170),"",ReferenceData!$AF$170),"")</f>
        <v/>
      </c>
      <c r="AG170" t="str">
        <f ca="1">IFERROR(IF(0=LEN(ReferenceData!$AG$170),"",ReferenceData!$AG$170),"")</f>
        <v/>
      </c>
      <c r="AH170">
        <f ca="1">IFERROR(IF(0=LEN(ReferenceData!$AH$170),"",ReferenceData!$AH$170),"")</f>
        <v>77000</v>
      </c>
      <c r="AI170" t="str">
        <f ca="1">IFERROR(IF(0=LEN(ReferenceData!$AI$170),"",ReferenceData!$AI$170),"")</f>
        <v/>
      </c>
      <c r="AJ170" t="str">
        <f ca="1">IFERROR(IF(0=LEN(ReferenceData!$AJ$170),"",ReferenceData!$AJ$170),"")</f>
        <v/>
      </c>
      <c r="AK170" t="str">
        <f ca="1">IFERROR(IF(0=LEN(ReferenceData!$AK$170),"",ReferenceData!$AK$170),"")</f>
        <v/>
      </c>
      <c r="AL170">
        <f ca="1">IFERROR(IF(0=LEN(ReferenceData!$AL$170),"",ReferenceData!$AL$170),"")</f>
        <v>86825</v>
      </c>
      <c r="AM170" t="str">
        <f ca="1">IFERROR(IF(0=LEN(ReferenceData!$AM$170),"",ReferenceData!$AM$170),"")</f>
        <v/>
      </c>
      <c r="AN170" t="str">
        <f ca="1">IFERROR(IF(0=LEN(ReferenceData!$AN$170),"",ReferenceData!$AN$170),"")</f>
        <v/>
      </c>
      <c r="AO170" t="str">
        <f ca="1">IFERROR(IF(0=LEN(ReferenceData!$AO$170),"",ReferenceData!$AO$170),"")</f>
        <v/>
      </c>
      <c r="AP170">
        <f ca="1">IFERROR(IF(0=LEN(ReferenceData!$AP$170),"",ReferenceData!$AP$170),"")</f>
        <v>71620</v>
      </c>
      <c r="AQ170" t="str">
        <f ca="1">IFERROR(IF(0=LEN(ReferenceData!$AQ$170),"",ReferenceData!$AQ$170),"")</f>
        <v/>
      </c>
      <c r="AR170" t="str">
        <f ca="1">IFERROR(IF(0=LEN(ReferenceData!$AR$170),"",ReferenceData!$AR$170),"")</f>
        <v/>
      </c>
      <c r="AS170" t="str">
        <f ca="1">IFERROR(IF(0=LEN(ReferenceData!$AS$170),"",ReferenceData!$AS$170),"")</f>
        <v/>
      </c>
      <c r="AT170">
        <f ca="1">IFERROR(IF(0=LEN(ReferenceData!$AT$170),"",ReferenceData!$AT$170),"")</f>
        <v>94728</v>
      </c>
      <c r="AU170" t="str">
        <f ca="1">IFERROR(IF(0=LEN(ReferenceData!$AU$170),"",ReferenceData!$AU$170),"")</f>
        <v/>
      </c>
      <c r="AV170" t="str">
        <f ca="1">IFERROR(IF(0=LEN(ReferenceData!$AV$170),"",ReferenceData!$AV$170),"")</f>
        <v/>
      </c>
      <c r="AW170" t="str">
        <f ca="1">IFERROR(IF(0=LEN(ReferenceData!$AW$170),"",ReferenceData!$AW$170),"")</f>
        <v/>
      </c>
      <c r="AX170">
        <f ca="1">IFERROR(IF(0=LEN(ReferenceData!$AX$170),"",ReferenceData!$AX$170),"")</f>
        <v>77697</v>
      </c>
      <c r="AY170" t="str">
        <f ca="1">IFERROR(IF(0=LEN(ReferenceData!$AY$170),"",ReferenceData!$AY$170),"")</f>
        <v/>
      </c>
      <c r="AZ170" t="str">
        <f ca="1">IFERROR(IF(0=LEN(ReferenceData!$AZ$170),"",ReferenceData!$AZ$170),"")</f>
        <v/>
      </c>
      <c r="BA170" t="str">
        <f ca="1">IFERROR(IF(0=LEN(ReferenceData!$BA$170),"",ReferenceData!$BA$170),"")</f>
        <v/>
      </c>
      <c r="BB170">
        <f ca="1">IFERROR(IF(0=LEN(ReferenceData!$BB$170),"",ReferenceData!$BB$170),"")</f>
        <v>92333</v>
      </c>
      <c r="BC170" t="str">
        <f ca="1">IFERROR(IF(0=LEN(ReferenceData!$BC$170),"",ReferenceData!$BC$170),"")</f>
        <v/>
      </c>
      <c r="BD170" t="str">
        <f ca="1">IFERROR(IF(0=LEN(ReferenceData!$BD$170),"",ReferenceData!$BD$170),"")</f>
        <v/>
      </c>
      <c r="BE170" t="str">
        <f ca="1">IFERROR(IF(0=LEN(ReferenceData!$BE$170),"",ReferenceData!$BE$170),"")</f>
        <v/>
      </c>
      <c r="BF170">
        <f ca="1">IFERROR(IF(0=LEN(ReferenceData!$BF$170),"",ReferenceData!$BF$170),"")</f>
        <v>106826</v>
      </c>
      <c r="BG170" t="str">
        <f ca="1">IFERROR(IF(0=LEN(ReferenceData!$BG$170),"",ReferenceData!$BG$170),"")</f>
        <v/>
      </c>
      <c r="BH170" t="str">
        <f ca="1">IFERROR(IF(0=LEN(ReferenceData!$BH$170),"",ReferenceData!$BH$170),"")</f>
        <v/>
      </c>
      <c r="BI170" t="str">
        <f ca="1">IFERROR(IF(0=LEN(ReferenceData!$BI$170),"",ReferenceData!$BI$170),"")</f>
        <v/>
      </c>
      <c r="BJ170">
        <f ca="1">IFERROR(IF(0=LEN(ReferenceData!$BJ$170),"",ReferenceData!$BJ$170),"")</f>
        <v>102259</v>
      </c>
      <c r="BK170" t="str">
        <f ca="1">IFERROR(IF(0=LEN(ReferenceData!$BK$170),"",ReferenceData!$BK$170),"")</f>
        <v/>
      </c>
      <c r="BL170" t="str">
        <f ca="1">IFERROR(IF(0=LEN(ReferenceData!$BL$170),"",ReferenceData!$BL$170),"")</f>
        <v/>
      </c>
      <c r="BM170" t="str">
        <f ca="1">IFERROR(IF(0=LEN(ReferenceData!$BM$170),"",ReferenceData!$BM$170),"")</f>
        <v/>
      </c>
    </row>
    <row r="171" spans="1:65" x14ac:dyDescent="0.25">
      <c r="A171" t="str">
        <f>IFERROR(IF(0=LEN(ReferenceData!$A$171),"",ReferenceData!$A$171),"")</f>
        <v xml:space="preserve">    DNB Bank ASA</v>
      </c>
      <c r="B171" t="str">
        <f>IFERROR(IF(0=LEN(ReferenceData!$B$171),"",ReferenceData!$B$171),"")</f>
        <v>DNB NO Equity</v>
      </c>
      <c r="C171" t="str">
        <f>IFERROR(IF(0=LEN(ReferenceData!$C$171),"",ReferenceData!$C$171),"")</f>
        <v>BS018</v>
      </c>
      <c r="D171" t="str">
        <f>IFERROR(IF(0=LEN(ReferenceData!$D$171),"",ReferenceData!$D$171),"")</f>
        <v>BS_OTHER_LOAN</v>
      </c>
      <c r="E171" t="str">
        <f>IFERROR(IF(0=LEN(ReferenceData!$E$171),"",ReferenceData!$E$171),"")</f>
        <v>Dynamic</v>
      </c>
      <c r="F171">
        <f ca="1">IFERROR(IF(0=LEN(ReferenceData!$F$171),"",ReferenceData!$F$171),"")</f>
        <v>6972.5698949999996</v>
      </c>
      <c r="G171">
        <f ca="1">IFERROR(IF(0=LEN(ReferenceData!$G$171),"",ReferenceData!$G$171),"")</f>
        <v>-738.13635390000002</v>
      </c>
      <c r="H171">
        <f ca="1">IFERROR(IF(0=LEN(ReferenceData!$H$171),"",ReferenceData!$H$171),"")</f>
        <v>6728.9892360000003</v>
      </c>
      <c r="I171">
        <f ca="1">IFERROR(IF(0=LEN(ReferenceData!$I$171),"",ReferenceData!$I$171),"")</f>
        <v>1119.9478779999999</v>
      </c>
      <c r="J171">
        <f ca="1">IFERROR(IF(0=LEN(ReferenceData!$J$171),"",ReferenceData!$J$171),"")</f>
        <v>4611.6406690000003</v>
      </c>
      <c r="K171">
        <f ca="1">IFERROR(IF(0=LEN(ReferenceData!$K$171),"",ReferenceData!$K$171),"")</f>
        <v>872.20345569999995</v>
      </c>
      <c r="L171">
        <f ca="1">IFERROR(IF(0=LEN(ReferenceData!$L$171),"",ReferenceData!$L$171),"")</f>
        <v>1444.4951000000001</v>
      </c>
      <c r="M171">
        <f ca="1">IFERROR(IF(0=LEN(ReferenceData!$M$171),"",ReferenceData!$M$171),"")</f>
        <v>1378.2888109999999</v>
      </c>
      <c r="N171">
        <f ca="1">IFERROR(IF(0=LEN(ReferenceData!$N$171),"",ReferenceData!$N$171),"")</f>
        <v>5758.4482459999999</v>
      </c>
      <c r="O171">
        <f ca="1">IFERROR(IF(0=LEN(ReferenceData!$O$171),"",ReferenceData!$O$171),"")</f>
        <v>7500.4662950000002</v>
      </c>
      <c r="P171">
        <f ca="1">IFERROR(IF(0=LEN(ReferenceData!$P$171),"",ReferenceData!$P$171),"")</f>
        <v>573.83272290000002</v>
      </c>
      <c r="Q171">
        <f ca="1">IFERROR(IF(0=LEN(ReferenceData!$Q$171),"",ReferenceData!$Q$171),"")</f>
        <v>2411.0955469999999</v>
      </c>
      <c r="R171">
        <f ca="1">IFERROR(IF(0=LEN(ReferenceData!$R$171),"",ReferenceData!$R$171),"")</f>
        <v>111.8957023</v>
      </c>
      <c r="S171">
        <f ca="1">IFERROR(IF(0=LEN(ReferenceData!$S$171),"",ReferenceData!$S$171),"")</f>
        <v>747.74857350000002</v>
      </c>
      <c r="T171">
        <f ca="1">IFERROR(IF(0=LEN(ReferenceData!$T$171),"",ReferenceData!$T$171),"")</f>
        <v>1198.314431</v>
      </c>
      <c r="U171">
        <f ca="1">IFERROR(IF(0=LEN(ReferenceData!$U$171),"",ReferenceData!$U$171),"")</f>
        <v>947.60071500000004</v>
      </c>
      <c r="V171">
        <f ca="1">IFERROR(IF(0=LEN(ReferenceData!$V$171),"",ReferenceData!$V$171),"")</f>
        <v>1235.5771729999999</v>
      </c>
      <c r="W171">
        <f ca="1">IFERROR(IF(0=LEN(ReferenceData!$W$171),"",ReferenceData!$W$171),"")</f>
        <v>2445.5373020000002</v>
      </c>
      <c r="X171">
        <f ca="1">IFERROR(IF(0=LEN(ReferenceData!$X$171),"",ReferenceData!$X$171),"")</f>
        <v>2000.5693510000001</v>
      </c>
      <c r="Y171">
        <f ca="1">IFERROR(IF(0=LEN(ReferenceData!$Y$171),"",ReferenceData!$Y$171),"")</f>
        <v>1202.0474099999999</v>
      </c>
      <c r="Z171">
        <f ca="1">IFERROR(IF(0=LEN(ReferenceData!$Z$171),"",ReferenceData!$Z$171),"")</f>
        <v>8649.8232339999995</v>
      </c>
      <c r="AA171">
        <f ca="1">IFERROR(IF(0=LEN(ReferenceData!$AA$171),"",ReferenceData!$AA$171),"")</f>
        <v>8533.0806190000003</v>
      </c>
      <c r="AB171">
        <f ca="1">IFERROR(IF(0=LEN(ReferenceData!$AB$171),"",ReferenceData!$AB$171),"")</f>
        <v>2850.6436870000002</v>
      </c>
      <c r="AC171">
        <f ca="1">IFERROR(IF(0=LEN(ReferenceData!$AC$171),"",ReferenceData!$AC$171),"")</f>
        <v>2678.7708469999998</v>
      </c>
      <c r="AD171">
        <f ca="1">IFERROR(IF(0=LEN(ReferenceData!$AD$171),"",ReferenceData!$AD$171),"")</f>
        <v>8558.4646969999994</v>
      </c>
      <c r="AE171">
        <f ca="1">IFERROR(IF(0=LEN(ReferenceData!$AE$171),"",ReferenceData!$AE$171),"")</f>
        <v>15341.685310000001</v>
      </c>
      <c r="AF171">
        <f ca="1">IFERROR(IF(0=LEN(ReferenceData!$AF$171),"",ReferenceData!$AF$171),"")</f>
        <v>8066.0725460000003</v>
      </c>
      <c r="AG171">
        <f ca="1">IFERROR(IF(0=LEN(ReferenceData!$AG$171),"",ReferenceData!$AG$171),"")</f>
        <v>11118.647370000001</v>
      </c>
      <c r="AH171">
        <f ca="1">IFERROR(IF(0=LEN(ReferenceData!$AH$171),"",ReferenceData!$AH$171),"")</f>
        <v>4711.7212890000001</v>
      </c>
      <c r="AI171" t="str">
        <f ca="1">IFERROR(IF(0=LEN(ReferenceData!$AI$171),"",ReferenceData!$AI$171),"")</f>
        <v/>
      </c>
      <c r="AJ171" t="str">
        <f ca="1">IFERROR(IF(0=LEN(ReferenceData!$AJ$171),"",ReferenceData!$AJ$171),"")</f>
        <v/>
      </c>
      <c r="AK171" t="str">
        <f ca="1">IFERROR(IF(0=LEN(ReferenceData!$AK$171),"",ReferenceData!$AK$171),"")</f>
        <v/>
      </c>
      <c r="AL171">
        <f ca="1">IFERROR(IF(0=LEN(ReferenceData!$AL$171),"",ReferenceData!$AL$171),"")</f>
        <v>4392.6198210000002</v>
      </c>
      <c r="AM171" t="str">
        <f ca="1">IFERROR(IF(0=LEN(ReferenceData!$AM$171),"",ReferenceData!$AM$171),"")</f>
        <v/>
      </c>
      <c r="AN171" t="str">
        <f ca="1">IFERROR(IF(0=LEN(ReferenceData!$AN$171),"",ReferenceData!$AN$171),"")</f>
        <v/>
      </c>
      <c r="AO171" t="str">
        <f ca="1">IFERROR(IF(0=LEN(ReferenceData!$AO$171),"",ReferenceData!$AO$171),"")</f>
        <v/>
      </c>
      <c r="AP171">
        <f ca="1">IFERROR(IF(0=LEN(ReferenceData!$AP$171),"",ReferenceData!$AP$171),"")</f>
        <v>3100.7990589999999</v>
      </c>
      <c r="AQ171" t="str">
        <f ca="1">IFERROR(IF(0=LEN(ReferenceData!$AQ$171),"",ReferenceData!$AQ$171),"")</f>
        <v/>
      </c>
      <c r="AR171" t="str">
        <f ca="1">IFERROR(IF(0=LEN(ReferenceData!$AR$171),"",ReferenceData!$AR$171),"")</f>
        <v/>
      </c>
      <c r="AS171" t="str">
        <f ca="1">IFERROR(IF(0=LEN(ReferenceData!$AS$171),"",ReferenceData!$AS$171),"")</f>
        <v/>
      </c>
      <c r="AT171">
        <f ca="1">IFERROR(IF(0=LEN(ReferenceData!$AT$171),"",ReferenceData!$AT$171),"")</f>
        <v>2661.30249</v>
      </c>
      <c r="AU171" t="str">
        <f ca="1">IFERROR(IF(0=LEN(ReferenceData!$AU$171),"",ReferenceData!$AU$171),"")</f>
        <v/>
      </c>
      <c r="AV171" t="str">
        <f ca="1">IFERROR(IF(0=LEN(ReferenceData!$AV$171),"",ReferenceData!$AV$171),"")</f>
        <v/>
      </c>
      <c r="AW171" t="str">
        <f ca="1">IFERROR(IF(0=LEN(ReferenceData!$AW$171),"",ReferenceData!$AW$171),"")</f>
        <v/>
      </c>
      <c r="AX171" t="str">
        <f ca="1">IFERROR(IF(0=LEN(ReferenceData!$AX$171),"",ReferenceData!$AX$171),"")</f>
        <v/>
      </c>
      <c r="AY171" t="str">
        <f ca="1">IFERROR(IF(0=LEN(ReferenceData!$AY$171),"",ReferenceData!$AY$171),"")</f>
        <v/>
      </c>
      <c r="AZ171" t="str">
        <f ca="1">IFERROR(IF(0=LEN(ReferenceData!$AZ$171),"",ReferenceData!$AZ$171),"")</f>
        <v/>
      </c>
      <c r="BA171" t="str">
        <f ca="1">IFERROR(IF(0=LEN(ReferenceData!$BA$171),"",ReferenceData!$BA$171),"")</f>
        <v/>
      </c>
      <c r="BB171" t="str">
        <f ca="1">IFERROR(IF(0=LEN(ReferenceData!$BB$171),"",ReferenceData!$BB$171),"")</f>
        <v/>
      </c>
      <c r="BC171" t="str">
        <f ca="1">IFERROR(IF(0=LEN(ReferenceData!$BC$171),"",ReferenceData!$BC$171),"")</f>
        <v/>
      </c>
      <c r="BD171" t="str">
        <f ca="1">IFERROR(IF(0=LEN(ReferenceData!$BD$171),"",ReferenceData!$BD$171),"")</f>
        <v/>
      </c>
      <c r="BE171" t="str">
        <f ca="1">IFERROR(IF(0=LEN(ReferenceData!$BE$171),"",ReferenceData!$BE$171),"")</f>
        <v/>
      </c>
      <c r="BF171" t="str">
        <f ca="1">IFERROR(IF(0=LEN(ReferenceData!$BF$171),"",ReferenceData!$BF$171),"")</f>
        <v/>
      </c>
      <c r="BG171" t="str">
        <f ca="1">IFERROR(IF(0=LEN(ReferenceData!$BG$171),"",ReferenceData!$BG$171),"")</f>
        <v/>
      </c>
      <c r="BH171" t="str">
        <f ca="1">IFERROR(IF(0=LEN(ReferenceData!$BH$171),"",ReferenceData!$BH$171),"")</f>
        <v/>
      </c>
      <c r="BI171" t="str">
        <f ca="1">IFERROR(IF(0=LEN(ReferenceData!$BI$171),"",ReferenceData!$BI$171),"")</f>
        <v/>
      </c>
      <c r="BJ171" t="str">
        <f ca="1">IFERROR(IF(0=LEN(ReferenceData!$BJ$171),"",ReferenceData!$BJ$171),"")</f>
        <v/>
      </c>
      <c r="BK171" t="str">
        <f ca="1">IFERROR(IF(0=LEN(ReferenceData!$BK$171),"",ReferenceData!$BK$171),"")</f>
        <v/>
      </c>
      <c r="BL171" t="str">
        <f ca="1">IFERROR(IF(0=LEN(ReferenceData!$BL$171),"",ReferenceData!$BL$171),"")</f>
        <v/>
      </c>
      <c r="BM171" t="str">
        <f ca="1">IFERROR(IF(0=LEN(ReferenceData!$BM$171),"",ReferenceData!$BM$171),"")</f>
        <v/>
      </c>
    </row>
    <row r="172" spans="1:65" x14ac:dyDescent="0.25">
      <c r="A172" t="str">
        <f>IFERROR(IF(0=LEN(ReferenceData!$A$172),"",ReferenceData!$A$172),"")</f>
        <v xml:space="preserve">    Danske Bank A/S</v>
      </c>
      <c r="B172" t="str">
        <f>IFERROR(IF(0=LEN(ReferenceData!$B$172),"",ReferenceData!$B$172),"")</f>
        <v>DANSKE DC Equity</v>
      </c>
      <c r="C172" t="str">
        <f>IFERROR(IF(0=LEN(ReferenceData!$C$172),"",ReferenceData!$C$172),"")</f>
        <v>BS018</v>
      </c>
      <c r="D172" t="str">
        <f>IFERROR(IF(0=LEN(ReferenceData!$D$172),"",ReferenceData!$D$172),"")</f>
        <v>BS_OTHER_LOAN</v>
      </c>
      <c r="E172" t="str">
        <f>IFERROR(IF(0=LEN(ReferenceData!$E$172),"",ReferenceData!$E$172),"")</f>
        <v>Dynamic</v>
      </c>
      <c r="F172" t="str">
        <f ca="1">IFERROR(IF(0=LEN(ReferenceData!$F$172),"",ReferenceData!$F$172),"")</f>
        <v/>
      </c>
      <c r="G172" t="str">
        <f ca="1">IFERROR(IF(0=LEN(ReferenceData!$G$172),"",ReferenceData!$G$172),"")</f>
        <v/>
      </c>
      <c r="H172" t="str">
        <f ca="1">IFERROR(IF(0=LEN(ReferenceData!$H$172),"",ReferenceData!$H$172),"")</f>
        <v/>
      </c>
      <c r="I172" t="str">
        <f ca="1">IFERROR(IF(0=LEN(ReferenceData!$I$172),"",ReferenceData!$I$172),"")</f>
        <v/>
      </c>
      <c r="J172" t="str">
        <f ca="1">IFERROR(IF(0=LEN(ReferenceData!$J$172),"",ReferenceData!$J$172),"")</f>
        <v/>
      </c>
      <c r="K172" t="str">
        <f ca="1">IFERROR(IF(0=LEN(ReferenceData!$K$172),"",ReferenceData!$K$172),"")</f>
        <v/>
      </c>
      <c r="L172" t="str">
        <f ca="1">IFERROR(IF(0=LEN(ReferenceData!$L$172),"",ReferenceData!$L$172),"")</f>
        <v/>
      </c>
      <c r="M172" t="str">
        <f ca="1">IFERROR(IF(0=LEN(ReferenceData!$M$172),"",ReferenceData!$M$172),"")</f>
        <v/>
      </c>
      <c r="N172" t="str">
        <f ca="1">IFERROR(IF(0=LEN(ReferenceData!$N$172),"",ReferenceData!$N$172),"")</f>
        <v/>
      </c>
      <c r="O172" t="str">
        <f ca="1">IFERROR(IF(0=LEN(ReferenceData!$O$172),"",ReferenceData!$O$172),"")</f>
        <v/>
      </c>
      <c r="P172" t="str">
        <f ca="1">IFERROR(IF(0=LEN(ReferenceData!$P$172),"",ReferenceData!$P$172),"")</f>
        <v/>
      </c>
      <c r="Q172" t="str">
        <f ca="1">IFERROR(IF(0=LEN(ReferenceData!$Q$172),"",ReferenceData!$Q$172),"")</f>
        <v/>
      </c>
      <c r="R172" t="str">
        <f ca="1">IFERROR(IF(0=LEN(ReferenceData!$R$172),"",ReferenceData!$R$172),"")</f>
        <v/>
      </c>
      <c r="S172" t="str">
        <f ca="1">IFERROR(IF(0=LEN(ReferenceData!$S$172),"",ReferenceData!$S$172),"")</f>
        <v/>
      </c>
      <c r="T172" t="str">
        <f ca="1">IFERROR(IF(0=LEN(ReferenceData!$T$172),"",ReferenceData!$T$172),"")</f>
        <v/>
      </c>
      <c r="U172" t="str">
        <f ca="1">IFERROR(IF(0=LEN(ReferenceData!$U$172),"",ReferenceData!$U$172),"")</f>
        <v/>
      </c>
      <c r="V172" t="str">
        <f ca="1">IFERROR(IF(0=LEN(ReferenceData!$V$172),"",ReferenceData!$V$172),"")</f>
        <v/>
      </c>
      <c r="W172" t="str">
        <f ca="1">IFERROR(IF(0=LEN(ReferenceData!$W$172),"",ReferenceData!$W$172),"")</f>
        <v/>
      </c>
      <c r="X172" t="str">
        <f ca="1">IFERROR(IF(0=LEN(ReferenceData!$X$172),"",ReferenceData!$X$172),"")</f>
        <v/>
      </c>
      <c r="Y172" t="str">
        <f ca="1">IFERROR(IF(0=LEN(ReferenceData!$Y$172),"",ReferenceData!$Y$172),"")</f>
        <v/>
      </c>
      <c r="Z172" t="str">
        <f ca="1">IFERROR(IF(0=LEN(ReferenceData!$Z$172),"",ReferenceData!$Z$172),"")</f>
        <v/>
      </c>
      <c r="AA172" t="str">
        <f ca="1">IFERROR(IF(0=LEN(ReferenceData!$AA$172),"",ReferenceData!$AA$172),"")</f>
        <v/>
      </c>
      <c r="AB172" t="str">
        <f ca="1">IFERROR(IF(0=LEN(ReferenceData!$AB$172),"",ReferenceData!$AB$172),"")</f>
        <v/>
      </c>
      <c r="AC172" t="str">
        <f ca="1">IFERROR(IF(0=LEN(ReferenceData!$AC$172),"",ReferenceData!$AC$172),"")</f>
        <v/>
      </c>
      <c r="AD172" t="str">
        <f ca="1">IFERROR(IF(0=LEN(ReferenceData!$AD$172),"",ReferenceData!$AD$172),"")</f>
        <v/>
      </c>
      <c r="AE172" t="str">
        <f ca="1">IFERROR(IF(0=LEN(ReferenceData!$AE$172),"",ReferenceData!$AE$172),"")</f>
        <v/>
      </c>
      <c r="AF172" t="str">
        <f ca="1">IFERROR(IF(0=LEN(ReferenceData!$AF$172),"",ReferenceData!$AF$172),"")</f>
        <v/>
      </c>
      <c r="AG172" t="str">
        <f ca="1">IFERROR(IF(0=LEN(ReferenceData!$AG$172),"",ReferenceData!$AG$172),"")</f>
        <v/>
      </c>
      <c r="AH172" t="str">
        <f ca="1">IFERROR(IF(0=LEN(ReferenceData!$AH$172),"",ReferenceData!$AH$172),"")</f>
        <v/>
      </c>
      <c r="AI172" t="str">
        <f ca="1">IFERROR(IF(0=LEN(ReferenceData!$AI$172),"",ReferenceData!$AI$172),"")</f>
        <v/>
      </c>
      <c r="AJ172" t="str">
        <f ca="1">IFERROR(IF(0=LEN(ReferenceData!$AJ$172),"",ReferenceData!$AJ$172),"")</f>
        <v/>
      </c>
      <c r="AK172" t="str">
        <f ca="1">IFERROR(IF(0=LEN(ReferenceData!$AK$172),"",ReferenceData!$AK$172),"")</f>
        <v/>
      </c>
      <c r="AL172" t="str">
        <f ca="1">IFERROR(IF(0=LEN(ReferenceData!$AL$172),"",ReferenceData!$AL$172),"")</f>
        <v/>
      </c>
      <c r="AM172" t="str">
        <f ca="1">IFERROR(IF(0=LEN(ReferenceData!$AM$172),"",ReferenceData!$AM$172),"")</f>
        <v/>
      </c>
      <c r="AN172" t="str">
        <f ca="1">IFERROR(IF(0=LEN(ReferenceData!$AN$172),"",ReferenceData!$AN$172),"")</f>
        <v/>
      </c>
      <c r="AO172" t="str">
        <f ca="1">IFERROR(IF(0=LEN(ReferenceData!$AO$172),"",ReferenceData!$AO$172),"")</f>
        <v/>
      </c>
      <c r="AP172" t="str">
        <f ca="1">IFERROR(IF(0=LEN(ReferenceData!$AP$172),"",ReferenceData!$AP$172),"")</f>
        <v/>
      </c>
      <c r="AQ172" t="str">
        <f ca="1">IFERROR(IF(0=LEN(ReferenceData!$AQ$172),"",ReferenceData!$AQ$172),"")</f>
        <v/>
      </c>
      <c r="AR172" t="str">
        <f ca="1">IFERROR(IF(0=LEN(ReferenceData!$AR$172),"",ReferenceData!$AR$172),"")</f>
        <v/>
      </c>
      <c r="AS172" t="str">
        <f ca="1">IFERROR(IF(0=LEN(ReferenceData!$AS$172),"",ReferenceData!$AS$172),"")</f>
        <v/>
      </c>
      <c r="AT172" t="str">
        <f ca="1">IFERROR(IF(0=LEN(ReferenceData!$AT$172),"",ReferenceData!$AT$172),"")</f>
        <v/>
      </c>
      <c r="AU172" t="str">
        <f ca="1">IFERROR(IF(0=LEN(ReferenceData!$AU$172),"",ReferenceData!$AU$172),"")</f>
        <v/>
      </c>
      <c r="AV172" t="str">
        <f ca="1">IFERROR(IF(0=LEN(ReferenceData!$AV$172),"",ReferenceData!$AV$172),"")</f>
        <v/>
      </c>
      <c r="AW172" t="str">
        <f ca="1">IFERROR(IF(0=LEN(ReferenceData!$AW$172),"",ReferenceData!$AW$172),"")</f>
        <v/>
      </c>
      <c r="AX172" t="str">
        <f ca="1">IFERROR(IF(0=LEN(ReferenceData!$AX$172),"",ReferenceData!$AX$172),"")</f>
        <v/>
      </c>
      <c r="AY172" t="str">
        <f ca="1">IFERROR(IF(0=LEN(ReferenceData!$AY$172),"",ReferenceData!$AY$172),"")</f>
        <v/>
      </c>
      <c r="AZ172" t="str">
        <f ca="1">IFERROR(IF(0=LEN(ReferenceData!$AZ$172),"",ReferenceData!$AZ$172),"")</f>
        <v/>
      </c>
      <c r="BA172" t="str">
        <f ca="1">IFERROR(IF(0=LEN(ReferenceData!$BA$172),"",ReferenceData!$BA$172),"")</f>
        <v/>
      </c>
      <c r="BB172" t="str">
        <f ca="1">IFERROR(IF(0=LEN(ReferenceData!$BB$172),"",ReferenceData!$BB$172),"")</f>
        <v/>
      </c>
      <c r="BC172" t="str">
        <f ca="1">IFERROR(IF(0=LEN(ReferenceData!$BC$172),"",ReferenceData!$BC$172),"")</f>
        <v/>
      </c>
      <c r="BD172" t="str">
        <f ca="1">IFERROR(IF(0=LEN(ReferenceData!$BD$172),"",ReferenceData!$BD$172),"")</f>
        <v/>
      </c>
      <c r="BE172" t="str">
        <f ca="1">IFERROR(IF(0=LEN(ReferenceData!$BE$172),"",ReferenceData!$BE$172),"")</f>
        <v/>
      </c>
      <c r="BF172" t="str">
        <f ca="1">IFERROR(IF(0=LEN(ReferenceData!$BF$172),"",ReferenceData!$BF$172),"")</f>
        <v/>
      </c>
      <c r="BG172" t="str">
        <f ca="1">IFERROR(IF(0=LEN(ReferenceData!$BG$172),"",ReferenceData!$BG$172),"")</f>
        <v/>
      </c>
      <c r="BH172" t="str">
        <f ca="1">IFERROR(IF(0=LEN(ReferenceData!$BH$172),"",ReferenceData!$BH$172),"")</f>
        <v/>
      </c>
      <c r="BI172" t="str">
        <f ca="1">IFERROR(IF(0=LEN(ReferenceData!$BI$172),"",ReferenceData!$BI$172),"")</f>
        <v/>
      </c>
      <c r="BJ172" t="str">
        <f ca="1">IFERROR(IF(0=LEN(ReferenceData!$BJ$172),"",ReferenceData!$BJ$172),"")</f>
        <v/>
      </c>
      <c r="BK172" t="str">
        <f ca="1">IFERROR(IF(0=LEN(ReferenceData!$BK$172),"",ReferenceData!$BK$172),"")</f>
        <v/>
      </c>
      <c r="BL172" t="str">
        <f ca="1">IFERROR(IF(0=LEN(ReferenceData!$BL$172),"",ReferenceData!$BL$172),"")</f>
        <v/>
      </c>
      <c r="BM172" t="str">
        <f ca="1">IFERROR(IF(0=LEN(ReferenceData!$BM$172),"",ReferenceData!$BM$172),"")</f>
        <v/>
      </c>
    </row>
    <row r="173" spans="1:65" x14ac:dyDescent="0.25">
      <c r="A173" t="str">
        <f>IFERROR(IF(0=LEN(ReferenceData!$A$173),"",ReferenceData!$A$173),"")</f>
        <v xml:space="preserve">    Erste Group Bank AG</v>
      </c>
      <c r="B173" t="str">
        <f>IFERROR(IF(0=LEN(ReferenceData!$B$173),"",ReferenceData!$B$173),"")</f>
        <v>EBS AV Equity</v>
      </c>
      <c r="C173" t="str">
        <f>IFERROR(IF(0=LEN(ReferenceData!$C$173),"",ReferenceData!$C$173),"")</f>
        <v>BS018</v>
      </c>
      <c r="D173" t="str">
        <f>IFERROR(IF(0=LEN(ReferenceData!$D$173),"",ReferenceData!$D$173),"")</f>
        <v>BS_OTHER_LOAN</v>
      </c>
      <c r="E173" t="str">
        <f>IFERROR(IF(0=LEN(ReferenceData!$E$173),"",ReferenceData!$E$173),"")</f>
        <v>Dynamic</v>
      </c>
      <c r="F173" t="str">
        <f ca="1">IFERROR(IF(0=LEN(ReferenceData!$F$173),"",ReferenceData!$F$173),"")</f>
        <v/>
      </c>
      <c r="G173">
        <f ca="1">IFERROR(IF(0=LEN(ReferenceData!$G$173),"",ReferenceData!$G$173),"")</f>
        <v>4138</v>
      </c>
      <c r="H173">
        <f ca="1">IFERROR(IF(0=LEN(ReferenceData!$H$173),"",ReferenceData!$H$173),"")</f>
        <v>4129</v>
      </c>
      <c r="I173">
        <f ca="1">IFERROR(IF(0=LEN(ReferenceData!$I$173),"",ReferenceData!$I$173),"")</f>
        <v>4126</v>
      </c>
      <c r="J173">
        <f ca="1">IFERROR(IF(0=LEN(ReferenceData!$J$173),"",ReferenceData!$J$173),"")</f>
        <v>4068</v>
      </c>
      <c r="K173">
        <f ca="1">IFERROR(IF(0=LEN(ReferenceData!$K$173),"",ReferenceData!$K$173),"")</f>
        <v>4104</v>
      </c>
      <c r="L173">
        <f ca="1">IFERROR(IF(0=LEN(ReferenceData!$L$173),"",ReferenceData!$L$173),"")</f>
        <v>8511.19</v>
      </c>
      <c r="M173">
        <f ca="1">IFERROR(IF(0=LEN(ReferenceData!$M$173),"",ReferenceData!$M$173),"")</f>
        <v>4010</v>
      </c>
      <c r="N173">
        <f ca="1">IFERROR(IF(0=LEN(ReferenceData!$N$173),"",ReferenceData!$N$173),"")</f>
        <v>3981</v>
      </c>
      <c r="O173">
        <f ca="1">IFERROR(IF(0=LEN(ReferenceData!$O$173),"",ReferenceData!$O$173),"")</f>
        <v>9314.6080000000002</v>
      </c>
      <c r="P173">
        <f ca="1">IFERROR(IF(0=LEN(ReferenceData!$P$173),"",ReferenceData!$P$173),"")</f>
        <v>8187.8649999999998</v>
      </c>
      <c r="Q173">
        <f ca="1">IFERROR(IF(0=LEN(ReferenceData!$Q$173),"",ReferenceData!$Q$173),"")</f>
        <v>6726</v>
      </c>
      <c r="R173">
        <f ca="1">IFERROR(IF(0=LEN(ReferenceData!$R$173),"",ReferenceData!$R$173),"")</f>
        <v>3936</v>
      </c>
      <c r="S173">
        <f ca="1">IFERROR(IF(0=LEN(ReferenceData!$S$173),"",ReferenceData!$S$173),"")</f>
        <v>7653.2669999999998</v>
      </c>
      <c r="T173">
        <f ca="1">IFERROR(IF(0=LEN(ReferenceData!$T$173),"",ReferenceData!$T$173),"")</f>
        <v>7871.6009999999997</v>
      </c>
      <c r="U173">
        <f ca="1">IFERROR(IF(0=LEN(ReferenceData!$U$173),"",ReferenceData!$U$173),"")</f>
        <v>7424.2460000000001</v>
      </c>
      <c r="V173">
        <f ca="1">IFERROR(IF(0=LEN(ReferenceData!$V$173),"",ReferenceData!$V$173),"")</f>
        <v>4002</v>
      </c>
      <c r="W173">
        <f ca="1">IFERROR(IF(0=LEN(ReferenceData!$W$173),"",ReferenceData!$W$173),"")</f>
        <v>7677.1779999999999</v>
      </c>
      <c r="X173">
        <f ca="1">IFERROR(IF(0=LEN(ReferenceData!$X$173),"",ReferenceData!$X$173),"")</f>
        <v>11456.790999999999</v>
      </c>
      <c r="Y173">
        <f ca="1">IFERROR(IF(0=LEN(ReferenceData!$Y$173),"",ReferenceData!$Y$173),"")</f>
        <v>7268.3469999999998</v>
      </c>
      <c r="Z173">
        <f ca="1">IFERROR(IF(0=LEN(ReferenceData!$Z$173),"",ReferenceData!$Z$173),"")</f>
        <v>7469.1310000000003</v>
      </c>
      <c r="AA173">
        <f ca="1">IFERROR(IF(0=LEN(ReferenceData!$AA$173),"",ReferenceData!$AA$173),"")</f>
        <v>6945.3270000000002</v>
      </c>
      <c r="AB173">
        <f ca="1">IFERROR(IF(0=LEN(ReferenceData!$AB$173),"",ReferenceData!$AB$173),"")</f>
        <v>7297.1469999999999</v>
      </c>
      <c r="AC173">
        <f ca="1">IFERROR(IF(0=LEN(ReferenceData!$AC$173),"",ReferenceData!$AC$173),"")</f>
        <v>7163.6260000000002</v>
      </c>
      <c r="AD173">
        <f ca="1">IFERROR(IF(0=LEN(ReferenceData!$AD$173),"",ReferenceData!$AD$173),"")</f>
        <v>7618.0339999999997</v>
      </c>
      <c r="AE173">
        <f ca="1">IFERROR(IF(0=LEN(ReferenceData!$AE$173),"",ReferenceData!$AE$173),"")</f>
        <v>7387.5219999999999</v>
      </c>
      <c r="AF173">
        <f ca="1">IFERROR(IF(0=LEN(ReferenceData!$AF$173),"",ReferenceData!$AF$173),"")</f>
        <v>7354.3909999999996</v>
      </c>
      <c r="AG173">
        <f ca="1">IFERROR(IF(0=LEN(ReferenceData!$AG$173),"",ReferenceData!$AG$173),"")</f>
        <v>7198.3810000000003</v>
      </c>
      <c r="AH173">
        <f ca="1">IFERROR(IF(0=LEN(ReferenceData!$AH$173),"",ReferenceData!$AH$173),"")</f>
        <v>7048.277</v>
      </c>
      <c r="AI173">
        <f ca="1">IFERROR(IF(0=LEN(ReferenceData!$AI$173),"",ReferenceData!$AI$173),"")</f>
        <v>7347.4560000000001</v>
      </c>
      <c r="AJ173">
        <f ca="1">IFERROR(IF(0=LEN(ReferenceData!$AJ$173),"",ReferenceData!$AJ$173),"")</f>
        <v>7285.07</v>
      </c>
      <c r="AK173">
        <f ca="1">IFERROR(IF(0=LEN(ReferenceData!$AK$173),"",ReferenceData!$AK$173),"")</f>
        <v>7390.9539999999997</v>
      </c>
      <c r="AL173">
        <f ca="1">IFERROR(IF(0=LEN(ReferenceData!$AL$173),"",ReferenceData!$AL$173),"")</f>
        <v>7442.451</v>
      </c>
      <c r="AM173">
        <f ca="1">IFERROR(IF(0=LEN(ReferenceData!$AM$173),"",ReferenceData!$AM$173),"")</f>
        <v>7481.6769999999997</v>
      </c>
      <c r="AN173">
        <f ca="1">IFERROR(IF(0=LEN(ReferenceData!$AN$173),"",ReferenceData!$AN$173),"")</f>
        <v>7565.3639999999996</v>
      </c>
      <c r="AO173" t="str">
        <f ca="1">IFERROR(IF(0=LEN(ReferenceData!$AO$173),"",ReferenceData!$AO$173),"")</f>
        <v/>
      </c>
      <c r="AP173">
        <f ca="1">IFERROR(IF(0=LEN(ReferenceData!$AP$173),"",ReferenceData!$AP$173),"")</f>
        <v>7615.65</v>
      </c>
      <c r="AQ173" t="str">
        <f ca="1">IFERROR(IF(0=LEN(ReferenceData!$AQ$173),"",ReferenceData!$AQ$173),"")</f>
        <v/>
      </c>
      <c r="AR173" t="str">
        <f ca="1">IFERROR(IF(0=LEN(ReferenceData!$AR$173),"",ReferenceData!$AR$173),"")</f>
        <v/>
      </c>
      <c r="AS173" t="str">
        <f ca="1">IFERROR(IF(0=LEN(ReferenceData!$AS$173),"",ReferenceData!$AS$173),"")</f>
        <v/>
      </c>
      <c r="AT173" t="str">
        <f ca="1">IFERROR(IF(0=LEN(ReferenceData!$AT$173),"",ReferenceData!$AT$173),"")</f>
        <v/>
      </c>
      <c r="AU173" t="str">
        <f ca="1">IFERROR(IF(0=LEN(ReferenceData!$AU$173),"",ReferenceData!$AU$173),"")</f>
        <v/>
      </c>
      <c r="AV173" t="str">
        <f ca="1">IFERROR(IF(0=LEN(ReferenceData!$AV$173),"",ReferenceData!$AV$173),"")</f>
        <v/>
      </c>
      <c r="AW173" t="str">
        <f ca="1">IFERROR(IF(0=LEN(ReferenceData!$AW$173),"",ReferenceData!$AW$173),"")</f>
        <v/>
      </c>
      <c r="AX173" t="str">
        <f ca="1">IFERROR(IF(0=LEN(ReferenceData!$AX$173),"",ReferenceData!$AX$173),"")</f>
        <v/>
      </c>
      <c r="AY173">
        <f ca="1">IFERROR(IF(0=LEN(ReferenceData!$AY$173),"",ReferenceData!$AY$173),"")</f>
        <v>7052.24</v>
      </c>
      <c r="AZ173">
        <f ca="1">IFERROR(IF(0=LEN(ReferenceData!$AZ$173),"",ReferenceData!$AZ$173),"")</f>
        <v>7226.8280000000004</v>
      </c>
      <c r="BA173">
        <f ca="1">IFERROR(IF(0=LEN(ReferenceData!$BA$173),"",ReferenceData!$BA$173),"")</f>
        <v>6896</v>
      </c>
      <c r="BB173">
        <f ca="1">IFERROR(IF(0=LEN(ReferenceData!$BB$173),"",ReferenceData!$BB$173),"")</f>
        <v>7849.5280000000002</v>
      </c>
      <c r="BC173">
        <f ca="1">IFERROR(IF(0=LEN(ReferenceData!$BC$173),"",ReferenceData!$BC$173),"")</f>
        <v>7804</v>
      </c>
      <c r="BD173">
        <f ca="1">IFERROR(IF(0=LEN(ReferenceData!$BD$173),"",ReferenceData!$BD$173),"")</f>
        <v>7718</v>
      </c>
      <c r="BE173">
        <f ca="1">IFERROR(IF(0=LEN(ReferenceData!$BE$173),"",ReferenceData!$BE$173),"")</f>
        <v>7934</v>
      </c>
      <c r="BF173">
        <f ca="1">IFERROR(IF(0=LEN(ReferenceData!$BF$173),"",ReferenceData!$BF$173),"")</f>
        <v>8019.509</v>
      </c>
      <c r="BG173">
        <f ca="1">IFERROR(IF(0=LEN(ReferenceData!$BG$173),"",ReferenceData!$BG$173),"")</f>
        <v>7710</v>
      </c>
      <c r="BH173">
        <f ca="1">IFERROR(IF(0=LEN(ReferenceData!$BH$173),"",ReferenceData!$BH$173),"")</f>
        <v>7890</v>
      </c>
      <c r="BI173">
        <f ca="1">IFERROR(IF(0=LEN(ReferenceData!$BI$173),"",ReferenceData!$BI$173),"")</f>
        <v>7869</v>
      </c>
      <c r="BJ173">
        <f ca="1">IFERROR(IF(0=LEN(ReferenceData!$BJ$173),"",ReferenceData!$BJ$173),"")</f>
        <v>7839.1139999999996</v>
      </c>
      <c r="BK173">
        <f ca="1">IFERROR(IF(0=LEN(ReferenceData!$BK$173),"",ReferenceData!$BK$173),"")</f>
        <v>7505</v>
      </c>
      <c r="BL173">
        <f ca="1">IFERROR(IF(0=LEN(ReferenceData!$BL$173),"",ReferenceData!$BL$173),"")</f>
        <v>7406</v>
      </c>
      <c r="BM173" t="str">
        <f ca="1">IFERROR(IF(0=LEN(ReferenceData!$BM$173),"",ReferenceData!$BM$173),"")</f>
        <v/>
      </c>
    </row>
    <row r="174" spans="1:65" x14ac:dyDescent="0.25">
      <c r="A174" t="str">
        <f>IFERROR(IF(0=LEN(ReferenceData!$A$174),"",ReferenceData!$A$174),"")</f>
        <v xml:space="preserve">    FinecoBank Banca Fineco SpA</v>
      </c>
      <c r="B174" t="str">
        <f>IFERROR(IF(0=LEN(ReferenceData!$B$174),"",ReferenceData!$B$174),"")</f>
        <v>FBK IM Equity</v>
      </c>
      <c r="C174" t="str">
        <f>IFERROR(IF(0=LEN(ReferenceData!$C$174),"",ReferenceData!$C$174),"")</f>
        <v>BS018</v>
      </c>
      <c r="D174" t="str">
        <f>IFERROR(IF(0=LEN(ReferenceData!$D$174),"",ReferenceData!$D$174),"")</f>
        <v>BS_OTHER_LOAN</v>
      </c>
      <c r="E174" t="str">
        <f>IFERROR(IF(0=LEN(ReferenceData!$E$174),"",ReferenceData!$E$174),"")</f>
        <v>Dynamic</v>
      </c>
      <c r="F174" t="str">
        <f ca="1">IFERROR(IF(0=LEN(ReferenceData!$F$174),"",ReferenceData!$F$174),"")</f>
        <v/>
      </c>
      <c r="G174" t="str">
        <f ca="1">IFERROR(IF(0=LEN(ReferenceData!$G$174),"",ReferenceData!$G$174),"")</f>
        <v/>
      </c>
      <c r="H174">
        <f ca="1">IFERROR(IF(0=LEN(ReferenceData!$H$174),"",ReferenceData!$H$174),"")</f>
        <v>757.88900000000001</v>
      </c>
      <c r="I174" t="str">
        <f ca="1">IFERROR(IF(0=LEN(ReferenceData!$I$174),"",ReferenceData!$I$174),"")</f>
        <v/>
      </c>
      <c r="J174">
        <f ca="1">IFERROR(IF(0=LEN(ReferenceData!$J$174),"",ReferenceData!$J$174),"")</f>
        <v>574.88699999999994</v>
      </c>
      <c r="K174" t="str">
        <f ca="1">IFERROR(IF(0=LEN(ReferenceData!$K$174),"",ReferenceData!$K$174),"")</f>
        <v/>
      </c>
      <c r="L174">
        <f ca="1">IFERROR(IF(0=LEN(ReferenceData!$L$174),"",ReferenceData!$L$174),"")</f>
        <v>317.30700000000002</v>
      </c>
      <c r="M174" t="str">
        <f ca="1">IFERROR(IF(0=LEN(ReferenceData!$M$174),"",ReferenceData!$M$174),"")</f>
        <v/>
      </c>
      <c r="N174">
        <f ca="1">IFERROR(IF(0=LEN(ReferenceData!$N$174),"",ReferenceData!$N$174),"")</f>
        <v>435.25299999999999</v>
      </c>
      <c r="O174" t="str">
        <f ca="1">IFERROR(IF(0=LEN(ReferenceData!$O$174),"",ReferenceData!$O$174),"")</f>
        <v/>
      </c>
      <c r="P174">
        <f ca="1">IFERROR(IF(0=LEN(ReferenceData!$P$174),"",ReferenceData!$P$174),"")</f>
        <v>475.16</v>
      </c>
      <c r="Q174" t="str">
        <f ca="1">IFERROR(IF(0=LEN(ReferenceData!$Q$174),"",ReferenceData!$Q$174),"")</f>
        <v/>
      </c>
      <c r="R174">
        <f ca="1">IFERROR(IF(0=LEN(ReferenceData!$R$174),"",ReferenceData!$R$174),"")</f>
        <v>433.61099999999999</v>
      </c>
      <c r="S174" t="str">
        <f ca="1">IFERROR(IF(0=LEN(ReferenceData!$S$174),"",ReferenceData!$S$174),"")</f>
        <v/>
      </c>
      <c r="T174">
        <f ca="1">IFERROR(IF(0=LEN(ReferenceData!$T$174),"",ReferenceData!$T$174),"")</f>
        <v>432.42700000000002</v>
      </c>
      <c r="U174" t="str">
        <f ca="1">IFERROR(IF(0=LEN(ReferenceData!$U$174),"",ReferenceData!$U$174),"")</f>
        <v/>
      </c>
      <c r="V174">
        <f ca="1">IFERROR(IF(0=LEN(ReferenceData!$V$174),"",ReferenceData!$V$174),"")</f>
        <v>410.45299999999997</v>
      </c>
      <c r="W174" t="str">
        <f ca="1">IFERROR(IF(0=LEN(ReferenceData!$W$174),"",ReferenceData!$W$174),"")</f>
        <v/>
      </c>
      <c r="X174">
        <f ca="1">IFERROR(IF(0=LEN(ReferenceData!$X$174),"",ReferenceData!$X$174),"")</f>
        <v>333.14299999999997</v>
      </c>
      <c r="Y174" t="str">
        <f ca="1">IFERROR(IF(0=LEN(ReferenceData!$Y$174),"",ReferenceData!$Y$174),"")</f>
        <v/>
      </c>
      <c r="Z174">
        <f ca="1">IFERROR(IF(0=LEN(ReferenceData!$Z$174),"",ReferenceData!$Z$174),"")</f>
        <v>298.67</v>
      </c>
      <c r="AA174" t="str">
        <f ca="1">IFERROR(IF(0=LEN(ReferenceData!$AA$174),"",ReferenceData!$AA$174),"")</f>
        <v/>
      </c>
      <c r="AB174">
        <f ca="1">IFERROR(IF(0=LEN(ReferenceData!$AB$174),"",ReferenceData!$AB$174),"")</f>
        <v>397.97800000000001</v>
      </c>
      <c r="AC174" t="str">
        <f ca="1">IFERROR(IF(0=LEN(ReferenceData!$AC$174),"",ReferenceData!$AC$174),"")</f>
        <v/>
      </c>
      <c r="AD174">
        <f ca="1">IFERROR(IF(0=LEN(ReferenceData!$AD$174),"",ReferenceData!$AD$174),"")</f>
        <v>226.80199999999999</v>
      </c>
      <c r="AE174" t="str">
        <f ca="1">IFERROR(IF(0=LEN(ReferenceData!$AE$174),"",ReferenceData!$AE$174),"")</f>
        <v/>
      </c>
      <c r="AF174">
        <f ca="1">IFERROR(IF(0=LEN(ReferenceData!$AF$174),"",ReferenceData!$AF$174),"")</f>
        <v>227.71100000000001</v>
      </c>
      <c r="AG174" t="str">
        <f ca="1">IFERROR(IF(0=LEN(ReferenceData!$AG$174),"",ReferenceData!$AG$174),"")</f>
        <v/>
      </c>
      <c r="AH174">
        <f ca="1">IFERROR(IF(0=LEN(ReferenceData!$AH$174),"",ReferenceData!$AH$174),"")</f>
        <v>168.19826699999999</v>
      </c>
      <c r="AI174" t="str">
        <f ca="1">IFERROR(IF(0=LEN(ReferenceData!$AI$174),"",ReferenceData!$AI$174),"")</f>
        <v/>
      </c>
      <c r="AJ174">
        <f ca="1">IFERROR(IF(0=LEN(ReferenceData!$AJ$174),"",ReferenceData!$AJ$174),"")</f>
        <v>177.17994100000001</v>
      </c>
      <c r="AK174" t="str">
        <f ca="1">IFERROR(IF(0=LEN(ReferenceData!$AK$174),"",ReferenceData!$AK$174),"")</f>
        <v/>
      </c>
      <c r="AL174">
        <f ca="1">IFERROR(IF(0=LEN(ReferenceData!$AL$174),"",ReferenceData!$AL$174),"")</f>
        <v>152.702</v>
      </c>
      <c r="AM174" t="str">
        <f ca="1">IFERROR(IF(0=LEN(ReferenceData!$AM$174),"",ReferenceData!$AM$174),"")</f>
        <v/>
      </c>
      <c r="AN174">
        <f ca="1">IFERROR(IF(0=LEN(ReferenceData!$AN$174),"",ReferenceData!$AN$174),"")</f>
        <v>161.32479599999999</v>
      </c>
      <c r="AO174" t="str">
        <f ca="1">IFERROR(IF(0=LEN(ReferenceData!$AO$174),"",ReferenceData!$AO$174),"")</f>
        <v/>
      </c>
      <c r="AP174">
        <f ca="1">IFERROR(IF(0=LEN(ReferenceData!$AP$174),"",ReferenceData!$AP$174),"")</f>
        <v>140.804</v>
      </c>
      <c r="AQ174" t="str">
        <f ca="1">IFERROR(IF(0=LEN(ReferenceData!$AQ$174),"",ReferenceData!$AQ$174),"")</f>
        <v/>
      </c>
      <c r="AR174">
        <f ca="1">IFERROR(IF(0=LEN(ReferenceData!$AR$174),"",ReferenceData!$AR$174),"")</f>
        <v>159.72967399999999</v>
      </c>
      <c r="AS174" t="str">
        <f ca="1">IFERROR(IF(0=LEN(ReferenceData!$AS$174),"",ReferenceData!$AS$174),"")</f>
        <v/>
      </c>
      <c r="AT174">
        <f ca="1">IFERROR(IF(0=LEN(ReferenceData!$AT$174),"",ReferenceData!$AT$174),"")</f>
        <v>126.141232</v>
      </c>
      <c r="AU174">
        <f ca="1">IFERROR(IF(0=LEN(ReferenceData!$AU$174),"",ReferenceData!$AU$174),"")</f>
        <v>113.54641100000001</v>
      </c>
      <c r="AV174">
        <f ca="1">IFERROR(IF(0=LEN(ReferenceData!$AV$174),"",ReferenceData!$AV$174),"")</f>
        <v>147.166729</v>
      </c>
      <c r="AW174">
        <f ca="1">IFERROR(IF(0=LEN(ReferenceData!$AW$174),"",ReferenceData!$AW$174),"")</f>
        <v>162.187196</v>
      </c>
      <c r="AX174" t="str">
        <f ca="1">IFERROR(IF(0=LEN(ReferenceData!$AX$174),"",ReferenceData!$AX$174),"")</f>
        <v/>
      </c>
      <c r="AY174" t="str">
        <f ca="1">IFERROR(IF(0=LEN(ReferenceData!$AY$174),"",ReferenceData!$AY$174),"")</f>
        <v/>
      </c>
      <c r="AZ174" t="str">
        <f ca="1">IFERROR(IF(0=LEN(ReferenceData!$AZ$174),"",ReferenceData!$AZ$174),"")</f>
        <v/>
      </c>
      <c r="BA174" t="str">
        <f ca="1">IFERROR(IF(0=LEN(ReferenceData!$BA$174),"",ReferenceData!$BA$174),"")</f>
        <v/>
      </c>
      <c r="BB174" t="str">
        <f ca="1">IFERROR(IF(0=LEN(ReferenceData!$BB$174),"",ReferenceData!$BB$174),"")</f>
        <v/>
      </c>
      <c r="BC174" t="str">
        <f ca="1">IFERROR(IF(0=LEN(ReferenceData!$BC$174),"",ReferenceData!$BC$174),"")</f>
        <v/>
      </c>
      <c r="BD174" t="str">
        <f ca="1">IFERROR(IF(0=LEN(ReferenceData!$BD$174),"",ReferenceData!$BD$174),"")</f>
        <v/>
      </c>
      <c r="BE174" t="str">
        <f ca="1">IFERROR(IF(0=LEN(ReferenceData!$BE$174),"",ReferenceData!$BE$174),"")</f>
        <v/>
      </c>
      <c r="BF174" t="str">
        <f ca="1">IFERROR(IF(0=LEN(ReferenceData!$BF$174),"",ReferenceData!$BF$174),"")</f>
        <v/>
      </c>
      <c r="BG174" t="str">
        <f ca="1">IFERROR(IF(0=LEN(ReferenceData!$BG$174),"",ReferenceData!$BG$174),"")</f>
        <v/>
      </c>
      <c r="BH174" t="str">
        <f ca="1">IFERROR(IF(0=LEN(ReferenceData!$BH$174),"",ReferenceData!$BH$174),"")</f>
        <v/>
      </c>
      <c r="BI174" t="str">
        <f ca="1">IFERROR(IF(0=LEN(ReferenceData!$BI$174),"",ReferenceData!$BI$174),"")</f>
        <v/>
      </c>
      <c r="BJ174" t="str">
        <f ca="1">IFERROR(IF(0=LEN(ReferenceData!$BJ$174),"",ReferenceData!$BJ$174),"")</f>
        <v/>
      </c>
      <c r="BK174" t="str">
        <f ca="1">IFERROR(IF(0=LEN(ReferenceData!$BK$174),"",ReferenceData!$BK$174),"")</f>
        <v/>
      </c>
      <c r="BL174" t="str">
        <f ca="1">IFERROR(IF(0=LEN(ReferenceData!$BL$174),"",ReferenceData!$BL$174),"")</f>
        <v/>
      </c>
      <c r="BM174" t="str">
        <f ca="1">IFERROR(IF(0=LEN(ReferenceData!$BM$174),"",ReferenceData!$BM$174),"")</f>
        <v/>
      </c>
    </row>
    <row r="175" spans="1:65" x14ac:dyDescent="0.25">
      <c r="A175" t="str">
        <f>IFERROR(IF(0=LEN(ReferenceData!$A$175),"",ReferenceData!$A$175),"")</f>
        <v xml:space="preserve">    HSBC Holdings PLC</v>
      </c>
      <c r="B175" t="str">
        <f>IFERROR(IF(0=LEN(ReferenceData!$B$175),"",ReferenceData!$B$175),"")</f>
        <v>HSBA LN Equity</v>
      </c>
      <c r="C175" t="str">
        <f>IFERROR(IF(0=LEN(ReferenceData!$C$175),"",ReferenceData!$C$175),"")</f>
        <v>BS018</v>
      </c>
      <c r="D175" t="str">
        <f>IFERROR(IF(0=LEN(ReferenceData!$D$175),"",ReferenceData!$D$175),"")</f>
        <v>BS_OTHER_LOAN</v>
      </c>
      <c r="E175" t="str">
        <f>IFERROR(IF(0=LEN(ReferenceData!$E$175),"",ReferenceData!$E$175),"")</f>
        <v>Dynamic</v>
      </c>
      <c r="F175">
        <f ca="1">IFERROR(IF(0=LEN(ReferenceData!$F$175),"",ReferenceData!$F$175),"")</f>
        <v>79683.061170000001</v>
      </c>
      <c r="G175" t="str">
        <f ca="1">IFERROR(IF(0=LEN(ReferenceData!$G$175),"",ReferenceData!$G$175),"")</f>
        <v/>
      </c>
      <c r="H175">
        <f ca="1">IFERROR(IF(0=LEN(ReferenceData!$H$175),"",ReferenceData!$H$175),"")</f>
        <v>73953.900710000002</v>
      </c>
      <c r="I175" t="str">
        <f ca="1">IFERROR(IF(0=LEN(ReferenceData!$I$175),"",ReferenceData!$I$175),"")</f>
        <v/>
      </c>
      <c r="J175">
        <f ca="1">IFERROR(IF(0=LEN(ReferenceData!$J$175),"",ReferenceData!$J$175),"")</f>
        <v>67274.041939999996</v>
      </c>
      <c r="K175" t="str">
        <f ca="1">IFERROR(IF(0=LEN(ReferenceData!$K$175),"",ReferenceData!$K$175),"")</f>
        <v/>
      </c>
      <c r="L175">
        <f ca="1">IFERROR(IF(0=LEN(ReferenceData!$L$175),"",ReferenceData!$L$175),"")</f>
        <v>70151.126579999996</v>
      </c>
      <c r="M175" t="str">
        <f ca="1">IFERROR(IF(0=LEN(ReferenceData!$M$175),"",ReferenceData!$M$175),"")</f>
        <v/>
      </c>
      <c r="N175">
        <f ca="1">IFERROR(IF(0=LEN(ReferenceData!$N$175),"",ReferenceData!$N$175),"")</f>
        <v>62481.561009999998</v>
      </c>
      <c r="O175" t="str">
        <f ca="1">IFERROR(IF(0=LEN(ReferenceData!$O$175),"",ReferenceData!$O$175),"")</f>
        <v/>
      </c>
      <c r="P175">
        <f ca="1">IFERROR(IF(0=LEN(ReferenceData!$P$175),"",ReferenceData!$P$175),"")</f>
        <v>62904.702850000001</v>
      </c>
      <c r="Q175" t="str">
        <f ca="1">IFERROR(IF(0=LEN(ReferenceData!$Q$175),"",ReferenceData!$Q$175),"")</f>
        <v/>
      </c>
      <c r="R175">
        <f ca="1">IFERROR(IF(0=LEN(ReferenceData!$R$175),"",ReferenceData!$R$175),"")</f>
        <v>57399.437910000001</v>
      </c>
      <c r="S175">
        <f ca="1">IFERROR(IF(0=LEN(ReferenceData!$S$175),"",ReferenceData!$S$175),"")</f>
        <v>56395.298589999999</v>
      </c>
      <c r="T175">
        <f ca="1">IFERROR(IF(0=LEN(ReferenceData!$T$175),"",ReferenceData!$T$175),"")</f>
        <v>58846.316140000003</v>
      </c>
      <c r="U175">
        <f ca="1">IFERROR(IF(0=LEN(ReferenceData!$U$175),"",ReferenceData!$U$175),"")</f>
        <v>54822.978719999999</v>
      </c>
      <c r="V175">
        <f ca="1">IFERROR(IF(0=LEN(ReferenceData!$V$175),"",ReferenceData!$V$175),"")</f>
        <v>52826.175869999999</v>
      </c>
      <c r="W175">
        <f ca="1">IFERROR(IF(0=LEN(ReferenceData!$W$175),"",ReferenceData!$W$175),"")</f>
        <v>59801.228459999998</v>
      </c>
      <c r="X175">
        <f ca="1">IFERROR(IF(0=LEN(ReferenceData!$X$175),"",ReferenceData!$X$175),"")</f>
        <v>61741.528059999997</v>
      </c>
      <c r="Y175">
        <f ca="1">IFERROR(IF(0=LEN(ReferenceData!$Y$175),"",ReferenceData!$Y$175),"")</f>
        <v>0</v>
      </c>
      <c r="Z175">
        <f ca="1">IFERROR(IF(0=LEN(ReferenceData!$Z$175),"",ReferenceData!$Z$175),"")</f>
        <v>62966.426220000001</v>
      </c>
      <c r="AA175">
        <f ca="1">IFERROR(IF(0=LEN(ReferenceData!$AA$175),"",ReferenceData!$AA$175),"")</f>
        <v>67044.850040000005</v>
      </c>
      <c r="AB175">
        <f ca="1">IFERROR(IF(0=LEN(ReferenceData!$AB$175),"",ReferenceData!$AB$175),"")</f>
        <v>61074.038209999999</v>
      </c>
      <c r="AC175">
        <f ca="1">IFERROR(IF(0=LEN(ReferenceData!$AC$175),"",ReferenceData!$AC$175),"")</f>
        <v>58937.70609</v>
      </c>
      <c r="AD175">
        <f ca="1">IFERROR(IF(0=LEN(ReferenceData!$AD$175),"",ReferenceData!$AD$175),"")</f>
        <v>53621.201540000002</v>
      </c>
      <c r="AE175">
        <f ca="1">IFERROR(IF(0=LEN(ReferenceData!$AE$175),"",ReferenceData!$AE$175),"")</f>
        <v>55762.8724</v>
      </c>
      <c r="AF175">
        <f ca="1">IFERROR(IF(0=LEN(ReferenceData!$AF$175),"",ReferenceData!$AF$175),"")</f>
        <v>51613.428110000001</v>
      </c>
      <c r="AG175">
        <f ca="1">IFERROR(IF(0=LEN(ReferenceData!$AG$175),"",ReferenceData!$AG$175),"")</f>
        <v>48822.909059999998</v>
      </c>
      <c r="AH175">
        <f ca="1">IFERROR(IF(0=LEN(ReferenceData!$AH$175),"",ReferenceData!$AH$175),"")</f>
        <v>0</v>
      </c>
      <c r="AI175">
        <f ca="1">IFERROR(IF(0=LEN(ReferenceData!$AI$175),"",ReferenceData!$AI$175),"")</f>
        <v>0</v>
      </c>
      <c r="AJ175">
        <f ca="1">IFERROR(IF(0=LEN(ReferenceData!$AJ$175),"",ReferenceData!$AJ$175),"")</f>
        <v>0</v>
      </c>
      <c r="AK175">
        <f ca="1">IFERROR(IF(0=LEN(ReferenceData!$AK$175),"",ReferenceData!$AK$175),"")</f>
        <v>0</v>
      </c>
      <c r="AL175">
        <f ca="1">IFERROR(IF(0=LEN(ReferenceData!$AL$175),"",ReferenceData!$AL$175),"")</f>
        <v>0</v>
      </c>
      <c r="AM175">
        <f ca="1">IFERROR(IF(0=LEN(ReferenceData!$AM$175),"",ReferenceData!$AM$175),"")</f>
        <v>0</v>
      </c>
      <c r="AN175">
        <f ca="1">IFERROR(IF(0=LEN(ReferenceData!$AN$175),"",ReferenceData!$AN$175),"")</f>
        <v>0</v>
      </c>
      <c r="AO175">
        <f ca="1">IFERROR(IF(0=LEN(ReferenceData!$AO$175),"",ReferenceData!$AO$175),"")</f>
        <v>0</v>
      </c>
      <c r="AP175">
        <f ca="1">IFERROR(IF(0=LEN(ReferenceData!$AP$175),"",ReferenceData!$AP$175),"")</f>
        <v>0</v>
      </c>
      <c r="AQ175">
        <f ca="1">IFERROR(IF(0=LEN(ReferenceData!$AQ$175),"",ReferenceData!$AQ$175),"")</f>
        <v>0</v>
      </c>
      <c r="AR175">
        <f ca="1">IFERROR(IF(0=LEN(ReferenceData!$AR$175),"",ReferenceData!$AR$175),"")</f>
        <v>0</v>
      </c>
      <c r="AS175">
        <f ca="1">IFERROR(IF(0=LEN(ReferenceData!$AS$175),"",ReferenceData!$AS$175),"")</f>
        <v>1537.0991799999999</v>
      </c>
      <c r="AT175">
        <f ca="1">IFERROR(IF(0=LEN(ReferenceData!$AT$175),"",ReferenceData!$AT$175),"")</f>
        <v>1709.917355</v>
      </c>
      <c r="AU175">
        <f ca="1">IFERROR(IF(0=LEN(ReferenceData!$AU$175),"",ReferenceData!$AU$175),"")</f>
        <v>1792.699343</v>
      </c>
      <c r="AV175">
        <f ca="1">IFERROR(IF(0=LEN(ReferenceData!$AV$175),"",ReferenceData!$AV$175),"")</f>
        <v>1840.759679</v>
      </c>
      <c r="AW175">
        <f ca="1">IFERROR(IF(0=LEN(ReferenceData!$AW$175),"",ReferenceData!$AW$175),"")</f>
        <v>1895.8756900000001</v>
      </c>
      <c r="AX175">
        <f ca="1">IFERROR(IF(0=LEN(ReferenceData!$AX$175),"",ReferenceData!$AX$175),"")</f>
        <v>1969.685982</v>
      </c>
      <c r="AY175">
        <f ca="1">IFERROR(IF(0=LEN(ReferenceData!$AY$175),"",ReferenceData!$AY$175),"")</f>
        <v>2284.3840070000001</v>
      </c>
      <c r="AZ175">
        <f ca="1">IFERROR(IF(0=LEN(ReferenceData!$AZ$175),"",ReferenceData!$AZ$175),"")</f>
        <v>2665.1287969999998</v>
      </c>
      <c r="BA175">
        <f ca="1">IFERROR(IF(0=LEN(ReferenceData!$BA$175),"",ReferenceData!$BA$175),"")</f>
        <v>2802.870739</v>
      </c>
      <c r="BB175">
        <f ca="1">IFERROR(IF(0=LEN(ReferenceData!$BB$175),"",ReferenceData!$BB$175),"")</f>
        <v>2948.397363</v>
      </c>
      <c r="BC175">
        <f ca="1">IFERROR(IF(0=LEN(ReferenceData!$BC$175),"",ReferenceData!$BC$175),"")</f>
        <v>3261.882572</v>
      </c>
      <c r="BD175">
        <f ca="1">IFERROR(IF(0=LEN(ReferenceData!$BD$175),"",ReferenceData!$BD$175),"")</f>
        <v>3670.8560590000002</v>
      </c>
      <c r="BE175">
        <f ca="1">IFERROR(IF(0=LEN(ReferenceData!$BE$175),"",ReferenceData!$BE$175),"")</f>
        <v>3703.120312</v>
      </c>
      <c r="BF175">
        <f ca="1">IFERROR(IF(0=LEN(ReferenceData!$BF$175),"",ReferenceData!$BF$175),"")</f>
        <v>4074.0740740000001</v>
      </c>
      <c r="BG175">
        <f ca="1">IFERROR(IF(0=LEN(ReferenceData!$BG$175),"",ReferenceData!$BG$175),"")</f>
        <v>3932.6343969999998</v>
      </c>
      <c r="BH175">
        <f ca="1">IFERROR(IF(0=LEN(ReferenceData!$BH$175),"",ReferenceData!$BH$175),"")</f>
        <v>3903.5148170000002</v>
      </c>
      <c r="BI175">
        <f ca="1">IFERROR(IF(0=LEN(ReferenceData!$BI$175),"",ReferenceData!$BI$175),"")</f>
        <v>4106.4129670000002</v>
      </c>
      <c r="BJ175">
        <f ca="1">IFERROR(IF(0=LEN(ReferenceData!$BJ$175),"",ReferenceData!$BJ$175),"")</f>
        <v>4408.1999100000003</v>
      </c>
      <c r="BK175" t="str">
        <f ca="1">IFERROR(IF(0=LEN(ReferenceData!$BK$175),"",ReferenceData!$BK$175),"")</f>
        <v/>
      </c>
      <c r="BL175">
        <f ca="1">IFERROR(IF(0=LEN(ReferenceData!$BL$175),"",ReferenceData!$BL$175),"")</f>
        <v>5035.4899240000004</v>
      </c>
      <c r="BM175" t="str">
        <f ca="1">IFERROR(IF(0=LEN(ReferenceData!$BM$175),"",ReferenceData!$BM$175),"")</f>
        <v/>
      </c>
    </row>
    <row r="176" spans="1:65" x14ac:dyDescent="0.25">
      <c r="A176" t="str">
        <f>IFERROR(IF(0=LEN(ReferenceData!$A$176),"",ReferenceData!$A$176),"")</f>
        <v xml:space="preserve">    ING Groep NV</v>
      </c>
      <c r="B176" t="str">
        <f>IFERROR(IF(0=LEN(ReferenceData!$B$176),"",ReferenceData!$B$176),"")</f>
        <v>INGA NA Equity</v>
      </c>
      <c r="C176" t="str">
        <f>IFERROR(IF(0=LEN(ReferenceData!$C$176),"",ReferenceData!$C$176),"")</f>
        <v>BS018</v>
      </c>
      <c r="D176" t="str">
        <f>IFERROR(IF(0=LEN(ReferenceData!$D$176),"",ReferenceData!$D$176),"")</f>
        <v>BS_OTHER_LOAN</v>
      </c>
      <c r="E176" t="str">
        <f>IFERROR(IF(0=LEN(ReferenceData!$E$176),"",ReferenceData!$E$176),"")</f>
        <v>Dynamic</v>
      </c>
      <c r="F176">
        <f ca="1">IFERROR(IF(0=LEN(ReferenceData!$F$176),"",ReferenceData!$F$176),"")</f>
        <v>15190</v>
      </c>
      <c r="G176" t="str">
        <f ca="1">IFERROR(IF(0=LEN(ReferenceData!$G$176),"",ReferenceData!$G$176),"")</f>
        <v/>
      </c>
      <c r="H176">
        <f ca="1">IFERROR(IF(0=LEN(ReferenceData!$H$176),"",ReferenceData!$H$176),"")</f>
        <v>14975</v>
      </c>
      <c r="I176" t="str">
        <f ca="1">IFERROR(IF(0=LEN(ReferenceData!$I$176),"",ReferenceData!$I$176),"")</f>
        <v/>
      </c>
      <c r="J176">
        <f ca="1">IFERROR(IF(0=LEN(ReferenceData!$J$176),"",ReferenceData!$J$176),"")</f>
        <v>13885</v>
      </c>
      <c r="K176" t="str">
        <f ca="1">IFERROR(IF(0=LEN(ReferenceData!$K$176),"",ReferenceData!$K$176),"")</f>
        <v/>
      </c>
      <c r="L176">
        <f ca="1">IFERROR(IF(0=LEN(ReferenceData!$L$176),"",ReferenceData!$L$176),"")</f>
        <v>14878</v>
      </c>
      <c r="M176" t="str">
        <f ca="1">IFERROR(IF(0=LEN(ReferenceData!$M$176),"",ReferenceData!$M$176),"")</f>
        <v/>
      </c>
      <c r="N176">
        <f ca="1">IFERROR(IF(0=LEN(ReferenceData!$N$176),"",ReferenceData!$N$176),"")</f>
        <v>11371</v>
      </c>
      <c r="O176" t="str">
        <f ca="1">IFERROR(IF(0=LEN(ReferenceData!$O$176),"",ReferenceData!$O$176),"")</f>
        <v/>
      </c>
      <c r="P176">
        <f ca="1">IFERROR(IF(0=LEN(ReferenceData!$P$176),"",ReferenceData!$P$176),"")</f>
        <v>13295</v>
      </c>
      <c r="Q176" t="str">
        <f ca="1">IFERROR(IF(0=LEN(ReferenceData!$Q$176),"",ReferenceData!$Q$176),"")</f>
        <v/>
      </c>
      <c r="R176">
        <f ca="1">IFERROR(IF(0=LEN(ReferenceData!$R$176),"",ReferenceData!$R$176),"")</f>
        <v>47543</v>
      </c>
      <c r="S176" t="str">
        <f ca="1">IFERROR(IF(0=LEN(ReferenceData!$S$176),"",ReferenceData!$S$176),"")</f>
        <v/>
      </c>
      <c r="T176">
        <f ca="1">IFERROR(IF(0=LEN(ReferenceData!$T$176),"",ReferenceData!$T$176),"")</f>
        <v>47746</v>
      </c>
      <c r="U176" t="str">
        <f ca="1">IFERROR(IF(0=LEN(ReferenceData!$U$176),"",ReferenceData!$U$176),"")</f>
        <v/>
      </c>
      <c r="V176">
        <f ca="1">IFERROR(IF(0=LEN(ReferenceData!$V$176),"",ReferenceData!$V$176),"")</f>
        <v>46079</v>
      </c>
      <c r="W176" t="str">
        <f ca="1">IFERROR(IF(0=LEN(ReferenceData!$W$176),"",ReferenceData!$W$176),"")</f>
        <v/>
      </c>
      <c r="X176">
        <f ca="1">IFERROR(IF(0=LEN(ReferenceData!$X$176),"",ReferenceData!$X$176),"")</f>
        <v>46322</v>
      </c>
      <c r="Y176" t="str">
        <f ca="1">IFERROR(IF(0=LEN(ReferenceData!$Y$176),"",ReferenceData!$Y$176),"")</f>
        <v/>
      </c>
      <c r="Z176">
        <f ca="1">IFERROR(IF(0=LEN(ReferenceData!$Z$176),"",ReferenceData!$Z$176),"")</f>
        <v>45785</v>
      </c>
      <c r="AA176" t="str">
        <f ca="1">IFERROR(IF(0=LEN(ReferenceData!$AA$176),"",ReferenceData!$AA$176),"")</f>
        <v/>
      </c>
      <c r="AB176">
        <f ca="1">IFERROR(IF(0=LEN(ReferenceData!$AB$176),"",ReferenceData!$AB$176),"")</f>
        <v>47076</v>
      </c>
      <c r="AC176" t="str">
        <f ca="1">IFERROR(IF(0=LEN(ReferenceData!$AC$176),"",ReferenceData!$AC$176),"")</f>
        <v/>
      </c>
      <c r="AD176">
        <f ca="1">IFERROR(IF(0=LEN(ReferenceData!$AD$176),"",ReferenceData!$AD$176),"")</f>
        <v>44632</v>
      </c>
      <c r="AE176" t="str">
        <f ca="1">IFERROR(IF(0=LEN(ReferenceData!$AE$176),"",ReferenceData!$AE$176),"")</f>
        <v/>
      </c>
      <c r="AF176">
        <f ca="1">IFERROR(IF(0=LEN(ReferenceData!$AF$176),"",ReferenceData!$AF$176),"")</f>
        <v>45368</v>
      </c>
      <c r="AG176" t="str">
        <f ca="1">IFERROR(IF(0=LEN(ReferenceData!$AG$176),"",ReferenceData!$AG$176),"")</f>
        <v/>
      </c>
      <c r="AH176">
        <f ca="1">IFERROR(IF(0=LEN(ReferenceData!$AH$176),"",ReferenceData!$AH$176),"")</f>
        <v>50139</v>
      </c>
      <c r="AI176" t="str">
        <f ca="1">IFERROR(IF(0=LEN(ReferenceData!$AI$176),"",ReferenceData!$AI$176),"")</f>
        <v/>
      </c>
      <c r="AJ176">
        <f ca="1">IFERROR(IF(0=LEN(ReferenceData!$AJ$176),"",ReferenceData!$AJ$176),"")</f>
        <v>51231</v>
      </c>
      <c r="AK176" t="str">
        <f ca="1">IFERROR(IF(0=LEN(ReferenceData!$AK$176),"",ReferenceData!$AK$176),"")</f>
        <v/>
      </c>
      <c r="AL176">
        <f ca="1">IFERROR(IF(0=LEN(ReferenceData!$AL$176),"",ReferenceData!$AL$176),"")</f>
        <v>50858</v>
      </c>
      <c r="AM176" t="str">
        <f ca="1">IFERROR(IF(0=LEN(ReferenceData!$AM$176),"",ReferenceData!$AM$176),"")</f>
        <v/>
      </c>
      <c r="AN176">
        <f ca="1">IFERROR(IF(0=LEN(ReferenceData!$AN$176),"",ReferenceData!$AN$176),"")</f>
        <v>55310</v>
      </c>
      <c r="AO176" t="str">
        <f ca="1">IFERROR(IF(0=LEN(ReferenceData!$AO$176),"",ReferenceData!$AO$176),"")</f>
        <v/>
      </c>
      <c r="AP176">
        <f ca="1">IFERROR(IF(0=LEN(ReferenceData!$AP$176),"",ReferenceData!$AP$176),"")</f>
        <v>59048</v>
      </c>
      <c r="AQ176">
        <f ca="1">IFERROR(IF(0=LEN(ReferenceData!$AQ$176),"",ReferenceData!$AQ$176),"")</f>
        <v>57605</v>
      </c>
      <c r="AR176">
        <f ca="1">IFERROR(IF(0=LEN(ReferenceData!$AR$176),"",ReferenceData!$AR$176),"")</f>
        <v>58232</v>
      </c>
      <c r="AS176">
        <f ca="1">IFERROR(IF(0=LEN(ReferenceData!$AS$176),"",ReferenceData!$AS$176),"")</f>
        <v>58325</v>
      </c>
      <c r="AT176">
        <f ca="1">IFERROR(IF(0=LEN(ReferenceData!$AT$176),"",ReferenceData!$AT$176),"")</f>
        <v>52043</v>
      </c>
      <c r="AU176">
        <f ca="1">IFERROR(IF(0=LEN(ReferenceData!$AU$176),"",ReferenceData!$AU$176),"")</f>
        <v>51613</v>
      </c>
      <c r="AV176">
        <f ca="1">IFERROR(IF(0=LEN(ReferenceData!$AV$176),"",ReferenceData!$AV$176),"")</f>
        <v>77232</v>
      </c>
      <c r="AW176">
        <f ca="1">IFERROR(IF(0=LEN(ReferenceData!$AW$176),"",ReferenceData!$AW$176),"")</f>
        <v>74526</v>
      </c>
      <c r="AX176">
        <f ca="1">IFERROR(IF(0=LEN(ReferenceData!$AX$176),"",ReferenceData!$AX$176),"")</f>
        <v>60055</v>
      </c>
      <c r="AY176">
        <f ca="1">IFERROR(IF(0=LEN(ReferenceData!$AY$176),"",ReferenceData!$AY$176),"")</f>
        <v>75849</v>
      </c>
      <c r="AZ176">
        <f ca="1">IFERROR(IF(0=LEN(ReferenceData!$AZ$176),"",ReferenceData!$AZ$176),"")</f>
        <v>82702</v>
      </c>
      <c r="BA176">
        <f ca="1">IFERROR(IF(0=LEN(ReferenceData!$BA$176),"",ReferenceData!$BA$176),"")</f>
        <v>85471</v>
      </c>
      <c r="BB176" t="str">
        <f ca="1">IFERROR(IF(0=LEN(ReferenceData!$BB$176),"",ReferenceData!$BB$176),"")</f>
        <v/>
      </c>
      <c r="BC176">
        <f ca="1">IFERROR(IF(0=LEN(ReferenceData!$BC$176),"",ReferenceData!$BC$176),"")</f>
        <v>85954</v>
      </c>
      <c r="BD176" t="str">
        <f ca="1">IFERROR(IF(0=LEN(ReferenceData!$BD$176),"",ReferenceData!$BD$176),"")</f>
        <v/>
      </c>
      <c r="BE176">
        <f ca="1">IFERROR(IF(0=LEN(ReferenceData!$BE$176),"",ReferenceData!$BE$176),"")</f>
        <v>107000</v>
      </c>
      <c r="BF176">
        <f ca="1">IFERROR(IF(0=LEN(ReferenceData!$BF$176),"",ReferenceData!$BF$176),"")</f>
        <v>96069</v>
      </c>
      <c r="BG176">
        <f ca="1">IFERROR(IF(0=LEN(ReferenceData!$BG$176),"",ReferenceData!$BG$176),"")</f>
        <v>101844</v>
      </c>
      <c r="BH176">
        <f ca="1">IFERROR(IF(0=LEN(ReferenceData!$BH$176),"",ReferenceData!$BH$176),"")</f>
        <v>102449</v>
      </c>
      <c r="BI176">
        <f ca="1">IFERROR(IF(0=LEN(ReferenceData!$BI$176),"",ReferenceData!$BI$176),"")</f>
        <v>85370</v>
      </c>
      <c r="BJ176">
        <f ca="1">IFERROR(IF(0=LEN(ReferenceData!$BJ$176),"",ReferenceData!$BJ$176),"")</f>
        <v>100641</v>
      </c>
      <c r="BK176">
        <f ca="1">IFERROR(IF(0=LEN(ReferenceData!$BK$176),"",ReferenceData!$BK$176),"")</f>
        <v>85924</v>
      </c>
      <c r="BL176">
        <f ca="1">IFERROR(IF(0=LEN(ReferenceData!$BL$176),"",ReferenceData!$BL$176),"")</f>
        <v>88757</v>
      </c>
      <c r="BM176" t="str">
        <f ca="1">IFERROR(IF(0=LEN(ReferenceData!$BM$176),"",ReferenceData!$BM$176),"")</f>
        <v/>
      </c>
    </row>
    <row r="177" spans="1:65" x14ac:dyDescent="0.25">
      <c r="A177" t="str">
        <f>IFERROR(IF(0=LEN(ReferenceData!$A$177),"",ReferenceData!$A$177),"")</f>
        <v xml:space="preserve">    Intesa Sanpaolo SpA</v>
      </c>
      <c r="B177" t="str">
        <f>IFERROR(IF(0=LEN(ReferenceData!$B$177),"",ReferenceData!$B$177),"")</f>
        <v>ISP IM Equity</v>
      </c>
      <c r="C177" t="str">
        <f>IFERROR(IF(0=LEN(ReferenceData!$C$177),"",ReferenceData!$C$177),"")</f>
        <v>BS018</v>
      </c>
      <c r="D177" t="str">
        <f>IFERROR(IF(0=LEN(ReferenceData!$D$177),"",ReferenceData!$D$177),"")</f>
        <v>BS_OTHER_LOAN</v>
      </c>
      <c r="E177" t="str">
        <f>IFERROR(IF(0=LEN(ReferenceData!$E$177),"",ReferenceData!$E$177),"")</f>
        <v>Dynamic</v>
      </c>
      <c r="F177" t="str">
        <f ca="1">IFERROR(IF(0=LEN(ReferenceData!$F$177),"",ReferenceData!$F$177),"")</f>
        <v/>
      </c>
      <c r="G177">
        <f ca="1">IFERROR(IF(0=LEN(ReferenceData!$G$177),"",ReferenceData!$G$177),"")</f>
        <v>170132</v>
      </c>
      <c r="H177">
        <f ca="1">IFERROR(IF(0=LEN(ReferenceData!$H$177),"",ReferenceData!$H$177),"")</f>
        <v>104068</v>
      </c>
      <c r="I177">
        <f ca="1">IFERROR(IF(0=LEN(ReferenceData!$I$177),"",ReferenceData!$I$177),"")</f>
        <v>171255</v>
      </c>
      <c r="J177">
        <f ca="1">IFERROR(IF(0=LEN(ReferenceData!$J$177),"",ReferenceData!$J$177),"")</f>
        <v>162547</v>
      </c>
      <c r="K177">
        <f ca="1">IFERROR(IF(0=LEN(ReferenceData!$K$177),"",ReferenceData!$K$177),"")</f>
        <v>174456</v>
      </c>
      <c r="L177">
        <f ca="1">IFERROR(IF(0=LEN(ReferenceData!$L$177),"",ReferenceData!$L$177),"")</f>
        <v>109042</v>
      </c>
      <c r="M177">
        <f ca="1">IFERROR(IF(0=LEN(ReferenceData!$M$177),"",ReferenceData!$M$177),"")</f>
        <v>174318</v>
      </c>
      <c r="N177">
        <f ca="1">IFERROR(IF(0=LEN(ReferenceData!$N$177),"",ReferenceData!$N$177),"")</f>
        <v>161623</v>
      </c>
      <c r="O177">
        <f ca="1">IFERROR(IF(0=LEN(ReferenceData!$O$177),"",ReferenceData!$O$177),"")</f>
        <v>189974</v>
      </c>
      <c r="P177">
        <f ca="1">IFERROR(IF(0=LEN(ReferenceData!$P$177),"",ReferenceData!$P$177),"")</f>
        <v>138729</v>
      </c>
      <c r="Q177">
        <f ca="1">IFERROR(IF(0=LEN(ReferenceData!$Q$177),"",ReferenceData!$Q$177),"")</f>
        <v>187328</v>
      </c>
      <c r="R177">
        <f ca="1">IFERROR(IF(0=LEN(ReferenceData!$R$177),"",ReferenceData!$R$177),"")</f>
        <v>137101</v>
      </c>
      <c r="S177">
        <f ca="1">IFERROR(IF(0=LEN(ReferenceData!$S$177),"",ReferenceData!$S$177),"")</f>
        <v>182888</v>
      </c>
      <c r="T177">
        <f ca="1">IFERROR(IF(0=LEN(ReferenceData!$T$177),"",ReferenceData!$T$177),"")</f>
        <v>184678</v>
      </c>
      <c r="U177">
        <f ca="1">IFERROR(IF(0=LEN(ReferenceData!$U$177),"",ReferenceData!$U$177),"")</f>
        <v>185352</v>
      </c>
      <c r="V177">
        <f ca="1">IFERROR(IF(0=LEN(ReferenceData!$V$177),"",ReferenceData!$V$177),"")</f>
        <v>136187</v>
      </c>
      <c r="W177">
        <f ca="1">IFERROR(IF(0=LEN(ReferenceData!$W$177),"",ReferenceData!$W$177),"")</f>
        <v>207761</v>
      </c>
      <c r="X177">
        <f ca="1">IFERROR(IF(0=LEN(ReferenceData!$X$177),"",ReferenceData!$X$177),"")</f>
        <v>191789</v>
      </c>
      <c r="Y177">
        <f ca="1">IFERROR(IF(0=LEN(ReferenceData!$Y$177),"",ReferenceData!$Y$177),"")</f>
        <v>197480</v>
      </c>
      <c r="Z177">
        <f ca="1">IFERROR(IF(0=LEN(ReferenceData!$Z$177),"",ReferenceData!$Z$177),"")</f>
        <v>157504</v>
      </c>
      <c r="AA177">
        <f ca="1">IFERROR(IF(0=LEN(ReferenceData!$AA$177),"",ReferenceData!$AA$177),"")</f>
        <v>185580</v>
      </c>
      <c r="AB177">
        <f ca="1">IFERROR(IF(0=LEN(ReferenceData!$AB$177),"",ReferenceData!$AB$177),"")</f>
        <v>185126</v>
      </c>
      <c r="AC177">
        <f ca="1">IFERROR(IF(0=LEN(ReferenceData!$AC$177),"",ReferenceData!$AC$177),"")</f>
        <v>183493</v>
      </c>
      <c r="AD177">
        <f ca="1">IFERROR(IF(0=LEN(ReferenceData!$AD$177),"",ReferenceData!$AD$177),"")</f>
        <v>164421</v>
      </c>
      <c r="AE177">
        <f ca="1">IFERROR(IF(0=LEN(ReferenceData!$AE$177),"",ReferenceData!$AE$177),"")</f>
        <v>188579</v>
      </c>
      <c r="AF177">
        <f ca="1">IFERROR(IF(0=LEN(ReferenceData!$AF$177),"",ReferenceData!$AF$177),"")</f>
        <v>195462</v>
      </c>
      <c r="AG177">
        <f ca="1">IFERROR(IF(0=LEN(ReferenceData!$AG$177),"",ReferenceData!$AG$177),"")</f>
        <v>203889</v>
      </c>
      <c r="AH177">
        <f ca="1">IFERROR(IF(0=LEN(ReferenceData!$AH$177),"",ReferenceData!$AH$177),"")</f>
        <v>204811</v>
      </c>
      <c r="AI177">
        <f ca="1">IFERROR(IF(0=LEN(ReferenceData!$AI$177),"",ReferenceData!$AI$177),"")</f>
        <v>199520</v>
      </c>
      <c r="AJ177">
        <f ca="1">IFERROR(IF(0=LEN(ReferenceData!$AJ$177),"",ReferenceData!$AJ$177),"")</f>
        <v>205227</v>
      </c>
      <c r="AK177" t="str">
        <f ca="1">IFERROR(IF(0=LEN(ReferenceData!$AK$177),"",ReferenceData!$AK$177),"")</f>
        <v/>
      </c>
      <c r="AL177">
        <f ca="1">IFERROR(IF(0=LEN(ReferenceData!$AL$177),"",ReferenceData!$AL$177),"")</f>
        <v>160402</v>
      </c>
      <c r="AM177" t="str">
        <f ca="1">IFERROR(IF(0=LEN(ReferenceData!$AM$177),"",ReferenceData!$AM$177),"")</f>
        <v/>
      </c>
      <c r="AN177" t="str">
        <f ca="1">IFERROR(IF(0=LEN(ReferenceData!$AN$177),"",ReferenceData!$AN$177),"")</f>
        <v/>
      </c>
      <c r="AO177" t="str">
        <f ca="1">IFERROR(IF(0=LEN(ReferenceData!$AO$177),"",ReferenceData!$AO$177),"")</f>
        <v/>
      </c>
      <c r="AP177">
        <f ca="1">IFERROR(IF(0=LEN(ReferenceData!$AP$177),"",ReferenceData!$AP$177),"")</f>
        <v>157822</v>
      </c>
      <c r="AQ177" t="str">
        <f ca="1">IFERROR(IF(0=LEN(ReferenceData!$AQ$177),"",ReferenceData!$AQ$177),"")</f>
        <v/>
      </c>
      <c r="AR177" t="str">
        <f ca="1">IFERROR(IF(0=LEN(ReferenceData!$AR$177),"",ReferenceData!$AR$177),"")</f>
        <v/>
      </c>
      <c r="AS177" t="str">
        <f ca="1">IFERROR(IF(0=LEN(ReferenceData!$AS$177),"",ReferenceData!$AS$177),"")</f>
        <v/>
      </c>
      <c r="AT177" t="str">
        <f ca="1">IFERROR(IF(0=LEN(ReferenceData!$AT$177),"",ReferenceData!$AT$177),"")</f>
        <v/>
      </c>
      <c r="AU177" t="str">
        <f ca="1">IFERROR(IF(0=LEN(ReferenceData!$AU$177),"",ReferenceData!$AU$177),"")</f>
        <v/>
      </c>
      <c r="AV177" t="str">
        <f ca="1">IFERROR(IF(0=LEN(ReferenceData!$AV$177),"",ReferenceData!$AV$177),"")</f>
        <v/>
      </c>
      <c r="AW177" t="str">
        <f ca="1">IFERROR(IF(0=LEN(ReferenceData!$AW$177),"",ReferenceData!$AW$177),"")</f>
        <v/>
      </c>
      <c r="AX177" t="str">
        <f ca="1">IFERROR(IF(0=LEN(ReferenceData!$AX$177),"",ReferenceData!$AX$177),"")</f>
        <v/>
      </c>
      <c r="AY177" t="str">
        <f ca="1">IFERROR(IF(0=LEN(ReferenceData!$AY$177),"",ReferenceData!$AY$177),"")</f>
        <v/>
      </c>
      <c r="AZ177" t="str">
        <f ca="1">IFERROR(IF(0=LEN(ReferenceData!$AZ$177),"",ReferenceData!$AZ$177),"")</f>
        <v/>
      </c>
      <c r="BA177" t="str">
        <f ca="1">IFERROR(IF(0=LEN(ReferenceData!$BA$177),"",ReferenceData!$BA$177),"")</f>
        <v/>
      </c>
      <c r="BB177" t="str">
        <f ca="1">IFERROR(IF(0=LEN(ReferenceData!$BB$177),"",ReferenceData!$BB$177),"")</f>
        <v/>
      </c>
      <c r="BC177" t="str">
        <f ca="1">IFERROR(IF(0=LEN(ReferenceData!$BC$177),"",ReferenceData!$BC$177),"")</f>
        <v/>
      </c>
      <c r="BD177" t="str">
        <f ca="1">IFERROR(IF(0=LEN(ReferenceData!$BD$177),"",ReferenceData!$BD$177),"")</f>
        <v/>
      </c>
      <c r="BE177" t="str">
        <f ca="1">IFERROR(IF(0=LEN(ReferenceData!$BE$177),"",ReferenceData!$BE$177),"")</f>
        <v/>
      </c>
      <c r="BF177" t="str">
        <f ca="1">IFERROR(IF(0=LEN(ReferenceData!$BF$177),"",ReferenceData!$BF$177),"")</f>
        <v/>
      </c>
      <c r="BG177" t="str">
        <f ca="1">IFERROR(IF(0=LEN(ReferenceData!$BG$177),"",ReferenceData!$BG$177),"")</f>
        <v/>
      </c>
      <c r="BH177" t="str">
        <f ca="1">IFERROR(IF(0=LEN(ReferenceData!$BH$177),"",ReferenceData!$BH$177),"")</f>
        <v/>
      </c>
      <c r="BI177" t="str">
        <f ca="1">IFERROR(IF(0=LEN(ReferenceData!$BI$177),"",ReferenceData!$BI$177),"")</f>
        <v/>
      </c>
      <c r="BJ177" t="str">
        <f ca="1">IFERROR(IF(0=LEN(ReferenceData!$BJ$177),"",ReferenceData!$BJ$177),"")</f>
        <v/>
      </c>
      <c r="BK177" t="str">
        <f ca="1">IFERROR(IF(0=LEN(ReferenceData!$BK$177),"",ReferenceData!$BK$177),"")</f>
        <v/>
      </c>
      <c r="BL177" t="str">
        <f ca="1">IFERROR(IF(0=LEN(ReferenceData!$BL$177),"",ReferenceData!$BL$177),"")</f>
        <v/>
      </c>
      <c r="BM177" t="str">
        <f ca="1">IFERROR(IF(0=LEN(ReferenceData!$BM$177),"",ReferenceData!$BM$177),"")</f>
        <v/>
      </c>
    </row>
    <row r="178" spans="1:65" x14ac:dyDescent="0.25">
      <c r="A178" t="str">
        <f>IFERROR(IF(0=LEN(ReferenceData!$A$178),"",ReferenceData!$A$178),"")</f>
        <v xml:space="preserve">    Jyske Bank A/S</v>
      </c>
      <c r="B178" t="str">
        <f>IFERROR(IF(0=LEN(ReferenceData!$B$178),"",ReferenceData!$B$178),"")</f>
        <v>JYSK DC Equity</v>
      </c>
      <c r="C178" t="str">
        <f>IFERROR(IF(0=LEN(ReferenceData!$C$178),"",ReferenceData!$C$178),"")</f>
        <v>BS018</v>
      </c>
      <c r="D178" t="str">
        <f>IFERROR(IF(0=LEN(ReferenceData!$D$178),"",ReferenceData!$D$178),"")</f>
        <v>BS_OTHER_LOAN</v>
      </c>
      <c r="E178" t="str">
        <f>IFERROR(IF(0=LEN(ReferenceData!$E$178),"",ReferenceData!$E$178),"")</f>
        <v>Dynamic</v>
      </c>
      <c r="F178">
        <f ca="1">IFERROR(IF(0=LEN(ReferenceData!$F$178),"",ReferenceData!$F$178),"")</f>
        <v>251.42509759999999</v>
      </c>
      <c r="G178">
        <f ca="1">IFERROR(IF(0=LEN(ReferenceData!$G$178),"",ReferenceData!$G$178),"")</f>
        <v>273.2802274</v>
      </c>
      <c r="H178">
        <f ca="1">IFERROR(IF(0=LEN(ReferenceData!$H$178),"",ReferenceData!$H$178),"")</f>
        <v>286.43211309999998</v>
      </c>
      <c r="I178" t="str">
        <f ca="1">IFERROR(IF(0=LEN(ReferenceData!$I$178),"",ReferenceData!$I$178),"")</f>
        <v/>
      </c>
      <c r="J178" t="str">
        <f ca="1">IFERROR(IF(0=LEN(ReferenceData!$J$178),"",ReferenceData!$J$178),"")</f>
        <v/>
      </c>
      <c r="K178">
        <f ca="1">IFERROR(IF(0=LEN(ReferenceData!$K$178),"",ReferenceData!$K$178),"")</f>
        <v>264.14896069999998</v>
      </c>
      <c r="L178">
        <f ca="1">IFERROR(IF(0=LEN(ReferenceData!$L$178),"",ReferenceData!$L$178),"")</f>
        <v>263.50994539999999</v>
      </c>
      <c r="M178" t="str">
        <f ca="1">IFERROR(IF(0=LEN(ReferenceData!$M$178),"",ReferenceData!$M$178),"")</f>
        <v/>
      </c>
      <c r="N178" t="str">
        <f ca="1">IFERROR(IF(0=LEN(ReferenceData!$N$178),"",ReferenceData!$N$178),"")</f>
        <v/>
      </c>
      <c r="O178" t="str">
        <f ca="1">IFERROR(IF(0=LEN(ReferenceData!$O$178),"",ReferenceData!$O$178),"")</f>
        <v/>
      </c>
      <c r="P178" t="str">
        <f ca="1">IFERROR(IF(0=LEN(ReferenceData!$P$178),"",ReferenceData!$P$178),"")</f>
        <v/>
      </c>
      <c r="Q178" t="str">
        <f ca="1">IFERROR(IF(0=LEN(ReferenceData!$Q$178),"",ReferenceData!$Q$178),"")</f>
        <v/>
      </c>
      <c r="R178" t="str">
        <f ca="1">IFERROR(IF(0=LEN(ReferenceData!$R$178),"",ReferenceData!$R$178),"")</f>
        <v/>
      </c>
      <c r="S178" t="str">
        <f ca="1">IFERROR(IF(0=LEN(ReferenceData!$S$178),"",ReferenceData!$S$178),"")</f>
        <v/>
      </c>
      <c r="T178" t="str">
        <f ca="1">IFERROR(IF(0=LEN(ReferenceData!$T$178),"",ReferenceData!$T$178),"")</f>
        <v/>
      </c>
      <c r="U178" t="str">
        <f ca="1">IFERROR(IF(0=LEN(ReferenceData!$U$178),"",ReferenceData!$U$178),"")</f>
        <v/>
      </c>
      <c r="V178" t="str">
        <f ca="1">IFERROR(IF(0=LEN(ReferenceData!$V$178),"",ReferenceData!$V$178),"")</f>
        <v/>
      </c>
      <c r="W178" t="str">
        <f ca="1">IFERROR(IF(0=LEN(ReferenceData!$W$178),"",ReferenceData!$W$178),"")</f>
        <v/>
      </c>
      <c r="X178" t="str">
        <f ca="1">IFERROR(IF(0=LEN(ReferenceData!$X$178),"",ReferenceData!$X$178),"")</f>
        <v/>
      </c>
      <c r="Y178" t="str">
        <f ca="1">IFERROR(IF(0=LEN(ReferenceData!$Y$178),"",ReferenceData!$Y$178),"")</f>
        <v/>
      </c>
      <c r="Z178" t="str">
        <f ca="1">IFERROR(IF(0=LEN(ReferenceData!$Z$178),"",ReferenceData!$Z$178),"")</f>
        <v/>
      </c>
      <c r="AA178" t="str">
        <f ca="1">IFERROR(IF(0=LEN(ReferenceData!$AA$178),"",ReferenceData!$AA$178),"")</f>
        <v/>
      </c>
      <c r="AB178" t="str">
        <f ca="1">IFERROR(IF(0=LEN(ReferenceData!$AB$178),"",ReferenceData!$AB$178),"")</f>
        <v/>
      </c>
      <c r="AC178" t="str">
        <f ca="1">IFERROR(IF(0=LEN(ReferenceData!$AC$178),"",ReferenceData!$AC$178),"")</f>
        <v/>
      </c>
      <c r="AD178" t="str">
        <f ca="1">IFERROR(IF(0=LEN(ReferenceData!$AD$178),"",ReferenceData!$AD$178),"")</f>
        <v/>
      </c>
      <c r="AE178" t="str">
        <f ca="1">IFERROR(IF(0=LEN(ReferenceData!$AE$178),"",ReferenceData!$AE$178),"")</f>
        <v/>
      </c>
      <c r="AF178" t="str">
        <f ca="1">IFERROR(IF(0=LEN(ReferenceData!$AF$178),"",ReferenceData!$AF$178),"")</f>
        <v/>
      </c>
      <c r="AG178" t="str">
        <f ca="1">IFERROR(IF(0=LEN(ReferenceData!$AG$178),"",ReferenceData!$AG$178),"")</f>
        <v/>
      </c>
      <c r="AH178" t="str">
        <f ca="1">IFERROR(IF(0=LEN(ReferenceData!$AH$178),"",ReferenceData!$AH$178),"")</f>
        <v/>
      </c>
      <c r="AI178" t="str">
        <f ca="1">IFERROR(IF(0=LEN(ReferenceData!$AI$178),"",ReferenceData!$AI$178),"")</f>
        <v/>
      </c>
      <c r="AJ178" t="str">
        <f ca="1">IFERROR(IF(0=LEN(ReferenceData!$AJ$178),"",ReferenceData!$AJ$178),"")</f>
        <v/>
      </c>
      <c r="AK178" t="str">
        <f ca="1">IFERROR(IF(0=LEN(ReferenceData!$AK$178),"",ReferenceData!$AK$178),"")</f>
        <v/>
      </c>
      <c r="AL178" t="str">
        <f ca="1">IFERROR(IF(0=LEN(ReferenceData!$AL$178),"",ReferenceData!$AL$178),"")</f>
        <v/>
      </c>
      <c r="AM178" t="str">
        <f ca="1">IFERROR(IF(0=LEN(ReferenceData!$AM$178),"",ReferenceData!$AM$178),"")</f>
        <v/>
      </c>
      <c r="AN178" t="str">
        <f ca="1">IFERROR(IF(0=LEN(ReferenceData!$AN$178),"",ReferenceData!$AN$178),"")</f>
        <v/>
      </c>
      <c r="AO178" t="str">
        <f ca="1">IFERROR(IF(0=LEN(ReferenceData!$AO$178),"",ReferenceData!$AO$178),"")</f>
        <v/>
      </c>
      <c r="AP178" t="str">
        <f ca="1">IFERROR(IF(0=LEN(ReferenceData!$AP$178),"",ReferenceData!$AP$178),"")</f>
        <v/>
      </c>
      <c r="AQ178" t="str">
        <f ca="1">IFERROR(IF(0=LEN(ReferenceData!$AQ$178),"",ReferenceData!$AQ$178),"")</f>
        <v/>
      </c>
      <c r="AR178" t="str">
        <f ca="1">IFERROR(IF(0=LEN(ReferenceData!$AR$178),"",ReferenceData!$AR$178),"")</f>
        <v/>
      </c>
      <c r="AS178" t="str">
        <f ca="1">IFERROR(IF(0=LEN(ReferenceData!$AS$178),"",ReferenceData!$AS$178),"")</f>
        <v/>
      </c>
      <c r="AT178" t="str">
        <f ca="1">IFERROR(IF(0=LEN(ReferenceData!$AT$178),"",ReferenceData!$AT$178),"")</f>
        <v/>
      </c>
      <c r="AU178" t="str">
        <f ca="1">IFERROR(IF(0=LEN(ReferenceData!$AU$178),"",ReferenceData!$AU$178),"")</f>
        <v/>
      </c>
      <c r="AV178" t="str">
        <f ca="1">IFERROR(IF(0=LEN(ReferenceData!$AV$178),"",ReferenceData!$AV$178),"")</f>
        <v/>
      </c>
      <c r="AW178" t="str">
        <f ca="1">IFERROR(IF(0=LEN(ReferenceData!$AW$178),"",ReferenceData!$AW$178),"")</f>
        <v/>
      </c>
      <c r="AX178" t="str">
        <f ca="1">IFERROR(IF(0=LEN(ReferenceData!$AX$178),"",ReferenceData!$AX$178),"")</f>
        <v/>
      </c>
      <c r="AY178" t="str">
        <f ca="1">IFERROR(IF(0=LEN(ReferenceData!$AY$178),"",ReferenceData!$AY$178),"")</f>
        <v/>
      </c>
      <c r="AZ178" t="str">
        <f ca="1">IFERROR(IF(0=LEN(ReferenceData!$AZ$178),"",ReferenceData!$AZ$178),"")</f>
        <v/>
      </c>
      <c r="BA178" t="str">
        <f ca="1">IFERROR(IF(0=LEN(ReferenceData!$BA$178),"",ReferenceData!$BA$178),"")</f>
        <v/>
      </c>
      <c r="BB178" t="str">
        <f ca="1">IFERROR(IF(0=LEN(ReferenceData!$BB$178),"",ReferenceData!$BB$178),"")</f>
        <v/>
      </c>
      <c r="BC178" t="str">
        <f ca="1">IFERROR(IF(0=LEN(ReferenceData!$BC$178),"",ReferenceData!$BC$178),"")</f>
        <v/>
      </c>
      <c r="BD178" t="str">
        <f ca="1">IFERROR(IF(0=LEN(ReferenceData!$BD$178),"",ReferenceData!$BD$178),"")</f>
        <v/>
      </c>
      <c r="BE178" t="str">
        <f ca="1">IFERROR(IF(0=LEN(ReferenceData!$BE$178),"",ReferenceData!$BE$178),"")</f>
        <v/>
      </c>
      <c r="BF178" t="str">
        <f ca="1">IFERROR(IF(0=LEN(ReferenceData!$BF$178),"",ReferenceData!$BF$178),"")</f>
        <v/>
      </c>
      <c r="BG178" t="str">
        <f ca="1">IFERROR(IF(0=LEN(ReferenceData!$BG$178),"",ReferenceData!$BG$178),"")</f>
        <v/>
      </c>
      <c r="BH178" t="str">
        <f ca="1">IFERROR(IF(0=LEN(ReferenceData!$BH$178),"",ReferenceData!$BH$178),"")</f>
        <v/>
      </c>
      <c r="BI178" t="str">
        <f ca="1">IFERROR(IF(0=LEN(ReferenceData!$BI$178),"",ReferenceData!$BI$178),"")</f>
        <v/>
      </c>
      <c r="BJ178" t="str">
        <f ca="1">IFERROR(IF(0=LEN(ReferenceData!$BJ$178),"",ReferenceData!$BJ$178),"")</f>
        <v/>
      </c>
      <c r="BK178" t="str">
        <f ca="1">IFERROR(IF(0=LEN(ReferenceData!$BK$178),"",ReferenceData!$BK$178),"")</f>
        <v/>
      </c>
      <c r="BL178" t="str">
        <f ca="1">IFERROR(IF(0=LEN(ReferenceData!$BL$178),"",ReferenceData!$BL$178),"")</f>
        <v/>
      </c>
      <c r="BM178" t="str">
        <f ca="1">IFERROR(IF(0=LEN(ReferenceData!$BM$178),"",ReferenceData!$BM$178),"")</f>
        <v/>
      </c>
    </row>
    <row r="179" spans="1:65" x14ac:dyDescent="0.25">
      <c r="A179" t="str">
        <f>IFERROR(IF(0=LEN(ReferenceData!$A$179),"",ReferenceData!$A$179),"")</f>
        <v xml:space="preserve">    KBC Group NV</v>
      </c>
      <c r="B179" t="str">
        <f>IFERROR(IF(0=LEN(ReferenceData!$B$179),"",ReferenceData!$B$179),"")</f>
        <v>KBC BB Equity</v>
      </c>
      <c r="C179" t="str">
        <f>IFERROR(IF(0=LEN(ReferenceData!$C$179),"",ReferenceData!$C$179),"")</f>
        <v>BS018</v>
      </c>
      <c r="D179" t="str">
        <f>IFERROR(IF(0=LEN(ReferenceData!$D$179),"",ReferenceData!$D$179),"")</f>
        <v>BS_OTHER_LOAN</v>
      </c>
      <c r="E179" t="str">
        <f>IFERROR(IF(0=LEN(ReferenceData!$E$179),"",ReferenceData!$E$179),"")</f>
        <v>Dynamic</v>
      </c>
      <c r="F179">
        <f ca="1">IFERROR(IF(0=LEN(ReferenceData!$F$179),"",ReferenceData!$F$179),"")</f>
        <v>101394</v>
      </c>
      <c r="G179">
        <f ca="1">IFERROR(IF(0=LEN(ReferenceData!$G$179),"",ReferenceData!$G$179),"")</f>
        <v>104324</v>
      </c>
      <c r="H179">
        <f ca="1">IFERROR(IF(0=LEN(ReferenceData!$H$179),"",ReferenceData!$H$179),"")</f>
        <v>102839</v>
      </c>
      <c r="I179">
        <f ca="1">IFERROR(IF(0=LEN(ReferenceData!$I$179),"",ReferenceData!$I$179),"")</f>
        <v>95404</v>
      </c>
      <c r="J179">
        <f ca="1">IFERROR(IF(0=LEN(ReferenceData!$J$179),"",ReferenceData!$J$179),"")</f>
        <v>95326</v>
      </c>
      <c r="K179">
        <f ca="1">IFERROR(IF(0=LEN(ReferenceData!$K$179),"",ReferenceData!$K$179),"")</f>
        <v>99012</v>
      </c>
      <c r="L179">
        <f ca="1">IFERROR(IF(0=LEN(ReferenceData!$L$179),"",ReferenceData!$L$179),"")</f>
        <v>98953</v>
      </c>
      <c r="M179">
        <f ca="1">IFERROR(IF(0=LEN(ReferenceData!$M$179),"",ReferenceData!$M$179),"")</f>
        <v>97146</v>
      </c>
      <c r="N179">
        <f ca="1">IFERROR(IF(0=LEN(ReferenceData!$N$179),"",ReferenceData!$N$179),"")</f>
        <v>96970</v>
      </c>
      <c r="O179">
        <f ca="1">IFERROR(IF(0=LEN(ReferenceData!$O$179),"",ReferenceData!$O$179),"")</f>
        <v>97644</v>
      </c>
      <c r="P179">
        <f ca="1">IFERROR(IF(0=LEN(ReferenceData!$P$179),"",ReferenceData!$P$179),"")</f>
        <v>91944</v>
      </c>
      <c r="Q179">
        <f ca="1">IFERROR(IF(0=LEN(ReferenceData!$Q$179),"",ReferenceData!$Q$179),"")</f>
        <v>89184</v>
      </c>
      <c r="R179">
        <f ca="1">IFERROR(IF(0=LEN(ReferenceData!$R$179),"",ReferenceData!$R$179),"")</f>
        <v>86691</v>
      </c>
      <c r="S179">
        <f ca="1">IFERROR(IF(0=LEN(ReferenceData!$S$179),"",ReferenceData!$S$179),"")</f>
        <v>85368</v>
      </c>
      <c r="T179">
        <f ca="1">IFERROR(IF(0=LEN(ReferenceData!$T$179),"",ReferenceData!$T$179),"")</f>
        <v>84024</v>
      </c>
      <c r="U179">
        <f ca="1">IFERROR(IF(0=LEN(ReferenceData!$U$179),"",ReferenceData!$U$179),"")</f>
        <v>83040</v>
      </c>
      <c r="V179">
        <f ca="1">IFERROR(IF(0=LEN(ReferenceData!$V$179),"",ReferenceData!$V$179),"")</f>
        <v>82869</v>
      </c>
      <c r="W179">
        <f ca="1">IFERROR(IF(0=LEN(ReferenceData!$W$179),"",ReferenceData!$W$179),"")</f>
        <v>84251</v>
      </c>
      <c r="X179">
        <f ca="1">IFERROR(IF(0=LEN(ReferenceData!$X$179),"",ReferenceData!$X$179),"")</f>
        <v>85148</v>
      </c>
      <c r="Y179">
        <f ca="1">IFERROR(IF(0=LEN(ReferenceData!$Y$179),"",ReferenceData!$Y$179),"")</f>
        <v>87062</v>
      </c>
      <c r="Z179">
        <f ca="1">IFERROR(IF(0=LEN(ReferenceData!$Z$179),"",ReferenceData!$Z$179),"")</f>
        <v>83170</v>
      </c>
      <c r="AA179">
        <f ca="1">IFERROR(IF(0=LEN(ReferenceData!$AA$179),"",ReferenceData!$AA$179),"")</f>
        <v>83609</v>
      </c>
      <c r="AB179">
        <f ca="1">IFERROR(IF(0=LEN(ReferenceData!$AB$179),"",ReferenceData!$AB$179),"")</f>
        <v>83345</v>
      </c>
      <c r="AC179">
        <f ca="1">IFERROR(IF(0=LEN(ReferenceData!$AC$179),"",ReferenceData!$AC$179),"")</f>
        <v>81775</v>
      </c>
      <c r="AD179">
        <f ca="1">IFERROR(IF(0=LEN(ReferenceData!$AD$179),"",ReferenceData!$AD$179),"")</f>
        <v>80674</v>
      </c>
      <c r="AE179">
        <f ca="1">IFERROR(IF(0=LEN(ReferenceData!$AE$179),"",ReferenceData!$AE$179),"")</f>
        <v>81169</v>
      </c>
      <c r="AF179">
        <f ca="1">IFERROR(IF(0=LEN(ReferenceData!$AF$179),"",ReferenceData!$AF$179),"")</f>
        <v>80243</v>
      </c>
      <c r="AG179">
        <f ca="1">IFERROR(IF(0=LEN(ReferenceData!$AG$179),"",ReferenceData!$AG$179),"")</f>
        <v>78527</v>
      </c>
      <c r="AH179">
        <f ca="1">IFERROR(IF(0=LEN(ReferenceData!$AH$179),"",ReferenceData!$AH$179),"")</f>
        <v>77475</v>
      </c>
      <c r="AI179">
        <f ca="1">IFERROR(IF(0=LEN(ReferenceData!$AI$179),"",ReferenceData!$AI$179),"")</f>
        <v>78374</v>
      </c>
      <c r="AJ179">
        <f ca="1">IFERROR(IF(0=LEN(ReferenceData!$AJ$179),"",ReferenceData!$AJ$179),"")</f>
        <v>78910</v>
      </c>
      <c r="AK179">
        <f ca="1">IFERROR(IF(0=LEN(ReferenceData!$AK$179),"",ReferenceData!$AK$179),"")</f>
        <v>75696</v>
      </c>
      <c r="AL179">
        <f ca="1">IFERROR(IF(0=LEN(ReferenceData!$AL$179),"",ReferenceData!$AL$179),"")</f>
        <v>74631</v>
      </c>
      <c r="AM179">
        <f ca="1">IFERROR(IF(0=LEN(ReferenceData!$AM$179),"",ReferenceData!$AM$179),"")</f>
        <v>73509</v>
      </c>
      <c r="AN179">
        <f ca="1">IFERROR(IF(0=LEN(ReferenceData!$AN$179),"",ReferenceData!$AN$179),"")</f>
        <v>73436</v>
      </c>
      <c r="AO179">
        <f ca="1">IFERROR(IF(0=LEN(ReferenceData!$AO$179),"",ReferenceData!$AO$179),"")</f>
        <v>73366</v>
      </c>
      <c r="AP179">
        <f ca="1">IFERROR(IF(0=LEN(ReferenceData!$AP$179),"",ReferenceData!$AP$179),"")</f>
        <v>72254</v>
      </c>
      <c r="AQ179">
        <f ca="1">IFERROR(IF(0=LEN(ReferenceData!$AQ$179),"",ReferenceData!$AQ$179),"")</f>
        <v>71817</v>
      </c>
      <c r="AR179">
        <f ca="1">IFERROR(IF(0=LEN(ReferenceData!$AR$179),"",ReferenceData!$AR$179),"")</f>
        <v>70853</v>
      </c>
      <c r="AS179">
        <f ca="1">IFERROR(IF(0=LEN(ReferenceData!$AS$179),"",ReferenceData!$AS$179),"")</f>
        <v>71470</v>
      </c>
      <c r="AT179">
        <f ca="1">IFERROR(IF(0=LEN(ReferenceData!$AT$179),"",ReferenceData!$AT$179),"")</f>
        <v>69532</v>
      </c>
      <c r="AU179">
        <f ca="1">IFERROR(IF(0=LEN(ReferenceData!$AU$179),"",ReferenceData!$AU$179),"")</f>
        <v>69295</v>
      </c>
      <c r="AV179">
        <f ca="1">IFERROR(IF(0=LEN(ReferenceData!$AV$179),"",ReferenceData!$AV$179),"")</f>
        <v>66271</v>
      </c>
      <c r="AW179">
        <f ca="1">IFERROR(IF(0=LEN(ReferenceData!$AW$179),"",ReferenceData!$AW$179),"")</f>
        <v>69845</v>
      </c>
      <c r="AX179">
        <f ca="1">IFERROR(IF(0=LEN(ReferenceData!$AX$179),"",ReferenceData!$AX$179),"")</f>
        <v>69920</v>
      </c>
      <c r="AY179">
        <f ca="1">IFERROR(IF(0=LEN(ReferenceData!$AY$179),"",ReferenceData!$AY$179),"")</f>
        <v>63779</v>
      </c>
      <c r="AZ179">
        <f ca="1">IFERROR(IF(0=LEN(ReferenceData!$AZ$179),"",ReferenceData!$AZ$179),"")</f>
        <v>68263</v>
      </c>
      <c r="BA179">
        <f ca="1">IFERROR(IF(0=LEN(ReferenceData!$BA$179),"",ReferenceData!$BA$179),"")</f>
        <v>71461</v>
      </c>
      <c r="BB179">
        <f ca="1">IFERROR(IF(0=LEN(ReferenceData!$BB$179),"",ReferenceData!$BB$179),"")</f>
        <v>73322</v>
      </c>
      <c r="BC179">
        <f ca="1">IFERROR(IF(0=LEN(ReferenceData!$BC$179),"",ReferenceData!$BC$179),"")</f>
        <v>71155</v>
      </c>
      <c r="BD179">
        <f ca="1">IFERROR(IF(0=LEN(ReferenceData!$BD$179),"",ReferenceData!$BD$179),"")</f>
        <v>71239</v>
      </c>
      <c r="BE179">
        <f ca="1">IFERROR(IF(0=LEN(ReferenceData!$BE$179),"",ReferenceData!$BE$179),"")</f>
        <v>77926</v>
      </c>
      <c r="BF179">
        <f ca="1">IFERROR(IF(0=LEN(ReferenceData!$BF$179),"",ReferenceData!$BF$179),"")</f>
        <v>81782</v>
      </c>
      <c r="BG179">
        <f ca="1">IFERROR(IF(0=LEN(ReferenceData!$BG$179),"",ReferenceData!$BG$179),"")</f>
        <v>76171</v>
      </c>
      <c r="BH179">
        <f ca="1">IFERROR(IF(0=LEN(ReferenceData!$BH$179),"",ReferenceData!$BH$179),"")</f>
        <v>74854</v>
      </c>
      <c r="BI179">
        <f ca="1">IFERROR(IF(0=LEN(ReferenceData!$BI$179),"",ReferenceData!$BI$179),"")</f>
        <v>70240</v>
      </c>
      <c r="BJ179">
        <f ca="1">IFERROR(IF(0=LEN(ReferenceData!$BJ$179),"",ReferenceData!$BJ$179),"")</f>
        <v>73646</v>
      </c>
      <c r="BK179">
        <f ca="1">IFERROR(IF(0=LEN(ReferenceData!$BK$179),"",ReferenceData!$BK$179),"")</f>
        <v>77435</v>
      </c>
      <c r="BL179">
        <f ca="1">IFERROR(IF(0=LEN(ReferenceData!$BL$179),"",ReferenceData!$BL$179),"")</f>
        <v>73492</v>
      </c>
      <c r="BM179" t="str">
        <f ca="1">IFERROR(IF(0=LEN(ReferenceData!$BM$179),"",ReferenceData!$BM$179),"")</f>
        <v/>
      </c>
    </row>
    <row r="180" spans="1:65" x14ac:dyDescent="0.25">
      <c r="A180" t="str">
        <f>IFERROR(IF(0=LEN(ReferenceData!$A$180),"",ReferenceData!$A$180),"")</f>
        <v xml:space="preserve">    Komercni Banka AS</v>
      </c>
      <c r="B180" t="str">
        <f>IFERROR(IF(0=LEN(ReferenceData!$B$180),"",ReferenceData!$B$180),"")</f>
        <v>KOMB CP Equity</v>
      </c>
      <c r="C180" t="str">
        <f>IFERROR(IF(0=LEN(ReferenceData!$C$180),"",ReferenceData!$C$180),"")</f>
        <v>BS018</v>
      </c>
      <c r="D180" t="str">
        <f>IFERROR(IF(0=LEN(ReferenceData!$D$180),"",ReferenceData!$D$180),"")</f>
        <v>BS_OTHER_LOAN</v>
      </c>
      <c r="E180" t="str">
        <f>IFERROR(IF(0=LEN(ReferenceData!$E$180),"",ReferenceData!$E$180),"")</f>
        <v>Dynamic</v>
      </c>
      <c r="F180">
        <f ca="1">IFERROR(IF(0=LEN(ReferenceData!$F$180),"",ReferenceData!$F$180),"")</f>
        <v>704.41773149999995</v>
      </c>
      <c r="G180">
        <f ca="1">IFERROR(IF(0=LEN(ReferenceData!$G$180),"",ReferenceData!$G$180),"")</f>
        <v>0</v>
      </c>
      <c r="H180">
        <f ca="1">IFERROR(IF(0=LEN(ReferenceData!$H$180),"",ReferenceData!$H$180),"")</f>
        <v>1248.3251459999999</v>
      </c>
      <c r="I180">
        <f ca="1">IFERROR(IF(0=LEN(ReferenceData!$I$180),"",ReferenceData!$I$180),"")</f>
        <v>0</v>
      </c>
      <c r="J180">
        <f ca="1">IFERROR(IF(0=LEN(ReferenceData!$J$180),"",ReferenceData!$J$180),"")</f>
        <v>1348.0331759999999</v>
      </c>
      <c r="K180">
        <f ca="1">IFERROR(IF(0=LEN(ReferenceData!$K$180),"",ReferenceData!$K$180),"")</f>
        <v>0</v>
      </c>
      <c r="L180">
        <f ca="1">IFERROR(IF(0=LEN(ReferenceData!$L$180),"",ReferenceData!$L$180),"")</f>
        <v>1442.8976869999999</v>
      </c>
      <c r="M180">
        <f ca="1">IFERROR(IF(0=LEN(ReferenceData!$M$180),"",ReferenceData!$M$180),"")</f>
        <v>0</v>
      </c>
      <c r="N180">
        <f ca="1">IFERROR(IF(0=LEN(ReferenceData!$N$180),"",ReferenceData!$N$180),"")</f>
        <v>1275.408811</v>
      </c>
      <c r="O180">
        <f ca="1">IFERROR(IF(0=LEN(ReferenceData!$O$180),"",ReferenceData!$O$180),"")</f>
        <v>0</v>
      </c>
      <c r="P180">
        <f ca="1">IFERROR(IF(0=LEN(ReferenceData!$P$180),"",ReferenceData!$P$180),"")</f>
        <v>1169.038511</v>
      </c>
      <c r="Q180">
        <f ca="1">IFERROR(IF(0=LEN(ReferenceData!$Q$180),"",ReferenceData!$Q$180),"")</f>
        <v>0</v>
      </c>
      <c r="R180">
        <f ca="1">IFERROR(IF(0=LEN(ReferenceData!$R$180),"",ReferenceData!$R$180),"")</f>
        <v>1157.732203</v>
      </c>
      <c r="S180">
        <f ca="1">IFERROR(IF(0=LEN(ReferenceData!$S$180),"",ReferenceData!$S$180),"")</f>
        <v>0</v>
      </c>
      <c r="T180">
        <f ca="1">IFERROR(IF(0=LEN(ReferenceData!$T$180),"",ReferenceData!$T$180),"")</f>
        <v>1031.6066840000001</v>
      </c>
      <c r="U180">
        <f ca="1">IFERROR(IF(0=LEN(ReferenceData!$U$180),"",ReferenceData!$U$180),"")</f>
        <v>26.818916380000001</v>
      </c>
      <c r="V180">
        <f ca="1">IFERROR(IF(0=LEN(ReferenceData!$V$180),"",ReferenceData!$V$180),"")</f>
        <v>984.65502779999997</v>
      </c>
      <c r="W180">
        <f ca="1">IFERROR(IF(0=LEN(ReferenceData!$W$180),"",ReferenceData!$W$180),"")</f>
        <v>1.478356561</v>
      </c>
      <c r="X180">
        <f ca="1">IFERROR(IF(0=LEN(ReferenceData!$X$180),"",ReferenceData!$X$180),"")</f>
        <v>937.94753119999996</v>
      </c>
      <c r="Y180">
        <f ca="1">IFERROR(IF(0=LEN(ReferenceData!$Y$180),"",ReferenceData!$Y$180),"")</f>
        <v>102.4076523</v>
      </c>
      <c r="Z180">
        <f ca="1">IFERROR(IF(0=LEN(ReferenceData!$Z$180),"",ReferenceData!$Z$180),"")</f>
        <v>906.87251819999994</v>
      </c>
      <c r="AA180">
        <f ca="1">IFERROR(IF(0=LEN(ReferenceData!$AA$180),"",ReferenceData!$AA$180),"")</f>
        <v>3.4895093419999998</v>
      </c>
      <c r="AB180">
        <f ca="1">IFERROR(IF(0=LEN(ReferenceData!$AB$180),"",ReferenceData!$AB$180),"")</f>
        <v>878.76750119999997</v>
      </c>
      <c r="AC180">
        <f ca="1">IFERROR(IF(0=LEN(ReferenceData!$AC$180),"",ReferenceData!$AC$180),"")</f>
        <v>123.9291546</v>
      </c>
      <c r="AD180">
        <f ca="1">IFERROR(IF(0=LEN(ReferenceData!$AD$180),"",ReferenceData!$AD$180),"")</f>
        <v>957.59126230000004</v>
      </c>
      <c r="AE180">
        <f ca="1">IFERROR(IF(0=LEN(ReferenceData!$AE$180),"",ReferenceData!$AE$180),"")</f>
        <v>422.81500779999999</v>
      </c>
      <c r="AF180">
        <f ca="1">IFERROR(IF(0=LEN(ReferenceData!$AF$180),"",ReferenceData!$AF$180),"")</f>
        <v>953.53460459999997</v>
      </c>
      <c r="AG180">
        <f ca="1">IFERROR(IF(0=LEN(ReferenceData!$AG$180),"",ReferenceData!$AG$180),"")</f>
        <v>599.62051750000001</v>
      </c>
      <c r="AH180">
        <f ca="1">IFERROR(IF(0=LEN(ReferenceData!$AH$180),"",ReferenceData!$AH$180),"")</f>
        <v>1235.2019230000001</v>
      </c>
      <c r="AI180">
        <f ca="1">IFERROR(IF(0=LEN(ReferenceData!$AI$180),"",ReferenceData!$AI$180),"")</f>
        <v>842.83944880000001</v>
      </c>
      <c r="AJ180">
        <f ca="1">IFERROR(IF(0=LEN(ReferenceData!$AJ$180),"",ReferenceData!$AJ$180),"")</f>
        <v>1138.411284</v>
      </c>
      <c r="AK180">
        <f ca="1">IFERROR(IF(0=LEN(ReferenceData!$AK$180),"",ReferenceData!$AK$180),"")</f>
        <v>55.512936070000002</v>
      </c>
      <c r="AL180">
        <f ca="1">IFERROR(IF(0=LEN(ReferenceData!$AL$180),"",ReferenceData!$AL$180),"")</f>
        <v>132.36357620000001</v>
      </c>
      <c r="AM180">
        <f ca="1">IFERROR(IF(0=LEN(ReferenceData!$AM$180),"",ReferenceData!$AM$180),"")</f>
        <v>62.90966049</v>
      </c>
      <c r="AN180">
        <f ca="1">IFERROR(IF(0=LEN(ReferenceData!$AN$180),"",ReferenceData!$AN$180),"")</f>
        <v>155.68992119999999</v>
      </c>
      <c r="AO180">
        <f ca="1">IFERROR(IF(0=LEN(ReferenceData!$AO$180),"",ReferenceData!$AO$180),"")</f>
        <v>85.031958700000004</v>
      </c>
      <c r="AP180">
        <f ca="1">IFERROR(IF(0=LEN(ReferenceData!$AP$180),"",ReferenceData!$AP$180),"")</f>
        <v>143.15008950000001</v>
      </c>
      <c r="AQ180">
        <f ca="1">IFERROR(IF(0=LEN(ReferenceData!$AQ$180),"",ReferenceData!$AQ$180),"")</f>
        <v>69.855260779999995</v>
      </c>
      <c r="AR180">
        <f ca="1">IFERROR(IF(0=LEN(ReferenceData!$AR$180),"",ReferenceData!$AR$180),"")</f>
        <v>160.8581628</v>
      </c>
      <c r="AS180">
        <f ca="1">IFERROR(IF(0=LEN(ReferenceData!$AS$180),"",ReferenceData!$AS$180),"")</f>
        <v>134.19290609999999</v>
      </c>
      <c r="AT180">
        <f ca="1">IFERROR(IF(0=LEN(ReferenceData!$AT$180),"",ReferenceData!$AT$180),"")</f>
        <v>79.780535720000003</v>
      </c>
      <c r="AU180" t="str">
        <f ca="1">IFERROR(IF(0=LEN(ReferenceData!$AU$180),"",ReferenceData!$AU$180),"")</f>
        <v/>
      </c>
      <c r="AV180">
        <f ca="1">IFERROR(IF(0=LEN(ReferenceData!$AV$180),"",ReferenceData!$AV$180),"")</f>
        <v>33.921510220000002</v>
      </c>
      <c r="AW180">
        <f ca="1">IFERROR(IF(0=LEN(ReferenceData!$AW$180),"",ReferenceData!$AW$180),"")</f>
        <v>153.99714940000001</v>
      </c>
      <c r="AX180">
        <f ca="1">IFERROR(IF(0=LEN(ReferenceData!$AX$180),"",ReferenceData!$AX$180),"")</f>
        <v>20.555856890000001</v>
      </c>
      <c r="AY180" t="str">
        <f ca="1">IFERROR(IF(0=LEN(ReferenceData!$AY$180),"",ReferenceData!$AY$180),"")</f>
        <v/>
      </c>
      <c r="AZ180" t="str">
        <f ca="1">IFERROR(IF(0=LEN(ReferenceData!$AZ$180),"",ReferenceData!$AZ$180),"")</f>
        <v/>
      </c>
      <c r="BA180" t="str">
        <f ca="1">IFERROR(IF(0=LEN(ReferenceData!$BA$180),"",ReferenceData!$BA$180),"")</f>
        <v/>
      </c>
      <c r="BB180">
        <f ca="1">IFERROR(IF(0=LEN(ReferenceData!$BB$180),"",ReferenceData!$BB$180),"")</f>
        <v>26.348478929999999</v>
      </c>
      <c r="BC180" t="str">
        <f ca="1">IFERROR(IF(0=LEN(ReferenceData!$BC$180),"",ReferenceData!$BC$180),"")</f>
        <v/>
      </c>
      <c r="BD180" t="str">
        <f ca="1">IFERROR(IF(0=LEN(ReferenceData!$BD$180),"",ReferenceData!$BD$180),"")</f>
        <v/>
      </c>
      <c r="BE180" t="str">
        <f ca="1">IFERROR(IF(0=LEN(ReferenceData!$BE$180),"",ReferenceData!$BE$180),"")</f>
        <v/>
      </c>
      <c r="BF180" t="str">
        <f ca="1">IFERROR(IF(0=LEN(ReferenceData!$BF$180),"",ReferenceData!$BF$180),"")</f>
        <v/>
      </c>
      <c r="BG180" t="str">
        <f ca="1">IFERROR(IF(0=LEN(ReferenceData!$BG$180),"",ReferenceData!$BG$180),"")</f>
        <v/>
      </c>
      <c r="BH180" t="str">
        <f ca="1">IFERROR(IF(0=LEN(ReferenceData!$BH$180),"",ReferenceData!$BH$180),"")</f>
        <v/>
      </c>
      <c r="BI180" t="str">
        <f ca="1">IFERROR(IF(0=LEN(ReferenceData!$BI$180),"",ReferenceData!$BI$180),"")</f>
        <v/>
      </c>
      <c r="BJ180" t="str">
        <f ca="1">IFERROR(IF(0=LEN(ReferenceData!$BJ$180),"",ReferenceData!$BJ$180),"")</f>
        <v/>
      </c>
      <c r="BK180" t="str">
        <f ca="1">IFERROR(IF(0=LEN(ReferenceData!$BK$180),"",ReferenceData!$BK$180),"")</f>
        <v/>
      </c>
      <c r="BL180" t="str">
        <f ca="1">IFERROR(IF(0=LEN(ReferenceData!$BL$180),"",ReferenceData!$BL$180),"")</f>
        <v/>
      </c>
      <c r="BM180" t="str">
        <f ca="1">IFERROR(IF(0=LEN(ReferenceData!$BM$180),"",ReferenceData!$BM$180),"")</f>
        <v/>
      </c>
    </row>
    <row r="181" spans="1:65" x14ac:dyDescent="0.25">
      <c r="A181" t="str">
        <f>IFERROR(IF(0=LEN(ReferenceData!$A$181),"",ReferenceData!$A$181),"")</f>
        <v xml:space="preserve">    Lloyds Banking Group PLC</v>
      </c>
      <c r="B181" t="str">
        <f>IFERROR(IF(0=LEN(ReferenceData!$B$181),"",ReferenceData!$B$181),"")</f>
        <v>LLOY LN Equity</v>
      </c>
      <c r="C181" t="str">
        <f>IFERROR(IF(0=LEN(ReferenceData!$C$181),"",ReferenceData!$C$181),"")</f>
        <v>BS018</v>
      </c>
      <c r="D181" t="str">
        <f>IFERROR(IF(0=LEN(ReferenceData!$D$181),"",ReferenceData!$D$181),"")</f>
        <v>BS_OTHER_LOAN</v>
      </c>
      <c r="E181" t="str">
        <f>IFERROR(IF(0=LEN(ReferenceData!$E$181),"",ReferenceData!$E$181),"")</f>
        <v>Dynamic</v>
      </c>
      <c r="F181">
        <f ca="1">IFERROR(IF(0=LEN(ReferenceData!$F$181),"",ReferenceData!$F$181),"")</f>
        <v>88898.327470000004</v>
      </c>
      <c r="G181">
        <f ca="1">IFERROR(IF(0=LEN(ReferenceData!$G$181),"",ReferenceData!$G$181),"")</f>
        <v>119841.3861</v>
      </c>
      <c r="H181" t="str">
        <f ca="1">IFERROR(IF(0=LEN(ReferenceData!$H$181),"",ReferenceData!$H$181),"")</f>
        <v/>
      </c>
      <c r="I181" t="str">
        <f ca="1">IFERROR(IF(0=LEN(ReferenceData!$I$181),"",ReferenceData!$I$181),"")</f>
        <v/>
      </c>
      <c r="J181">
        <f ca="1">IFERROR(IF(0=LEN(ReferenceData!$J$181),"",ReferenceData!$J$181),"")</f>
        <v>84659.849059999993</v>
      </c>
      <c r="K181">
        <f ca="1">IFERROR(IF(0=LEN(ReferenceData!$K$181),"",ReferenceData!$K$181),"")</f>
        <v>117586.3129</v>
      </c>
      <c r="L181" t="str">
        <f ca="1">IFERROR(IF(0=LEN(ReferenceData!$L$181),"",ReferenceData!$L$181),"")</f>
        <v/>
      </c>
      <c r="M181" t="str">
        <f ca="1">IFERROR(IF(0=LEN(ReferenceData!$M$181),"",ReferenceData!$M$181),"")</f>
        <v/>
      </c>
      <c r="N181">
        <f ca="1">IFERROR(IF(0=LEN(ReferenceData!$N$181),"",ReferenceData!$N$181),"")</f>
        <v>85796.291660000003</v>
      </c>
      <c r="O181" t="str">
        <f ca="1">IFERROR(IF(0=LEN(ReferenceData!$O$181),"",ReferenceData!$O$181),"")</f>
        <v/>
      </c>
      <c r="P181" t="str">
        <f ca="1">IFERROR(IF(0=LEN(ReferenceData!$P$181),"",ReferenceData!$P$181),"")</f>
        <v/>
      </c>
      <c r="Q181" t="str">
        <f ca="1">IFERROR(IF(0=LEN(ReferenceData!$Q$181),"",ReferenceData!$Q$181),"")</f>
        <v/>
      </c>
      <c r="R181">
        <f ca="1">IFERROR(IF(0=LEN(ReferenceData!$R$181),"",ReferenceData!$R$181),"")</f>
        <v>27458.71816</v>
      </c>
      <c r="S181" t="str">
        <f ca="1">IFERROR(IF(0=LEN(ReferenceData!$S$181),"",ReferenceData!$S$181),"")</f>
        <v/>
      </c>
      <c r="T181" t="str">
        <f ca="1">IFERROR(IF(0=LEN(ReferenceData!$T$181),"",ReferenceData!$T$181),"")</f>
        <v/>
      </c>
      <c r="U181" t="str">
        <f ca="1">IFERROR(IF(0=LEN(ReferenceData!$U$181),"",ReferenceData!$U$181),"")</f>
        <v/>
      </c>
      <c r="V181">
        <f ca="1">IFERROR(IF(0=LEN(ReferenceData!$V$181),"",ReferenceData!$V$181),"")</f>
        <v>86368.118279999995</v>
      </c>
      <c r="W181" t="str">
        <f ca="1">IFERROR(IF(0=LEN(ReferenceData!$W$181),"",ReferenceData!$W$181),"")</f>
        <v/>
      </c>
      <c r="X181" t="str">
        <f ca="1">IFERROR(IF(0=LEN(ReferenceData!$X$181),"",ReferenceData!$X$181),"")</f>
        <v/>
      </c>
      <c r="Y181" t="str">
        <f ca="1">IFERROR(IF(0=LEN(ReferenceData!$Y$181),"",ReferenceData!$Y$181),"")</f>
        <v/>
      </c>
      <c r="Z181">
        <f ca="1">IFERROR(IF(0=LEN(ReferenceData!$Z$181),"",ReferenceData!$Z$181),"")</f>
        <v>95585.964999999997</v>
      </c>
      <c r="AA181" t="str">
        <f ca="1">IFERROR(IF(0=LEN(ReferenceData!$AA$181),"",ReferenceData!$AA$181),"")</f>
        <v/>
      </c>
      <c r="AB181" t="str">
        <f ca="1">IFERROR(IF(0=LEN(ReferenceData!$AB$181),"",ReferenceData!$AB$181),"")</f>
        <v/>
      </c>
      <c r="AC181" t="str">
        <f ca="1">IFERROR(IF(0=LEN(ReferenceData!$AC$181),"",ReferenceData!$AC$181),"")</f>
        <v/>
      </c>
      <c r="AD181">
        <f ca="1">IFERROR(IF(0=LEN(ReferenceData!$AD$181),"",ReferenceData!$AD$181),"")</f>
        <v>5814.2773310000002</v>
      </c>
      <c r="AE181" t="str">
        <f ca="1">IFERROR(IF(0=LEN(ReferenceData!$AE$181),"",ReferenceData!$AE$181),"")</f>
        <v/>
      </c>
      <c r="AF181">
        <f ca="1">IFERROR(IF(0=LEN(ReferenceData!$AF$181),"",ReferenceData!$AF$181),"")</f>
        <v>19234.517599999999</v>
      </c>
      <c r="AG181" t="str">
        <f ca="1">IFERROR(IF(0=LEN(ReferenceData!$AG$181),"",ReferenceData!$AG$181),"")</f>
        <v/>
      </c>
      <c r="AH181">
        <f ca="1">IFERROR(IF(0=LEN(ReferenceData!$AH$181),"",ReferenceData!$AH$181),"")</f>
        <v>1126.0625520000001</v>
      </c>
      <c r="AI181" t="str">
        <f ca="1">IFERROR(IF(0=LEN(ReferenceData!$AI$181),"",ReferenceData!$AI$181),"")</f>
        <v/>
      </c>
      <c r="AJ181">
        <f ca="1">IFERROR(IF(0=LEN(ReferenceData!$AJ$181),"",ReferenceData!$AJ$181),"")</f>
        <v>4309.4057650000004</v>
      </c>
      <c r="AK181" t="str">
        <f ca="1">IFERROR(IF(0=LEN(ReferenceData!$AK$181),"",ReferenceData!$AK$181),"")</f>
        <v/>
      </c>
      <c r="AL181">
        <f ca="1">IFERROR(IF(0=LEN(ReferenceData!$AL$181),"",ReferenceData!$AL$181),"")</f>
        <v>6958.4739740000005</v>
      </c>
      <c r="AM181" t="str">
        <f ca="1">IFERROR(IF(0=LEN(ReferenceData!$AM$181),"",ReferenceData!$AM$181),"")</f>
        <v/>
      </c>
      <c r="AN181">
        <f ca="1">IFERROR(IF(0=LEN(ReferenceData!$AN$181),"",ReferenceData!$AN$181),"")</f>
        <v>16360.631450000001</v>
      </c>
      <c r="AO181" t="str">
        <f ca="1">IFERROR(IF(0=LEN(ReferenceData!$AO$181),"",ReferenceData!$AO$181),"")</f>
        <v/>
      </c>
      <c r="AP181">
        <f ca="1">IFERROR(IF(0=LEN(ReferenceData!$AP$181),"",ReferenceData!$AP$181),"")</f>
        <v>16660.837289999999</v>
      </c>
      <c r="AQ181" t="str">
        <f ca="1">IFERROR(IF(0=LEN(ReferenceData!$AQ$181),"",ReferenceData!$AQ$181),"")</f>
        <v/>
      </c>
      <c r="AR181">
        <f ca="1">IFERROR(IF(0=LEN(ReferenceData!$AR$181),"",ReferenceData!$AR$181),"")</f>
        <v>16011.216710000001</v>
      </c>
      <c r="AS181" t="str">
        <f ca="1">IFERROR(IF(0=LEN(ReferenceData!$AS$181),"",ReferenceData!$AS$181),"")</f>
        <v/>
      </c>
      <c r="AT181">
        <f ca="1">IFERROR(IF(0=LEN(ReferenceData!$AT$181),"",ReferenceData!$AT$181),"")</f>
        <v>13412.53686</v>
      </c>
      <c r="AU181" t="str">
        <f ca="1">IFERROR(IF(0=LEN(ReferenceData!$AU$181),"",ReferenceData!$AU$181),"")</f>
        <v/>
      </c>
      <c r="AV181">
        <f ca="1">IFERROR(IF(0=LEN(ReferenceData!$AV$181),"",ReferenceData!$AV$181),"")</f>
        <v>12352.416069999999</v>
      </c>
      <c r="AW181" t="str">
        <f ca="1">IFERROR(IF(0=LEN(ReferenceData!$AW$181),"",ReferenceData!$AW$181),"")</f>
        <v/>
      </c>
      <c r="AX181">
        <f ca="1">IFERROR(IF(0=LEN(ReferenceData!$AX$181),"",ReferenceData!$AX$181),"")</f>
        <v>11443.26275</v>
      </c>
      <c r="AY181" t="str">
        <f ca="1">IFERROR(IF(0=LEN(ReferenceData!$AY$181),"",ReferenceData!$AY$181),"")</f>
        <v/>
      </c>
      <c r="AZ181">
        <f ca="1">IFERROR(IF(0=LEN(ReferenceData!$AZ$181),"",ReferenceData!$AZ$181),"")</f>
        <v>13202.36794</v>
      </c>
      <c r="BA181" t="str">
        <f ca="1">IFERROR(IF(0=LEN(ReferenceData!$BA$181),"",ReferenceData!$BA$181),"")</f>
        <v/>
      </c>
      <c r="BB181">
        <f ca="1">IFERROR(IF(0=LEN(ReferenceData!$BB$181),"",ReferenceData!$BB$181),"")</f>
        <v>14536.20232</v>
      </c>
      <c r="BC181" t="str">
        <f ca="1">IFERROR(IF(0=LEN(ReferenceData!$BC$181),"",ReferenceData!$BC$181),"")</f>
        <v/>
      </c>
      <c r="BD181">
        <f ca="1">IFERROR(IF(0=LEN(ReferenceData!$BD$181),"",ReferenceData!$BD$181),"")</f>
        <v>15791.083549999999</v>
      </c>
      <c r="BE181" t="str">
        <f ca="1">IFERROR(IF(0=LEN(ReferenceData!$BE$181),"",ReferenceData!$BE$181),"")</f>
        <v/>
      </c>
      <c r="BF181">
        <f ca="1">IFERROR(IF(0=LEN(ReferenceData!$BF$181),"",ReferenceData!$BF$181),"")</f>
        <v>16246.15617</v>
      </c>
      <c r="BG181" t="str">
        <f ca="1">IFERROR(IF(0=LEN(ReferenceData!$BG$181),"",ReferenceData!$BG$181),"")</f>
        <v/>
      </c>
      <c r="BH181">
        <f ca="1">IFERROR(IF(0=LEN(ReferenceData!$BH$181),"",ReferenceData!$BH$181),"")</f>
        <v>16127.90179</v>
      </c>
      <c r="BI181" t="str">
        <f ca="1">IFERROR(IF(0=LEN(ReferenceData!$BI$181),"",ReferenceData!$BI$181),"")</f>
        <v/>
      </c>
      <c r="BJ181">
        <f ca="1">IFERROR(IF(0=LEN(ReferenceData!$BJ$181),"",ReferenceData!$BJ$181),"")</f>
        <v>18079.07444</v>
      </c>
      <c r="BK181" t="str">
        <f ca="1">IFERROR(IF(0=LEN(ReferenceData!$BK$181),"",ReferenceData!$BK$181),"")</f>
        <v/>
      </c>
      <c r="BL181">
        <f ca="1">IFERROR(IF(0=LEN(ReferenceData!$BL$181),"",ReferenceData!$BL$181),"")</f>
        <v>20826.366969999999</v>
      </c>
      <c r="BM181" t="str">
        <f ca="1">IFERROR(IF(0=LEN(ReferenceData!$BM$181),"",ReferenceData!$BM$181),"")</f>
        <v/>
      </c>
    </row>
    <row r="182" spans="1:65" x14ac:dyDescent="0.25">
      <c r="A182" t="str">
        <f>IFERROR(IF(0=LEN(ReferenceData!$A$182),"",ReferenceData!$A$182),"")</f>
        <v xml:space="preserve">    Mediobanca Banca di Credito Finanziario SpA</v>
      </c>
      <c r="B182" t="str">
        <f>IFERROR(IF(0=LEN(ReferenceData!$B$182),"",ReferenceData!$B$182),"")</f>
        <v>MB IM Equity</v>
      </c>
      <c r="C182" t="str">
        <f>IFERROR(IF(0=LEN(ReferenceData!$C$182),"",ReferenceData!$C$182),"")</f>
        <v>BS018</v>
      </c>
      <c r="D182" t="str">
        <f>IFERROR(IF(0=LEN(ReferenceData!$D$182),"",ReferenceData!$D$182),"")</f>
        <v>BS_OTHER_LOAN</v>
      </c>
      <c r="E182" t="str">
        <f>IFERROR(IF(0=LEN(ReferenceData!$E$182),"",ReferenceData!$E$182),"")</f>
        <v>Dynamic</v>
      </c>
      <c r="F182">
        <f ca="1">IFERROR(IF(0=LEN(ReferenceData!$F$182),"",ReferenceData!$F$182),"")</f>
        <v>8509.2000000000007</v>
      </c>
      <c r="G182">
        <f ca="1">IFERROR(IF(0=LEN(ReferenceData!$G$182),"",ReferenceData!$G$182),"")</f>
        <v>7676.1</v>
      </c>
      <c r="H182">
        <f ca="1">IFERROR(IF(0=LEN(ReferenceData!$H$182),"",ReferenceData!$H$182),"")</f>
        <v>16115.766</v>
      </c>
      <c r="I182">
        <f ca="1">IFERROR(IF(0=LEN(ReferenceData!$I$182),"",ReferenceData!$I$182),"")</f>
        <v>8209.6</v>
      </c>
      <c r="J182">
        <f ca="1">IFERROR(IF(0=LEN(ReferenceData!$J$182),"",ReferenceData!$J$182),"")</f>
        <v>12334.373</v>
      </c>
      <c r="K182">
        <f ca="1">IFERROR(IF(0=LEN(ReferenceData!$K$182),"",ReferenceData!$K$182),"")</f>
        <v>8371.5</v>
      </c>
      <c r="L182">
        <f ca="1">IFERROR(IF(0=LEN(ReferenceData!$L$182),"",ReferenceData!$L$182),"")</f>
        <v>16450.739000000001</v>
      </c>
      <c r="M182">
        <f ca="1">IFERROR(IF(0=LEN(ReferenceData!$M$182),"",ReferenceData!$M$182),"")</f>
        <v>8744.9</v>
      </c>
      <c r="N182">
        <f ca="1">IFERROR(IF(0=LEN(ReferenceData!$N$182),"",ReferenceData!$N$182),"")</f>
        <v>12567.028</v>
      </c>
      <c r="O182">
        <f ca="1">IFERROR(IF(0=LEN(ReferenceData!$O$182),"",ReferenceData!$O$182),"")</f>
        <v>8697.5</v>
      </c>
      <c r="P182">
        <f ca="1">IFERROR(IF(0=LEN(ReferenceData!$P$182),"",ReferenceData!$P$182),"")</f>
        <v>15836.215</v>
      </c>
      <c r="Q182">
        <f ca="1">IFERROR(IF(0=LEN(ReferenceData!$Q$182),"",ReferenceData!$Q$182),"")</f>
        <v>8194.7999999999993</v>
      </c>
      <c r="R182">
        <f ca="1">IFERROR(IF(0=LEN(ReferenceData!$R$182),"",ReferenceData!$R$182),"")</f>
        <v>12461.334999999999</v>
      </c>
      <c r="S182">
        <f ca="1">IFERROR(IF(0=LEN(ReferenceData!$S$182),"",ReferenceData!$S$182),"")</f>
        <v>7828.3</v>
      </c>
      <c r="T182">
        <f ca="1">IFERROR(IF(0=LEN(ReferenceData!$T$182),"",ReferenceData!$T$182),"")</f>
        <v>12812.529</v>
      </c>
      <c r="U182">
        <f ca="1">IFERROR(IF(0=LEN(ReferenceData!$U$182),"",ReferenceData!$U$182),"")</f>
        <v>7699</v>
      </c>
      <c r="V182">
        <f ca="1">IFERROR(IF(0=LEN(ReferenceData!$V$182),"",ReferenceData!$V$182),"")</f>
        <v>10903.373</v>
      </c>
      <c r="W182">
        <f ca="1">IFERROR(IF(0=LEN(ReferenceData!$W$182),"",ReferenceData!$W$182),"")</f>
        <v>7033.3</v>
      </c>
      <c r="X182">
        <f ca="1">IFERROR(IF(0=LEN(ReferenceData!$X$182),"",ReferenceData!$X$182),"")</f>
        <v>12000.752</v>
      </c>
      <c r="Y182">
        <f ca="1">IFERROR(IF(0=LEN(ReferenceData!$Y$182),"",ReferenceData!$Y$182),"")</f>
        <v>7870.6</v>
      </c>
      <c r="Z182">
        <f ca="1">IFERROR(IF(0=LEN(ReferenceData!$Z$182),"",ReferenceData!$Z$182),"")</f>
        <v>10205.055</v>
      </c>
      <c r="AA182">
        <f ca="1">IFERROR(IF(0=LEN(ReferenceData!$AA$182),"",ReferenceData!$AA$182),"")</f>
        <v>6777.4</v>
      </c>
      <c r="AB182">
        <f ca="1">IFERROR(IF(0=LEN(ReferenceData!$AB$182),"",ReferenceData!$AB$182),"")</f>
        <v>9513.2630000000008</v>
      </c>
      <c r="AC182">
        <f ca="1">IFERROR(IF(0=LEN(ReferenceData!$AC$182),"",ReferenceData!$AC$182),"")</f>
        <v>19309.5</v>
      </c>
      <c r="AD182">
        <f ca="1">IFERROR(IF(0=LEN(ReferenceData!$AD$182),"",ReferenceData!$AD$182),"")</f>
        <v>9503.8449999999993</v>
      </c>
      <c r="AE182">
        <f ca="1">IFERROR(IF(0=LEN(ReferenceData!$AE$182),"",ReferenceData!$AE$182),"")</f>
        <v>6466.1</v>
      </c>
      <c r="AF182">
        <f ca="1">IFERROR(IF(0=LEN(ReferenceData!$AF$182),"",ReferenceData!$AF$182),"")</f>
        <v>9383.17</v>
      </c>
      <c r="AG182">
        <f ca="1">IFERROR(IF(0=LEN(ReferenceData!$AG$182),"",ReferenceData!$AG$182),"")</f>
        <v>17803</v>
      </c>
      <c r="AH182">
        <f ca="1">IFERROR(IF(0=LEN(ReferenceData!$AH$182),"",ReferenceData!$AH$182),"")</f>
        <v>9187.0380000000005</v>
      </c>
      <c r="AI182">
        <f ca="1">IFERROR(IF(0=LEN(ReferenceData!$AI$182),"",ReferenceData!$AI$182),"")</f>
        <v>5992.8</v>
      </c>
      <c r="AJ182">
        <f ca="1">IFERROR(IF(0=LEN(ReferenceData!$AJ$182),"",ReferenceData!$AJ$182),"")</f>
        <v>9242.1880000000001</v>
      </c>
      <c r="AK182">
        <f ca="1">IFERROR(IF(0=LEN(ReferenceData!$AK$182),"",ReferenceData!$AK$182),"")</f>
        <v>16953</v>
      </c>
      <c r="AL182">
        <f ca="1">IFERROR(IF(0=LEN(ReferenceData!$AL$182),"",ReferenceData!$AL$182),"")</f>
        <v>8819.8070000000007</v>
      </c>
      <c r="AM182">
        <f ca="1">IFERROR(IF(0=LEN(ReferenceData!$AM$182),"",ReferenceData!$AM$182),"")</f>
        <v>4521.7</v>
      </c>
      <c r="AN182">
        <f ca="1">IFERROR(IF(0=LEN(ReferenceData!$AN$182),"",ReferenceData!$AN$182),"")</f>
        <v>8183.3180000000002</v>
      </c>
      <c r="AO182">
        <f ca="1">IFERROR(IF(0=LEN(ReferenceData!$AO$182),"",ReferenceData!$AO$182),"")</f>
        <v>19702.7</v>
      </c>
      <c r="AP182">
        <f ca="1">IFERROR(IF(0=LEN(ReferenceData!$AP$182),"",ReferenceData!$AP$182),"")</f>
        <v>6149.9359999999997</v>
      </c>
      <c r="AQ182">
        <f ca="1">IFERROR(IF(0=LEN(ReferenceData!$AQ$182),"",ReferenceData!$AQ$182),"")</f>
        <v>19864.2</v>
      </c>
      <c r="AR182">
        <f ca="1">IFERROR(IF(0=LEN(ReferenceData!$AR$182),"",ReferenceData!$AR$182),"")</f>
        <v>6475.5320000000002</v>
      </c>
      <c r="AS182" t="str">
        <f ca="1">IFERROR(IF(0=LEN(ReferenceData!$AS$182),"",ReferenceData!$AS$182),"")</f>
        <v/>
      </c>
      <c r="AT182">
        <f ca="1">IFERROR(IF(0=LEN(ReferenceData!$AT$182),"",ReferenceData!$AT$182),"")</f>
        <v>6095.8779999999997</v>
      </c>
      <c r="AU182" t="str">
        <f ca="1">IFERROR(IF(0=LEN(ReferenceData!$AU$182),"",ReferenceData!$AU$182),"")</f>
        <v/>
      </c>
      <c r="AV182">
        <f ca="1">IFERROR(IF(0=LEN(ReferenceData!$AV$182),"",ReferenceData!$AV$182),"")</f>
        <v>6761.1980000000003</v>
      </c>
      <c r="AW182" t="str">
        <f ca="1">IFERROR(IF(0=LEN(ReferenceData!$AW$182),"",ReferenceData!$AW$182),"")</f>
        <v/>
      </c>
      <c r="AX182">
        <f ca="1">IFERROR(IF(0=LEN(ReferenceData!$AX$182),"",ReferenceData!$AX$182),"")</f>
        <v>6892.9719999999998</v>
      </c>
      <c r="AY182" t="str">
        <f ca="1">IFERROR(IF(0=LEN(ReferenceData!$AY$182),"",ReferenceData!$AY$182),"")</f>
        <v/>
      </c>
      <c r="AZ182">
        <f ca="1">IFERROR(IF(0=LEN(ReferenceData!$AZ$182),"",ReferenceData!$AZ$182),"")</f>
        <v>6553.1469999999999</v>
      </c>
      <c r="BA182" t="str">
        <f ca="1">IFERROR(IF(0=LEN(ReferenceData!$BA$182),"",ReferenceData!$BA$182),"")</f>
        <v/>
      </c>
      <c r="BB182">
        <f ca="1">IFERROR(IF(0=LEN(ReferenceData!$BB$182),"",ReferenceData!$BB$182),"")</f>
        <v>8064.6869999999999</v>
      </c>
      <c r="BC182" t="str">
        <f ca="1">IFERROR(IF(0=LEN(ReferenceData!$BC$182),"",ReferenceData!$BC$182),"")</f>
        <v/>
      </c>
      <c r="BD182">
        <f ca="1">IFERROR(IF(0=LEN(ReferenceData!$BD$182),"",ReferenceData!$BD$182),"")</f>
        <v>7766.7839999999997</v>
      </c>
      <c r="BE182" t="str">
        <f ca="1">IFERROR(IF(0=LEN(ReferenceData!$BE$182),"",ReferenceData!$BE$182),"")</f>
        <v/>
      </c>
      <c r="BF182">
        <f ca="1">IFERROR(IF(0=LEN(ReferenceData!$BF$182),"",ReferenceData!$BF$182),"")</f>
        <v>7802.5290000000005</v>
      </c>
      <c r="BG182" t="str">
        <f ca="1">IFERROR(IF(0=LEN(ReferenceData!$BG$182),"",ReferenceData!$BG$182),"")</f>
        <v/>
      </c>
      <c r="BH182" t="str">
        <f ca="1">IFERROR(IF(0=LEN(ReferenceData!$BH$182),"",ReferenceData!$BH$182),"")</f>
        <v/>
      </c>
      <c r="BI182" t="str">
        <f ca="1">IFERROR(IF(0=LEN(ReferenceData!$BI$182),"",ReferenceData!$BI$182),"")</f>
        <v/>
      </c>
      <c r="BJ182" t="str">
        <f ca="1">IFERROR(IF(0=LEN(ReferenceData!$BJ$182),"",ReferenceData!$BJ$182),"")</f>
        <v/>
      </c>
      <c r="BK182" t="str">
        <f ca="1">IFERROR(IF(0=LEN(ReferenceData!$BK$182),"",ReferenceData!$BK$182),"")</f>
        <v/>
      </c>
      <c r="BL182" t="str">
        <f ca="1">IFERROR(IF(0=LEN(ReferenceData!$BL$182),"",ReferenceData!$BL$182),"")</f>
        <v/>
      </c>
      <c r="BM182" t="str">
        <f ca="1">IFERROR(IF(0=LEN(ReferenceData!$BM$182),"",ReferenceData!$BM$182),"")</f>
        <v/>
      </c>
    </row>
    <row r="183" spans="1:65" x14ac:dyDescent="0.25">
      <c r="A183" t="str">
        <f>IFERROR(IF(0=LEN(ReferenceData!$A$183),"",ReferenceData!$A$183),"")</f>
        <v xml:space="preserve">    NatWest Group PLC</v>
      </c>
      <c r="B183" t="str">
        <f>IFERROR(IF(0=LEN(ReferenceData!$B$183),"",ReferenceData!$B$183),"")</f>
        <v>NWG LN Equity</v>
      </c>
      <c r="C183" t="str">
        <f>IFERROR(IF(0=LEN(ReferenceData!$C$183),"",ReferenceData!$C$183),"")</f>
        <v>BS018</v>
      </c>
      <c r="D183" t="str">
        <f>IFERROR(IF(0=LEN(ReferenceData!$D$183),"",ReferenceData!$D$183),"")</f>
        <v>BS_OTHER_LOAN</v>
      </c>
      <c r="E183" t="str">
        <f>IFERROR(IF(0=LEN(ReferenceData!$E$183),"",ReferenceData!$E$183),"")</f>
        <v>Dynamic</v>
      </c>
      <c r="F183" t="str">
        <f ca="1">IFERROR(IF(0=LEN(ReferenceData!$F$183),"",ReferenceData!$F$183),"")</f>
        <v/>
      </c>
      <c r="G183" t="str">
        <f ca="1">IFERROR(IF(0=LEN(ReferenceData!$G$183),"",ReferenceData!$G$183),"")</f>
        <v/>
      </c>
      <c r="H183" t="str">
        <f ca="1">IFERROR(IF(0=LEN(ReferenceData!$H$183),"",ReferenceData!$H$183),"")</f>
        <v/>
      </c>
      <c r="I183" t="str">
        <f ca="1">IFERROR(IF(0=LEN(ReferenceData!$I$183),"",ReferenceData!$I$183),"")</f>
        <v/>
      </c>
      <c r="J183" t="str">
        <f ca="1">IFERROR(IF(0=LEN(ReferenceData!$J$183),"",ReferenceData!$J$183),"")</f>
        <v/>
      </c>
      <c r="K183" t="str">
        <f ca="1">IFERROR(IF(0=LEN(ReferenceData!$K$183),"",ReferenceData!$K$183),"")</f>
        <v/>
      </c>
      <c r="L183" t="str">
        <f ca="1">IFERROR(IF(0=LEN(ReferenceData!$L$183),"",ReferenceData!$L$183),"")</f>
        <v/>
      </c>
      <c r="M183" t="str">
        <f ca="1">IFERROR(IF(0=LEN(ReferenceData!$M$183),"",ReferenceData!$M$183),"")</f>
        <v/>
      </c>
      <c r="N183" t="str">
        <f ca="1">IFERROR(IF(0=LEN(ReferenceData!$N$183),"",ReferenceData!$N$183),"")</f>
        <v/>
      </c>
      <c r="O183" t="str">
        <f ca="1">IFERROR(IF(0=LEN(ReferenceData!$O$183),"",ReferenceData!$O$183),"")</f>
        <v/>
      </c>
      <c r="P183" t="str">
        <f ca="1">IFERROR(IF(0=LEN(ReferenceData!$P$183),"",ReferenceData!$P$183),"")</f>
        <v/>
      </c>
      <c r="Q183" t="str">
        <f ca="1">IFERROR(IF(0=LEN(ReferenceData!$Q$183),"",ReferenceData!$Q$183),"")</f>
        <v/>
      </c>
      <c r="R183" t="str">
        <f ca="1">IFERROR(IF(0=LEN(ReferenceData!$R$183),"",ReferenceData!$R$183),"")</f>
        <v/>
      </c>
      <c r="S183" t="str">
        <f ca="1">IFERROR(IF(0=LEN(ReferenceData!$S$183),"",ReferenceData!$S$183),"")</f>
        <v/>
      </c>
      <c r="T183" t="str">
        <f ca="1">IFERROR(IF(0=LEN(ReferenceData!$T$183),"",ReferenceData!$T$183),"")</f>
        <v/>
      </c>
      <c r="U183" t="str">
        <f ca="1">IFERROR(IF(0=LEN(ReferenceData!$U$183),"",ReferenceData!$U$183),"")</f>
        <v/>
      </c>
      <c r="V183" t="str">
        <f ca="1">IFERROR(IF(0=LEN(ReferenceData!$V$183),"",ReferenceData!$V$183),"")</f>
        <v/>
      </c>
      <c r="W183" t="str">
        <f ca="1">IFERROR(IF(0=LEN(ReferenceData!$W$183),"",ReferenceData!$W$183),"")</f>
        <v/>
      </c>
      <c r="X183" t="str">
        <f ca="1">IFERROR(IF(0=LEN(ReferenceData!$X$183),"",ReferenceData!$X$183),"")</f>
        <v/>
      </c>
      <c r="Y183" t="str">
        <f ca="1">IFERROR(IF(0=LEN(ReferenceData!$Y$183),"",ReferenceData!$Y$183),"")</f>
        <v/>
      </c>
      <c r="Z183" t="str">
        <f ca="1">IFERROR(IF(0=LEN(ReferenceData!$Z$183),"",ReferenceData!$Z$183),"")</f>
        <v/>
      </c>
      <c r="AA183" t="str">
        <f ca="1">IFERROR(IF(0=LEN(ReferenceData!$AA$183),"",ReferenceData!$AA$183),"")</f>
        <v/>
      </c>
      <c r="AB183" t="str">
        <f ca="1">IFERROR(IF(0=LEN(ReferenceData!$AB$183),"",ReferenceData!$AB$183),"")</f>
        <v/>
      </c>
      <c r="AC183" t="str">
        <f ca="1">IFERROR(IF(0=LEN(ReferenceData!$AC$183),"",ReferenceData!$AC$183),"")</f>
        <v/>
      </c>
      <c r="AD183" t="str">
        <f ca="1">IFERROR(IF(0=LEN(ReferenceData!$AD$183),"",ReferenceData!$AD$183),"")</f>
        <v/>
      </c>
      <c r="AE183" t="str">
        <f ca="1">IFERROR(IF(0=LEN(ReferenceData!$AE$183),"",ReferenceData!$AE$183),"")</f>
        <v/>
      </c>
      <c r="AF183" t="str">
        <f ca="1">IFERROR(IF(0=LEN(ReferenceData!$AF$183),"",ReferenceData!$AF$183),"")</f>
        <v/>
      </c>
      <c r="AG183" t="str">
        <f ca="1">IFERROR(IF(0=LEN(ReferenceData!$AG$183),"",ReferenceData!$AG$183),"")</f>
        <v/>
      </c>
      <c r="AH183" t="str">
        <f ca="1">IFERROR(IF(0=LEN(ReferenceData!$AH$183),"",ReferenceData!$AH$183),"")</f>
        <v/>
      </c>
      <c r="AI183" t="str">
        <f ca="1">IFERROR(IF(0=LEN(ReferenceData!$AI$183),"",ReferenceData!$AI$183),"")</f>
        <v/>
      </c>
      <c r="AJ183" t="str">
        <f ca="1">IFERROR(IF(0=LEN(ReferenceData!$AJ$183),"",ReferenceData!$AJ$183),"")</f>
        <v/>
      </c>
      <c r="AK183" t="str">
        <f ca="1">IFERROR(IF(0=LEN(ReferenceData!$AK$183),"",ReferenceData!$AK$183),"")</f>
        <v/>
      </c>
      <c r="AL183" t="str">
        <f ca="1">IFERROR(IF(0=LEN(ReferenceData!$AL$183),"",ReferenceData!$AL$183),"")</f>
        <v/>
      </c>
      <c r="AM183" t="str">
        <f ca="1">IFERROR(IF(0=LEN(ReferenceData!$AM$183),"",ReferenceData!$AM$183),"")</f>
        <v/>
      </c>
      <c r="AN183" t="str">
        <f ca="1">IFERROR(IF(0=LEN(ReferenceData!$AN$183),"",ReferenceData!$AN$183),"")</f>
        <v/>
      </c>
      <c r="AO183" t="str">
        <f ca="1">IFERROR(IF(0=LEN(ReferenceData!$AO$183),"",ReferenceData!$AO$183),"")</f>
        <v/>
      </c>
      <c r="AP183" t="str">
        <f ca="1">IFERROR(IF(0=LEN(ReferenceData!$AP$183),"",ReferenceData!$AP$183),"")</f>
        <v/>
      </c>
      <c r="AQ183" t="str">
        <f ca="1">IFERROR(IF(0=LEN(ReferenceData!$AQ$183),"",ReferenceData!$AQ$183),"")</f>
        <v/>
      </c>
      <c r="AR183" t="str">
        <f ca="1">IFERROR(IF(0=LEN(ReferenceData!$AR$183),"",ReferenceData!$AR$183),"")</f>
        <v/>
      </c>
      <c r="AS183" t="str">
        <f ca="1">IFERROR(IF(0=LEN(ReferenceData!$AS$183),"",ReferenceData!$AS$183),"")</f>
        <v/>
      </c>
      <c r="AT183" t="str">
        <f ca="1">IFERROR(IF(0=LEN(ReferenceData!$AT$183),"",ReferenceData!$AT$183),"")</f>
        <v/>
      </c>
      <c r="AU183" t="str">
        <f ca="1">IFERROR(IF(0=LEN(ReferenceData!$AU$183),"",ReferenceData!$AU$183),"")</f>
        <v/>
      </c>
      <c r="AV183" t="str">
        <f ca="1">IFERROR(IF(0=LEN(ReferenceData!$AV$183),"",ReferenceData!$AV$183),"")</f>
        <v/>
      </c>
      <c r="AW183" t="str">
        <f ca="1">IFERROR(IF(0=LEN(ReferenceData!$AW$183),"",ReferenceData!$AW$183),"")</f>
        <v/>
      </c>
      <c r="AX183">
        <f ca="1">IFERROR(IF(0=LEN(ReferenceData!$AX$183),"",ReferenceData!$AX$183),"")</f>
        <v>52855.259259999999</v>
      </c>
      <c r="AY183">
        <f ca="1">IFERROR(IF(0=LEN(ReferenceData!$AY$183),"",ReferenceData!$AY$183),"")</f>
        <v>57166.13953</v>
      </c>
      <c r="AZ183" t="str">
        <f ca="1">IFERROR(IF(0=LEN(ReferenceData!$AZ$183),"",ReferenceData!$AZ$183),"")</f>
        <v/>
      </c>
      <c r="BA183" t="str">
        <f ca="1">IFERROR(IF(0=LEN(ReferenceData!$BA$183),"",ReferenceData!$BA$183),"")</f>
        <v/>
      </c>
      <c r="BB183" t="str">
        <f ca="1">IFERROR(IF(0=LEN(ReferenceData!$BB$183),"",ReferenceData!$BB$183),"")</f>
        <v/>
      </c>
      <c r="BC183" t="str">
        <f ca="1">IFERROR(IF(0=LEN(ReferenceData!$BC$183),"",ReferenceData!$BC$183),"")</f>
        <v/>
      </c>
      <c r="BD183" t="str">
        <f ca="1">IFERROR(IF(0=LEN(ReferenceData!$BD$183),"",ReferenceData!$BD$183),"")</f>
        <v/>
      </c>
      <c r="BE183">
        <f ca="1">IFERROR(IF(0=LEN(ReferenceData!$BE$183),"",ReferenceData!$BE$183),"")</f>
        <v>29711.450720000001</v>
      </c>
      <c r="BF183">
        <f ca="1">IFERROR(IF(0=LEN(ReferenceData!$BF$183),"",ReferenceData!$BF$183),"")</f>
        <v>29955.346300000001</v>
      </c>
      <c r="BG183">
        <f ca="1">IFERROR(IF(0=LEN(ReferenceData!$BG$183),"",ReferenceData!$BG$183),"")</f>
        <v>30586.260989999999</v>
      </c>
      <c r="BH183">
        <f ca="1">IFERROR(IF(0=LEN(ReferenceData!$BH$183),"",ReferenceData!$BH$183),"")</f>
        <v>27953.922470000001</v>
      </c>
      <c r="BI183">
        <f ca="1">IFERROR(IF(0=LEN(ReferenceData!$BI$183),"",ReferenceData!$BI$183),"")</f>
        <v>27407.289639999999</v>
      </c>
      <c r="BJ183">
        <f ca="1">IFERROR(IF(0=LEN(ReferenceData!$BJ$183),"",ReferenceData!$BJ$183),"")</f>
        <v>11152.59247</v>
      </c>
      <c r="BK183">
        <f ca="1">IFERROR(IF(0=LEN(ReferenceData!$BK$183),"",ReferenceData!$BK$183),"")</f>
        <v>13966.972100000001</v>
      </c>
      <c r="BL183" t="str">
        <f ca="1">IFERROR(IF(0=LEN(ReferenceData!$BL$183),"",ReferenceData!$BL$183),"")</f>
        <v/>
      </c>
      <c r="BM183" t="str">
        <f ca="1">IFERROR(IF(0=LEN(ReferenceData!$BM$183),"",ReferenceData!$BM$183),"")</f>
        <v/>
      </c>
    </row>
    <row r="184" spans="1:65" x14ac:dyDescent="0.25">
      <c r="A184" t="str">
        <f>IFERROR(IF(0=LEN(ReferenceData!$A$184),"",ReferenceData!$A$184),"")</f>
        <v xml:space="preserve">    Nordea Bank Abp</v>
      </c>
      <c r="B184" t="str">
        <f>IFERROR(IF(0=LEN(ReferenceData!$B$184),"",ReferenceData!$B$184),"")</f>
        <v>NDA FH Equity</v>
      </c>
      <c r="C184" t="str">
        <f>IFERROR(IF(0=LEN(ReferenceData!$C$184),"",ReferenceData!$C$184),"")</f>
        <v>BS018</v>
      </c>
      <c r="D184" t="str">
        <f>IFERROR(IF(0=LEN(ReferenceData!$D$184),"",ReferenceData!$D$184),"")</f>
        <v>BS_OTHER_LOAN</v>
      </c>
      <c r="E184" t="str">
        <f>IFERROR(IF(0=LEN(ReferenceData!$E$184),"",ReferenceData!$E$184),"")</f>
        <v>Dynamic</v>
      </c>
      <c r="F184">
        <f ca="1">IFERROR(IF(0=LEN(ReferenceData!$F$184),"",ReferenceData!$F$184),"")</f>
        <v>59615</v>
      </c>
      <c r="G184">
        <f ca="1">IFERROR(IF(0=LEN(ReferenceData!$G$184),"",ReferenceData!$G$184),"")</f>
        <v>54923</v>
      </c>
      <c r="H184">
        <f ca="1">IFERROR(IF(0=LEN(ReferenceData!$H$184),"",ReferenceData!$H$184),"")</f>
        <v>57279</v>
      </c>
      <c r="I184">
        <f ca="1">IFERROR(IF(0=LEN(ReferenceData!$I$184),"",ReferenceData!$I$184),"")</f>
        <v>58405</v>
      </c>
      <c r="J184">
        <f ca="1">IFERROR(IF(0=LEN(ReferenceData!$J$184),"",ReferenceData!$J$184),"")</f>
        <v>59425</v>
      </c>
      <c r="K184">
        <f ca="1">IFERROR(IF(0=LEN(ReferenceData!$K$184),"",ReferenceData!$K$184),"")</f>
        <v>54074</v>
      </c>
      <c r="L184">
        <f ca="1">IFERROR(IF(0=LEN(ReferenceData!$L$184),"",ReferenceData!$L$184),"")</f>
        <v>57846</v>
      </c>
      <c r="M184">
        <f ca="1">IFERROR(IF(0=LEN(ReferenceData!$M$184),"",ReferenceData!$M$184),"")</f>
        <v>58659</v>
      </c>
      <c r="N184">
        <f ca="1">IFERROR(IF(0=LEN(ReferenceData!$N$184),"",ReferenceData!$N$184),"")</f>
        <v>60396</v>
      </c>
      <c r="O184">
        <f ca="1">IFERROR(IF(0=LEN(ReferenceData!$O$184),"",ReferenceData!$O$184),"")</f>
        <v>57407</v>
      </c>
      <c r="P184">
        <f ca="1">IFERROR(IF(0=LEN(ReferenceData!$P$184),"",ReferenceData!$P$184),"")</f>
        <v>60635</v>
      </c>
      <c r="Q184">
        <f ca="1">IFERROR(IF(0=LEN(ReferenceData!$Q$184),"",ReferenceData!$Q$184),"")</f>
        <v>353854</v>
      </c>
      <c r="R184">
        <f ca="1">IFERROR(IF(0=LEN(ReferenceData!$R$184),"",ReferenceData!$R$184),"")</f>
        <v>67749</v>
      </c>
      <c r="S184">
        <f ca="1">IFERROR(IF(0=LEN(ReferenceData!$S$184),"",ReferenceData!$S$184),"")</f>
        <v>64467</v>
      </c>
      <c r="T184">
        <f ca="1">IFERROR(IF(0=LEN(ReferenceData!$T$184),"",ReferenceData!$T$184),"")</f>
        <v>6022</v>
      </c>
      <c r="U184">
        <f ca="1">IFERROR(IF(0=LEN(ReferenceData!$U$184),"",ReferenceData!$U$184),"")</f>
        <v>66006</v>
      </c>
      <c r="V184">
        <f ca="1">IFERROR(IF(0=LEN(ReferenceData!$V$184),"",ReferenceData!$V$184),"")</f>
        <v>7929</v>
      </c>
      <c r="W184">
        <f ca="1">IFERROR(IF(0=LEN(ReferenceData!$W$184),"",ReferenceData!$W$184),"")</f>
        <v>63041</v>
      </c>
      <c r="X184">
        <f ca="1">IFERROR(IF(0=LEN(ReferenceData!$X$184),"",ReferenceData!$X$184),"")</f>
        <v>6035</v>
      </c>
      <c r="Y184">
        <f ca="1">IFERROR(IF(0=LEN(ReferenceData!$Y$184),"",ReferenceData!$Y$184),"")</f>
        <v>6370</v>
      </c>
      <c r="Z184">
        <f ca="1">IFERROR(IF(0=LEN(ReferenceData!$Z$184),"",ReferenceData!$Z$184),"")</f>
        <v>6233</v>
      </c>
      <c r="AA184">
        <f ca="1">IFERROR(IF(0=LEN(ReferenceData!$AA$184),"",ReferenceData!$AA$184),"")</f>
        <v>5766</v>
      </c>
      <c r="AB184">
        <f ca="1">IFERROR(IF(0=LEN(ReferenceData!$AB$184),"",ReferenceData!$AB$184),"")</f>
        <v>4757</v>
      </c>
      <c r="AC184">
        <f ca="1">IFERROR(IF(0=LEN(ReferenceData!$AC$184),"",ReferenceData!$AC$184),"")</f>
        <v>6632</v>
      </c>
      <c r="AD184">
        <f ca="1">IFERROR(IF(0=LEN(ReferenceData!$AD$184),"",ReferenceData!$AD$184),"")</f>
        <v>5887</v>
      </c>
      <c r="AE184">
        <f ca="1">IFERROR(IF(0=LEN(ReferenceData!$AE$184),"",ReferenceData!$AE$184),"")</f>
        <v>5603</v>
      </c>
      <c r="AF184">
        <f ca="1">IFERROR(IF(0=LEN(ReferenceData!$AF$184),"",ReferenceData!$AF$184),"")</f>
        <v>8061</v>
      </c>
      <c r="AG184">
        <f ca="1">IFERROR(IF(0=LEN(ReferenceData!$AG$184),"",ReferenceData!$AG$184),"")</f>
        <v>5206</v>
      </c>
      <c r="AH184">
        <f ca="1">IFERROR(IF(0=LEN(ReferenceData!$AH$184),"",ReferenceData!$AH$184),"")</f>
        <v>6898</v>
      </c>
      <c r="AI184">
        <f ca="1">IFERROR(IF(0=LEN(ReferenceData!$AI$184),"",ReferenceData!$AI$184),"")</f>
        <v>5079</v>
      </c>
      <c r="AJ184">
        <f ca="1">IFERROR(IF(0=LEN(ReferenceData!$AJ$184),"",ReferenceData!$AJ$184),"")</f>
        <v>7069</v>
      </c>
      <c r="AK184">
        <f ca="1">IFERROR(IF(0=LEN(ReferenceData!$AK$184),"",ReferenceData!$AK$184),"")</f>
        <v>5497</v>
      </c>
      <c r="AL184">
        <f ca="1">IFERROR(IF(0=LEN(ReferenceData!$AL$184),"",ReferenceData!$AL$184),"")</f>
        <v>6049</v>
      </c>
      <c r="AM184">
        <f ca="1">IFERROR(IF(0=LEN(ReferenceData!$AM$184),"",ReferenceData!$AM$184),"")</f>
        <v>7102</v>
      </c>
      <c r="AN184">
        <f ca="1">IFERROR(IF(0=LEN(ReferenceData!$AN$184),"",ReferenceData!$AN$184),"")</f>
        <v>6236</v>
      </c>
      <c r="AO184">
        <f ca="1">IFERROR(IF(0=LEN(ReferenceData!$AO$184),"",ReferenceData!$AO$184),"")</f>
        <v>6374</v>
      </c>
      <c r="AP184">
        <f ca="1">IFERROR(IF(0=LEN(ReferenceData!$AP$184),"",ReferenceData!$AP$184),"")</f>
        <v>7889</v>
      </c>
      <c r="AQ184">
        <f ca="1">IFERROR(IF(0=LEN(ReferenceData!$AQ$184),"",ReferenceData!$AQ$184),"")</f>
        <v>6941</v>
      </c>
      <c r="AR184">
        <f ca="1">IFERROR(IF(0=LEN(ReferenceData!$AR$184),"",ReferenceData!$AR$184),"")</f>
        <v>8245</v>
      </c>
      <c r="AS184">
        <f ca="1">IFERROR(IF(0=LEN(ReferenceData!$AS$184),"",ReferenceData!$AS$184),"")</f>
        <v>7474</v>
      </c>
      <c r="AT184" t="str">
        <f ca="1">IFERROR(IF(0=LEN(ReferenceData!$AT$184),"",ReferenceData!$AT$184),"")</f>
        <v/>
      </c>
      <c r="AU184" t="str">
        <f ca="1">IFERROR(IF(0=LEN(ReferenceData!$AU$184),"",ReferenceData!$AU$184),"")</f>
        <v/>
      </c>
      <c r="AV184" t="str">
        <f ca="1">IFERROR(IF(0=LEN(ReferenceData!$AV$184),"",ReferenceData!$AV$184),"")</f>
        <v/>
      </c>
      <c r="AW184" t="str">
        <f ca="1">IFERROR(IF(0=LEN(ReferenceData!$AW$184),"",ReferenceData!$AW$184),"")</f>
        <v/>
      </c>
      <c r="AX184" t="str">
        <f ca="1">IFERROR(IF(0=LEN(ReferenceData!$AX$184),"",ReferenceData!$AX$184),"")</f>
        <v/>
      </c>
      <c r="AY184" t="str">
        <f ca="1">IFERROR(IF(0=LEN(ReferenceData!$AY$184),"",ReferenceData!$AY$184),"")</f>
        <v/>
      </c>
      <c r="AZ184" t="str">
        <f ca="1">IFERROR(IF(0=LEN(ReferenceData!$AZ$184),"",ReferenceData!$AZ$184),"")</f>
        <v/>
      </c>
      <c r="BA184" t="str">
        <f ca="1">IFERROR(IF(0=LEN(ReferenceData!$BA$184),"",ReferenceData!$BA$184),"")</f>
        <v/>
      </c>
      <c r="BB184" t="str">
        <f ca="1">IFERROR(IF(0=LEN(ReferenceData!$BB$184),"",ReferenceData!$BB$184),"")</f>
        <v/>
      </c>
      <c r="BC184" t="str">
        <f ca="1">IFERROR(IF(0=LEN(ReferenceData!$BC$184),"",ReferenceData!$BC$184),"")</f>
        <v/>
      </c>
      <c r="BD184" t="str">
        <f ca="1">IFERROR(IF(0=LEN(ReferenceData!$BD$184),"",ReferenceData!$BD$184),"")</f>
        <v/>
      </c>
      <c r="BE184" t="str">
        <f ca="1">IFERROR(IF(0=LEN(ReferenceData!$BE$184),"",ReferenceData!$BE$184),"")</f>
        <v/>
      </c>
      <c r="BF184" t="str">
        <f ca="1">IFERROR(IF(0=LEN(ReferenceData!$BF$184),"",ReferenceData!$BF$184),"")</f>
        <v/>
      </c>
      <c r="BG184" t="str">
        <f ca="1">IFERROR(IF(0=LEN(ReferenceData!$BG$184),"",ReferenceData!$BG$184),"")</f>
        <v/>
      </c>
      <c r="BH184" t="str">
        <f ca="1">IFERROR(IF(0=LEN(ReferenceData!$BH$184),"",ReferenceData!$BH$184),"")</f>
        <v/>
      </c>
      <c r="BI184" t="str">
        <f ca="1">IFERROR(IF(0=LEN(ReferenceData!$BI$184),"",ReferenceData!$BI$184),"")</f>
        <v/>
      </c>
      <c r="BJ184" t="str">
        <f ca="1">IFERROR(IF(0=LEN(ReferenceData!$BJ$184),"",ReferenceData!$BJ$184),"")</f>
        <v/>
      </c>
      <c r="BK184" t="str">
        <f ca="1">IFERROR(IF(0=LEN(ReferenceData!$BK$184),"",ReferenceData!$BK$184),"")</f>
        <v/>
      </c>
      <c r="BL184" t="str">
        <f ca="1">IFERROR(IF(0=LEN(ReferenceData!$BL$184),"",ReferenceData!$BL$184),"")</f>
        <v/>
      </c>
      <c r="BM184" t="str">
        <f ca="1">IFERROR(IF(0=LEN(ReferenceData!$BM$184),"",ReferenceData!$BM$184),"")</f>
        <v/>
      </c>
    </row>
    <row r="185" spans="1:65" x14ac:dyDescent="0.25">
      <c r="A185" t="str">
        <f>IFERROR(IF(0=LEN(ReferenceData!$A$185),"",ReferenceData!$A$185),"")</f>
        <v xml:space="preserve">    Raiffeisen Bank International AG</v>
      </c>
      <c r="B185" t="str">
        <f>IFERROR(IF(0=LEN(ReferenceData!$B$185),"",ReferenceData!$B$185),"")</f>
        <v>RBI AV Equity</v>
      </c>
      <c r="C185" t="str">
        <f>IFERROR(IF(0=LEN(ReferenceData!$C$185),"",ReferenceData!$C$185),"")</f>
        <v>BS018</v>
      </c>
      <c r="D185" t="str">
        <f>IFERROR(IF(0=LEN(ReferenceData!$D$185),"",ReferenceData!$D$185),"")</f>
        <v>BS_OTHER_LOAN</v>
      </c>
      <c r="E185" t="str">
        <f>IFERROR(IF(0=LEN(ReferenceData!$E$185),"",ReferenceData!$E$185),"")</f>
        <v>Dynamic</v>
      </c>
      <c r="F185">
        <f ca="1">IFERROR(IF(0=LEN(ReferenceData!$F$185),"",ReferenceData!$F$185),"")</f>
        <v>3807</v>
      </c>
      <c r="G185">
        <f ca="1">IFERROR(IF(0=LEN(ReferenceData!$G$185),"",ReferenceData!$G$185),"")</f>
        <v>3224</v>
      </c>
      <c r="H185">
        <f ca="1">IFERROR(IF(0=LEN(ReferenceData!$H$185),"",ReferenceData!$H$185),"")</f>
        <v>3283</v>
      </c>
      <c r="I185">
        <f ca="1">IFERROR(IF(0=LEN(ReferenceData!$I$185),"",ReferenceData!$I$185),"")</f>
        <v>2241</v>
      </c>
      <c r="J185">
        <f ca="1">IFERROR(IF(0=LEN(ReferenceData!$J$185),"",ReferenceData!$J$185),"")</f>
        <v>2151</v>
      </c>
      <c r="K185">
        <f ca="1">IFERROR(IF(0=LEN(ReferenceData!$K$185),"",ReferenceData!$K$185),"")</f>
        <v>2045</v>
      </c>
      <c r="L185">
        <f ca="1">IFERROR(IF(0=LEN(ReferenceData!$L$185),"",ReferenceData!$L$185),"")</f>
        <v>2078</v>
      </c>
      <c r="M185">
        <f ca="1">IFERROR(IF(0=LEN(ReferenceData!$M$185),"",ReferenceData!$M$185),"")</f>
        <v>2241</v>
      </c>
      <c r="N185">
        <f ca="1">IFERROR(IF(0=LEN(ReferenceData!$N$185),"",ReferenceData!$N$185),"")</f>
        <v>2150</v>
      </c>
      <c r="O185">
        <f ca="1">IFERROR(IF(0=LEN(ReferenceData!$O$185),"",ReferenceData!$O$185),"")</f>
        <v>2306</v>
      </c>
      <c r="P185">
        <f ca="1">IFERROR(IF(0=LEN(ReferenceData!$P$185),"",ReferenceData!$P$185),"")</f>
        <v>2161</v>
      </c>
      <c r="Q185">
        <f ca="1">IFERROR(IF(0=LEN(ReferenceData!$Q$185),"",ReferenceData!$Q$185),"")</f>
        <v>1749</v>
      </c>
      <c r="R185">
        <f ca="1">IFERROR(IF(0=LEN(ReferenceData!$R$185),"",ReferenceData!$R$185),"")</f>
        <v>1398</v>
      </c>
      <c r="S185">
        <f ca="1">IFERROR(IF(0=LEN(ReferenceData!$S$185),"",ReferenceData!$S$185),"")</f>
        <v>2051</v>
      </c>
      <c r="T185">
        <f ca="1">IFERROR(IF(0=LEN(ReferenceData!$T$185),"",ReferenceData!$T$185),"")</f>
        <v>1803</v>
      </c>
      <c r="U185">
        <f ca="1">IFERROR(IF(0=LEN(ReferenceData!$U$185),"",ReferenceData!$U$185),"")</f>
        <v>1720</v>
      </c>
      <c r="V185">
        <f ca="1">IFERROR(IF(0=LEN(ReferenceData!$V$185),"",ReferenceData!$V$185),"")</f>
        <v>2118.65</v>
      </c>
      <c r="W185">
        <f ca="1">IFERROR(IF(0=LEN(ReferenceData!$W$185),"",ReferenceData!$W$185),"")</f>
        <v>1742</v>
      </c>
      <c r="X185">
        <f ca="1">IFERROR(IF(0=LEN(ReferenceData!$X$185),"",ReferenceData!$X$185),"")</f>
        <v>1623</v>
      </c>
      <c r="Y185">
        <f ca="1">IFERROR(IF(0=LEN(ReferenceData!$Y$185),"",ReferenceData!$Y$185),"")</f>
        <v>1549</v>
      </c>
      <c r="Z185">
        <f ca="1">IFERROR(IF(0=LEN(ReferenceData!$Z$185),"",ReferenceData!$Z$185),"")</f>
        <v>1196.07</v>
      </c>
      <c r="AA185">
        <f ca="1">IFERROR(IF(0=LEN(ReferenceData!$AA$185),"",ReferenceData!$AA$185),"")</f>
        <v>1722</v>
      </c>
      <c r="AB185">
        <f ca="1">IFERROR(IF(0=LEN(ReferenceData!$AB$185),"",ReferenceData!$AB$185),"")</f>
        <v>1586</v>
      </c>
      <c r="AC185">
        <f ca="1">IFERROR(IF(0=LEN(ReferenceData!$AC$185),"",ReferenceData!$AC$185),"")</f>
        <v>1394</v>
      </c>
      <c r="AD185">
        <f ca="1">IFERROR(IF(0=LEN(ReferenceData!$AD$185),"",ReferenceData!$AD$185),"")</f>
        <v>916.93200000000002</v>
      </c>
      <c r="AE185">
        <f ca="1">IFERROR(IF(0=LEN(ReferenceData!$AE$185),"",ReferenceData!$AE$185),"")</f>
        <v>1270</v>
      </c>
      <c r="AF185">
        <f ca="1">IFERROR(IF(0=LEN(ReferenceData!$AF$185),"",ReferenceData!$AF$185),"")</f>
        <v>1183</v>
      </c>
      <c r="AG185">
        <f ca="1">IFERROR(IF(0=LEN(ReferenceData!$AG$185),"",ReferenceData!$AG$185),"")</f>
        <v>921</v>
      </c>
      <c r="AH185">
        <f ca="1">IFERROR(IF(0=LEN(ReferenceData!$AH$185),"",ReferenceData!$AH$185),"")</f>
        <v>3954.2860000000001</v>
      </c>
      <c r="AI185">
        <f ca="1">IFERROR(IF(0=LEN(ReferenceData!$AI$185),"",ReferenceData!$AI$185),"")</f>
        <v>817</v>
      </c>
      <c r="AJ185">
        <f ca="1">IFERROR(IF(0=LEN(ReferenceData!$AJ$185),"",ReferenceData!$AJ$185),"")</f>
        <v>758</v>
      </c>
      <c r="AK185">
        <f ca="1">IFERROR(IF(0=LEN(ReferenceData!$AK$185),"",ReferenceData!$AK$185),"")</f>
        <v>757</v>
      </c>
      <c r="AL185">
        <f ca="1">IFERROR(IF(0=LEN(ReferenceData!$AL$185),"",ReferenceData!$AL$185),"")</f>
        <v>659.23099999999999</v>
      </c>
      <c r="AM185">
        <f ca="1">IFERROR(IF(0=LEN(ReferenceData!$AM$185),"",ReferenceData!$AM$185),"")</f>
        <v>669</v>
      </c>
      <c r="AN185">
        <f ca="1">IFERROR(IF(0=LEN(ReferenceData!$AN$185),"",ReferenceData!$AN$185),"")</f>
        <v>656</v>
      </c>
      <c r="AO185">
        <f ca="1">IFERROR(IF(0=LEN(ReferenceData!$AO$185),"",ReferenceData!$AO$185),"")</f>
        <v>790</v>
      </c>
      <c r="AP185">
        <f ca="1">IFERROR(IF(0=LEN(ReferenceData!$AP$185),"",ReferenceData!$AP$185),"")</f>
        <v>814.42499999999995</v>
      </c>
      <c r="AQ185">
        <f ca="1">IFERROR(IF(0=LEN(ReferenceData!$AQ$185),"",ReferenceData!$AQ$185),"")</f>
        <v>858</v>
      </c>
      <c r="AR185">
        <f ca="1">IFERROR(IF(0=LEN(ReferenceData!$AR$185),"",ReferenceData!$AR$185),"")</f>
        <v>1348</v>
      </c>
      <c r="AS185">
        <f ca="1">IFERROR(IF(0=LEN(ReferenceData!$AS$185),"",ReferenceData!$AS$185),"")</f>
        <v>1454</v>
      </c>
      <c r="AT185">
        <f ca="1">IFERROR(IF(0=LEN(ReferenceData!$AT$185),"",ReferenceData!$AT$185),"")</f>
        <v>1451.165</v>
      </c>
      <c r="AU185">
        <f ca="1">IFERROR(IF(0=LEN(ReferenceData!$AU$185),"",ReferenceData!$AU$185),"")</f>
        <v>1511</v>
      </c>
      <c r="AV185">
        <f ca="1">IFERROR(IF(0=LEN(ReferenceData!$AV$185),"",ReferenceData!$AV$185),"")</f>
        <v>1612</v>
      </c>
      <c r="AW185">
        <f ca="1">IFERROR(IF(0=LEN(ReferenceData!$AW$185),"",ReferenceData!$AW$185),"")</f>
        <v>1632</v>
      </c>
      <c r="AX185">
        <f ca="1">IFERROR(IF(0=LEN(ReferenceData!$AX$185),"",ReferenceData!$AX$185),"")</f>
        <v>1647.511</v>
      </c>
      <c r="AY185">
        <f ca="1">IFERROR(IF(0=LEN(ReferenceData!$AY$185),"",ReferenceData!$AY$185),"")</f>
        <v>1760</v>
      </c>
      <c r="AZ185">
        <f ca="1">IFERROR(IF(0=LEN(ReferenceData!$AZ$185),"",ReferenceData!$AZ$185),"")</f>
        <v>1757</v>
      </c>
      <c r="BA185">
        <f ca="1">IFERROR(IF(0=LEN(ReferenceData!$BA$185),"",ReferenceData!$BA$185),"")</f>
        <v>1447</v>
      </c>
      <c r="BB185">
        <f ca="1">IFERROR(IF(0=LEN(ReferenceData!$BB$185),"",ReferenceData!$BB$185),"")</f>
        <v>1387</v>
      </c>
      <c r="BC185">
        <f ca="1">IFERROR(IF(0=LEN(ReferenceData!$BC$185),"",ReferenceData!$BC$185),"")</f>
        <v>1732</v>
      </c>
      <c r="BD185">
        <f ca="1">IFERROR(IF(0=LEN(ReferenceData!$BD$185),"",ReferenceData!$BD$185),"")</f>
        <v>1360</v>
      </c>
      <c r="BE185">
        <f ca="1">IFERROR(IF(0=LEN(ReferenceData!$BE$185),"",ReferenceData!$BE$185),"")</f>
        <v>2586</v>
      </c>
      <c r="BF185">
        <f ca="1">IFERROR(IF(0=LEN(ReferenceData!$BF$185),"",ReferenceData!$BF$185),"")</f>
        <v>1384.0719999999999</v>
      </c>
      <c r="BG185">
        <f ca="1">IFERROR(IF(0=LEN(ReferenceData!$BG$185),"",ReferenceData!$BG$185),"")</f>
        <v>1406</v>
      </c>
      <c r="BH185">
        <f ca="1">IFERROR(IF(0=LEN(ReferenceData!$BH$185),"",ReferenceData!$BH$185),"")</f>
        <v>1818</v>
      </c>
      <c r="BI185">
        <f ca="1">IFERROR(IF(0=LEN(ReferenceData!$BI$185),"",ReferenceData!$BI$185),"")</f>
        <v>1793</v>
      </c>
      <c r="BJ185">
        <f ca="1">IFERROR(IF(0=LEN(ReferenceData!$BJ$185),"",ReferenceData!$BJ$185),"")</f>
        <v>1636.991</v>
      </c>
      <c r="BK185">
        <f ca="1">IFERROR(IF(0=LEN(ReferenceData!$BK$185),"",ReferenceData!$BK$185),"")</f>
        <v>1108</v>
      </c>
      <c r="BL185">
        <f ca="1">IFERROR(IF(0=LEN(ReferenceData!$BL$185),"",ReferenceData!$BL$185),"")</f>
        <v>1244</v>
      </c>
      <c r="BM185" t="str">
        <f ca="1">IFERROR(IF(0=LEN(ReferenceData!$BM$185),"",ReferenceData!$BM$185),"")</f>
        <v/>
      </c>
    </row>
    <row r="186" spans="1:65" x14ac:dyDescent="0.25">
      <c r="A186" t="str">
        <f>IFERROR(IF(0=LEN(ReferenceData!$A$186),"",ReferenceData!$A$186),"")</f>
        <v xml:space="preserve">    Skandinaviska Enskilda Banken AB</v>
      </c>
      <c r="B186" t="str">
        <f>IFERROR(IF(0=LEN(ReferenceData!$B$186),"",ReferenceData!$B$186),"")</f>
        <v>SEBA SS Equity</v>
      </c>
      <c r="C186" t="str">
        <f>IFERROR(IF(0=LEN(ReferenceData!$C$186),"",ReferenceData!$C$186),"")</f>
        <v>BS018</v>
      </c>
      <c r="D186" t="str">
        <f>IFERROR(IF(0=LEN(ReferenceData!$D$186),"",ReferenceData!$D$186),"")</f>
        <v>BS_OTHER_LOAN</v>
      </c>
      <c r="E186" t="str">
        <f>IFERROR(IF(0=LEN(ReferenceData!$E$186),"",ReferenceData!$E$186),"")</f>
        <v>Dynamic</v>
      </c>
      <c r="F186" t="str">
        <f ca="1">IFERROR(IF(0=LEN(ReferenceData!$F$186),"",ReferenceData!$F$186),"")</f>
        <v/>
      </c>
      <c r="G186" t="str">
        <f ca="1">IFERROR(IF(0=LEN(ReferenceData!$G$186),"",ReferenceData!$G$186),"")</f>
        <v/>
      </c>
      <c r="H186" t="str">
        <f ca="1">IFERROR(IF(0=LEN(ReferenceData!$H$186),"",ReferenceData!$H$186),"")</f>
        <v/>
      </c>
      <c r="I186" t="str">
        <f ca="1">IFERROR(IF(0=LEN(ReferenceData!$I$186),"",ReferenceData!$I$186),"")</f>
        <v/>
      </c>
      <c r="J186" t="str">
        <f ca="1">IFERROR(IF(0=LEN(ReferenceData!$J$186),"",ReferenceData!$J$186),"")</f>
        <v/>
      </c>
      <c r="K186" t="str">
        <f ca="1">IFERROR(IF(0=LEN(ReferenceData!$K$186),"",ReferenceData!$K$186),"")</f>
        <v/>
      </c>
      <c r="L186" t="str">
        <f ca="1">IFERROR(IF(0=LEN(ReferenceData!$L$186),"",ReferenceData!$L$186),"")</f>
        <v/>
      </c>
      <c r="M186" t="str">
        <f ca="1">IFERROR(IF(0=LEN(ReferenceData!$M$186),"",ReferenceData!$M$186),"")</f>
        <v/>
      </c>
      <c r="N186" t="str">
        <f ca="1">IFERROR(IF(0=LEN(ReferenceData!$N$186),"",ReferenceData!$N$186),"")</f>
        <v/>
      </c>
      <c r="O186" t="str">
        <f ca="1">IFERROR(IF(0=LEN(ReferenceData!$O$186),"",ReferenceData!$O$186),"")</f>
        <v/>
      </c>
      <c r="P186" t="str">
        <f ca="1">IFERROR(IF(0=LEN(ReferenceData!$P$186),"",ReferenceData!$P$186),"")</f>
        <v/>
      </c>
      <c r="Q186" t="str">
        <f ca="1">IFERROR(IF(0=LEN(ReferenceData!$Q$186),"",ReferenceData!$Q$186),"")</f>
        <v/>
      </c>
      <c r="R186" t="str">
        <f ca="1">IFERROR(IF(0=LEN(ReferenceData!$R$186),"",ReferenceData!$R$186),"")</f>
        <v/>
      </c>
      <c r="S186" t="str">
        <f ca="1">IFERROR(IF(0=LEN(ReferenceData!$S$186),"",ReferenceData!$S$186),"")</f>
        <v/>
      </c>
      <c r="T186" t="str">
        <f ca="1">IFERROR(IF(0=LEN(ReferenceData!$T$186),"",ReferenceData!$T$186),"")</f>
        <v/>
      </c>
      <c r="U186" t="str">
        <f ca="1">IFERROR(IF(0=LEN(ReferenceData!$U$186),"",ReferenceData!$U$186),"")</f>
        <v/>
      </c>
      <c r="V186" t="str">
        <f ca="1">IFERROR(IF(0=LEN(ReferenceData!$V$186),"",ReferenceData!$V$186),"")</f>
        <v/>
      </c>
      <c r="W186" t="str">
        <f ca="1">IFERROR(IF(0=LEN(ReferenceData!$W$186),"",ReferenceData!$W$186),"")</f>
        <v/>
      </c>
      <c r="X186" t="str">
        <f ca="1">IFERROR(IF(0=LEN(ReferenceData!$X$186),"",ReferenceData!$X$186),"")</f>
        <v/>
      </c>
      <c r="Y186" t="str">
        <f ca="1">IFERROR(IF(0=LEN(ReferenceData!$Y$186),"",ReferenceData!$Y$186),"")</f>
        <v/>
      </c>
      <c r="Z186" t="str">
        <f ca="1">IFERROR(IF(0=LEN(ReferenceData!$Z$186),"",ReferenceData!$Z$186),"")</f>
        <v/>
      </c>
      <c r="AA186" t="str">
        <f ca="1">IFERROR(IF(0=LEN(ReferenceData!$AA$186),"",ReferenceData!$AA$186),"")</f>
        <v/>
      </c>
      <c r="AB186" t="str">
        <f ca="1">IFERROR(IF(0=LEN(ReferenceData!$AB$186),"",ReferenceData!$AB$186),"")</f>
        <v/>
      </c>
      <c r="AC186" t="str">
        <f ca="1">IFERROR(IF(0=LEN(ReferenceData!$AC$186),"",ReferenceData!$AC$186),"")</f>
        <v/>
      </c>
      <c r="AD186" t="str">
        <f ca="1">IFERROR(IF(0=LEN(ReferenceData!$AD$186),"",ReferenceData!$AD$186),"")</f>
        <v/>
      </c>
      <c r="AE186" t="str">
        <f ca="1">IFERROR(IF(0=LEN(ReferenceData!$AE$186),"",ReferenceData!$AE$186),"")</f>
        <v/>
      </c>
      <c r="AF186" t="str">
        <f ca="1">IFERROR(IF(0=LEN(ReferenceData!$AF$186),"",ReferenceData!$AF$186),"")</f>
        <v/>
      </c>
      <c r="AG186" t="str">
        <f ca="1">IFERROR(IF(0=LEN(ReferenceData!$AG$186),"",ReferenceData!$AG$186),"")</f>
        <v/>
      </c>
      <c r="AH186" t="str">
        <f ca="1">IFERROR(IF(0=LEN(ReferenceData!$AH$186),"",ReferenceData!$AH$186),"")</f>
        <v/>
      </c>
      <c r="AI186" t="str">
        <f ca="1">IFERROR(IF(0=LEN(ReferenceData!$AI$186),"",ReferenceData!$AI$186),"")</f>
        <v/>
      </c>
      <c r="AJ186" t="str">
        <f ca="1">IFERROR(IF(0=LEN(ReferenceData!$AJ$186),"",ReferenceData!$AJ$186),"")</f>
        <v/>
      </c>
      <c r="AK186" t="str">
        <f ca="1">IFERROR(IF(0=LEN(ReferenceData!$AK$186),"",ReferenceData!$AK$186),"")</f>
        <v/>
      </c>
      <c r="AL186" t="str">
        <f ca="1">IFERROR(IF(0=LEN(ReferenceData!$AL$186),"",ReferenceData!$AL$186),"")</f>
        <v/>
      </c>
      <c r="AM186" t="str">
        <f ca="1">IFERROR(IF(0=LEN(ReferenceData!$AM$186),"",ReferenceData!$AM$186),"")</f>
        <v/>
      </c>
      <c r="AN186" t="str">
        <f ca="1">IFERROR(IF(0=LEN(ReferenceData!$AN$186),"",ReferenceData!$AN$186),"")</f>
        <v/>
      </c>
      <c r="AO186" t="str">
        <f ca="1">IFERROR(IF(0=LEN(ReferenceData!$AO$186),"",ReferenceData!$AO$186),"")</f>
        <v/>
      </c>
      <c r="AP186" t="str">
        <f ca="1">IFERROR(IF(0=LEN(ReferenceData!$AP$186),"",ReferenceData!$AP$186),"")</f>
        <v/>
      </c>
      <c r="AQ186" t="str">
        <f ca="1">IFERROR(IF(0=LEN(ReferenceData!$AQ$186),"",ReferenceData!$AQ$186),"")</f>
        <v/>
      </c>
      <c r="AR186" t="str">
        <f ca="1">IFERROR(IF(0=LEN(ReferenceData!$AR$186),"",ReferenceData!$AR$186),"")</f>
        <v/>
      </c>
      <c r="AS186" t="str">
        <f ca="1">IFERROR(IF(0=LEN(ReferenceData!$AS$186),"",ReferenceData!$AS$186),"")</f>
        <v/>
      </c>
      <c r="AT186" t="str">
        <f ca="1">IFERROR(IF(0=LEN(ReferenceData!$AT$186),"",ReferenceData!$AT$186),"")</f>
        <v/>
      </c>
      <c r="AU186" t="str">
        <f ca="1">IFERROR(IF(0=LEN(ReferenceData!$AU$186),"",ReferenceData!$AU$186),"")</f>
        <v/>
      </c>
      <c r="AV186" t="str">
        <f ca="1">IFERROR(IF(0=LEN(ReferenceData!$AV$186),"",ReferenceData!$AV$186),"")</f>
        <v/>
      </c>
      <c r="AW186" t="str">
        <f ca="1">IFERROR(IF(0=LEN(ReferenceData!$AW$186),"",ReferenceData!$AW$186),"")</f>
        <v/>
      </c>
      <c r="AX186" t="str">
        <f ca="1">IFERROR(IF(0=LEN(ReferenceData!$AX$186),"",ReferenceData!$AX$186),"")</f>
        <v/>
      </c>
      <c r="AY186" t="str">
        <f ca="1">IFERROR(IF(0=LEN(ReferenceData!$AY$186),"",ReferenceData!$AY$186),"")</f>
        <v/>
      </c>
      <c r="AZ186" t="str">
        <f ca="1">IFERROR(IF(0=LEN(ReferenceData!$AZ$186),"",ReferenceData!$AZ$186),"")</f>
        <v/>
      </c>
      <c r="BA186" t="str">
        <f ca="1">IFERROR(IF(0=LEN(ReferenceData!$BA$186),"",ReferenceData!$BA$186),"")</f>
        <v/>
      </c>
      <c r="BB186" t="str">
        <f ca="1">IFERROR(IF(0=LEN(ReferenceData!$BB$186),"",ReferenceData!$BB$186),"")</f>
        <v/>
      </c>
      <c r="BC186" t="str">
        <f ca="1">IFERROR(IF(0=LEN(ReferenceData!$BC$186),"",ReferenceData!$BC$186),"")</f>
        <v/>
      </c>
      <c r="BD186" t="str">
        <f ca="1">IFERROR(IF(0=LEN(ReferenceData!$BD$186),"",ReferenceData!$BD$186),"")</f>
        <v/>
      </c>
      <c r="BE186" t="str">
        <f ca="1">IFERROR(IF(0=LEN(ReferenceData!$BE$186),"",ReferenceData!$BE$186),"")</f>
        <v/>
      </c>
      <c r="BF186" t="str">
        <f ca="1">IFERROR(IF(0=LEN(ReferenceData!$BF$186),"",ReferenceData!$BF$186),"")</f>
        <v/>
      </c>
      <c r="BG186" t="str">
        <f ca="1">IFERROR(IF(0=LEN(ReferenceData!$BG$186),"",ReferenceData!$BG$186),"")</f>
        <v/>
      </c>
      <c r="BH186" t="str">
        <f ca="1">IFERROR(IF(0=LEN(ReferenceData!$BH$186),"",ReferenceData!$BH$186),"")</f>
        <v/>
      </c>
      <c r="BI186" t="str">
        <f ca="1">IFERROR(IF(0=LEN(ReferenceData!$BI$186),"",ReferenceData!$BI$186),"")</f>
        <v/>
      </c>
      <c r="BJ186" t="str">
        <f ca="1">IFERROR(IF(0=LEN(ReferenceData!$BJ$186),"",ReferenceData!$BJ$186),"")</f>
        <v/>
      </c>
      <c r="BK186" t="str">
        <f ca="1">IFERROR(IF(0=LEN(ReferenceData!$BK$186),"",ReferenceData!$BK$186),"")</f>
        <v/>
      </c>
      <c r="BL186" t="str">
        <f ca="1">IFERROR(IF(0=LEN(ReferenceData!$BL$186),"",ReferenceData!$BL$186),"")</f>
        <v/>
      </c>
      <c r="BM186" t="str">
        <f ca="1">IFERROR(IF(0=LEN(ReferenceData!$BM$186),"",ReferenceData!$BM$186),"")</f>
        <v/>
      </c>
    </row>
    <row r="187" spans="1:65" x14ac:dyDescent="0.25">
      <c r="A187" t="str">
        <f>IFERROR(IF(0=LEN(ReferenceData!$A$187),"",ReferenceData!$A$187),"")</f>
        <v xml:space="preserve">    Svenska Handelsbanken AB</v>
      </c>
      <c r="B187" t="str">
        <f>IFERROR(IF(0=LEN(ReferenceData!$B$187),"",ReferenceData!$B$187),"")</f>
        <v>SHBA SS Equity</v>
      </c>
      <c r="C187" t="str">
        <f>IFERROR(IF(0=LEN(ReferenceData!$C$187),"",ReferenceData!$C$187),"")</f>
        <v>BS018</v>
      </c>
      <c r="D187" t="str">
        <f>IFERROR(IF(0=LEN(ReferenceData!$D$187),"",ReferenceData!$D$187),"")</f>
        <v>BS_OTHER_LOAN</v>
      </c>
      <c r="E187" t="str">
        <f>IFERROR(IF(0=LEN(ReferenceData!$E$187),"",ReferenceData!$E$187),"")</f>
        <v>Dynamic</v>
      </c>
      <c r="F187">
        <f ca="1">IFERROR(IF(0=LEN(ReferenceData!$F$187),"",ReferenceData!$F$187),"")</f>
        <v>1727.956803</v>
      </c>
      <c r="G187">
        <f ca="1">IFERROR(IF(0=LEN(ReferenceData!$G$187),"",ReferenceData!$G$187),"")</f>
        <v>1973.550849</v>
      </c>
      <c r="H187">
        <f ca="1">IFERROR(IF(0=LEN(ReferenceData!$H$187),"",ReferenceData!$H$187),"")</f>
        <v>2273.0412310000002</v>
      </c>
      <c r="I187">
        <f ca="1">IFERROR(IF(0=LEN(ReferenceData!$I$187),"",ReferenceData!$I$187),"")</f>
        <v>2113.8332820000001</v>
      </c>
      <c r="J187">
        <f ca="1">IFERROR(IF(0=LEN(ReferenceData!$J$187),"",ReferenceData!$J$187),"")</f>
        <v>2036.839309</v>
      </c>
      <c r="K187">
        <f ca="1">IFERROR(IF(0=LEN(ReferenceData!$K$187),"",ReferenceData!$K$187),"")</f>
        <v>2560.2532799999999</v>
      </c>
      <c r="L187">
        <f ca="1">IFERROR(IF(0=LEN(ReferenceData!$L$187),"",ReferenceData!$L$187),"")</f>
        <v>2825.374785</v>
      </c>
      <c r="M187">
        <f ca="1">IFERROR(IF(0=LEN(ReferenceData!$M$187),"",ReferenceData!$M$187),"")</f>
        <v>3144.46731</v>
      </c>
      <c r="N187">
        <f ca="1">IFERROR(IF(0=LEN(ReferenceData!$N$187),"",ReferenceData!$N$187),"")</f>
        <v>3763.9172330000001</v>
      </c>
      <c r="O187">
        <f ca="1">IFERROR(IF(0=LEN(ReferenceData!$O$187),"",ReferenceData!$O$187),"")</f>
        <v>5312.5645850000001</v>
      </c>
      <c r="P187">
        <f ca="1">IFERROR(IF(0=LEN(ReferenceData!$P$187),"",ReferenceData!$P$187),"")</f>
        <v>5635.8729110000004</v>
      </c>
      <c r="Q187">
        <f ca="1">IFERROR(IF(0=LEN(ReferenceData!$Q$187),"",ReferenceData!$Q$187),"")</f>
        <v>6002.713315</v>
      </c>
      <c r="R187">
        <f ca="1">IFERROR(IF(0=LEN(ReferenceData!$R$187),"",ReferenceData!$R$187),"")</f>
        <v>5920.1281879999997</v>
      </c>
      <c r="S187">
        <f ca="1">IFERROR(IF(0=LEN(ReferenceData!$S$187),"",ReferenceData!$S$187),"")</f>
        <v>4719.1948359999997</v>
      </c>
      <c r="T187">
        <f ca="1">IFERROR(IF(0=LEN(ReferenceData!$T$187),"",ReferenceData!$T$187),"")</f>
        <v>5023.5701230000004</v>
      </c>
      <c r="U187">
        <f ca="1">IFERROR(IF(0=LEN(ReferenceData!$U$187),"",ReferenceData!$U$187),"")</f>
        <v>4559.2670289999996</v>
      </c>
      <c r="V187">
        <f ca="1">IFERROR(IF(0=LEN(ReferenceData!$V$187),"",ReferenceData!$V$187),"")</f>
        <v>5077.8475470000003</v>
      </c>
      <c r="W187">
        <f ca="1">IFERROR(IF(0=LEN(ReferenceData!$W$187),"",ReferenceData!$W$187),"")</f>
        <v>4948.9521850000001</v>
      </c>
      <c r="X187">
        <f ca="1">IFERROR(IF(0=LEN(ReferenceData!$X$187),"",ReferenceData!$X$187),"")</f>
        <v>5953.7263249999996</v>
      </c>
      <c r="Y187">
        <f ca="1">IFERROR(IF(0=LEN(ReferenceData!$Y$187),"",ReferenceData!$Y$187),"")</f>
        <v>6383.8936519999997</v>
      </c>
      <c r="Z187">
        <f ca="1">IFERROR(IF(0=LEN(ReferenceData!$Z$187),"",ReferenceData!$Z$187),"")</f>
        <v>6405.7095010000003</v>
      </c>
      <c r="AA187">
        <f ca="1">IFERROR(IF(0=LEN(ReferenceData!$AA$187),"",ReferenceData!$AA$187),"")</f>
        <v>6430.1846509999996</v>
      </c>
      <c r="AB187">
        <f ca="1">IFERROR(IF(0=LEN(ReferenceData!$AB$187),"",ReferenceData!$AB$187),"")</f>
        <v>7905.3763010000002</v>
      </c>
      <c r="AC187">
        <f ca="1">IFERROR(IF(0=LEN(ReferenceData!$AC$187),"",ReferenceData!$AC$187),"")</f>
        <v>7481.0344320000004</v>
      </c>
      <c r="AD187">
        <f ca="1">IFERROR(IF(0=LEN(ReferenceData!$AD$187),"",ReferenceData!$AD$187),"")</f>
        <v>8925.1536369999994</v>
      </c>
      <c r="AE187">
        <f ca="1">IFERROR(IF(0=LEN(ReferenceData!$AE$187),"",ReferenceData!$AE$187),"")</f>
        <v>8842.9248060000009</v>
      </c>
      <c r="AF187">
        <f ca="1">IFERROR(IF(0=LEN(ReferenceData!$AF$187),"",ReferenceData!$AF$187),"")</f>
        <v>7831.1854279999998</v>
      </c>
      <c r="AG187">
        <f ca="1">IFERROR(IF(0=LEN(ReferenceData!$AG$187),"",ReferenceData!$AG$187),"")</f>
        <v>8337.2365769999997</v>
      </c>
      <c r="AH187">
        <f ca="1">IFERROR(IF(0=LEN(ReferenceData!$AH$187),"",ReferenceData!$AH$187),"")</f>
        <v>8464.9318469999998</v>
      </c>
      <c r="AI187">
        <f ca="1">IFERROR(IF(0=LEN(ReferenceData!$AI$187),"",ReferenceData!$AI$187),"")</f>
        <v>8933.9808369999992</v>
      </c>
      <c r="AJ187">
        <f ca="1">IFERROR(IF(0=LEN(ReferenceData!$AJ$187),"",ReferenceData!$AJ$187),"")</f>
        <v>9156.5723739999994</v>
      </c>
      <c r="AK187">
        <f ca="1">IFERROR(IF(0=LEN(ReferenceData!$AK$187),"",ReferenceData!$AK$187),"")</f>
        <v>8871.4084849999999</v>
      </c>
      <c r="AL187">
        <f ca="1">IFERROR(IF(0=LEN(ReferenceData!$AL$187),"",ReferenceData!$AL$187),"")</f>
        <v>8813.0424619999994</v>
      </c>
      <c r="AM187">
        <f ca="1">IFERROR(IF(0=LEN(ReferenceData!$AM$187),"",ReferenceData!$AM$187),"")</f>
        <v>7835.5478009999997</v>
      </c>
      <c r="AN187">
        <f ca="1">IFERROR(IF(0=LEN(ReferenceData!$AN$187),"",ReferenceData!$AN$187),"")</f>
        <v>8691.5651550000002</v>
      </c>
      <c r="AO187">
        <f ca="1">IFERROR(IF(0=LEN(ReferenceData!$AO$187),"",ReferenceData!$AO$187),"")</f>
        <v>9319.7276550000006</v>
      </c>
      <c r="AP187">
        <f ca="1">IFERROR(IF(0=LEN(ReferenceData!$AP$187),"",ReferenceData!$AP$187),"")</f>
        <v>9795.4450890000007</v>
      </c>
      <c r="AQ187" t="str">
        <f ca="1">IFERROR(IF(0=LEN(ReferenceData!$AQ$187),"",ReferenceData!$AQ$187),"")</f>
        <v/>
      </c>
      <c r="AR187" t="str">
        <f ca="1">IFERROR(IF(0=LEN(ReferenceData!$AR$187),"",ReferenceData!$AR$187),"")</f>
        <v/>
      </c>
      <c r="AS187" t="str">
        <f ca="1">IFERROR(IF(0=LEN(ReferenceData!$AS$187),"",ReferenceData!$AS$187),"")</f>
        <v/>
      </c>
      <c r="AT187">
        <f ca="1">IFERROR(IF(0=LEN(ReferenceData!$AT$187),"",ReferenceData!$AT$187),"")</f>
        <v>7732.0406869999997</v>
      </c>
      <c r="AU187" t="str">
        <f ca="1">IFERROR(IF(0=LEN(ReferenceData!$AU$187),"",ReferenceData!$AU$187),"")</f>
        <v/>
      </c>
      <c r="AV187" t="str">
        <f ca="1">IFERROR(IF(0=LEN(ReferenceData!$AV$187),"",ReferenceData!$AV$187),"")</f>
        <v/>
      </c>
      <c r="AW187" t="str">
        <f ca="1">IFERROR(IF(0=LEN(ReferenceData!$AW$187),"",ReferenceData!$AW$187),"")</f>
        <v/>
      </c>
      <c r="AX187">
        <f ca="1">IFERROR(IF(0=LEN(ReferenceData!$AX$187),"",ReferenceData!$AX$187),"")</f>
        <v>9161.9446210000006</v>
      </c>
      <c r="AY187" t="str">
        <f ca="1">IFERROR(IF(0=LEN(ReferenceData!$AY$187),"",ReferenceData!$AY$187),"")</f>
        <v/>
      </c>
      <c r="AZ187" t="str">
        <f ca="1">IFERROR(IF(0=LEN(ReferenceData!$AZ$187),"",ReferenceData!$AZ$187),"")</f>
        <v/>
      </c>
      <c r="BA187" t="str">
        <f ca="1">IFERROR(IF(0=LEN(ReferenceData!$BA$187),"",ReferenceData!$BA$187),"")</f>
        <v/>
      </c>
      <c r="BB187">
        <f ca="1">IFERROR(IF(0=LEN(ReferenceData!$BB$187),"",ReferenceData!$BB$187),"")</f>
        <v>9248.7427489999991</v>
      </c>
      <c r="BC187" t="str">
        <f ca="1">IFERROR(IF(0=LEN(ReferenceData!$BC$187),"",ReferenceData!$BC$187),"")</f>
        <v/>
      </c>
      <c r="BD187" t="str">
        <f ca="1">IFERROR(IF(0=LEN(ReferenceData!$BD$187),"",ReferenceData!$BD$187),"")</f>
        <v/>
      </c>
      <c r="BE187" t="str">
        <f ca="1">IFERROR(IF(0=LEN(ReferenceData!$BE$187),"",ReferenceData!$BE$187),"")</f>
        <v/>
      </c>
      <c r="BF187" t="str">
        <f ca="1">IFERROR(IF(0=LEN(ReferenceData!$BF$187),"",ReferenceData!$BF$187),"")</f>
        <v/>
      </c>
      <c r="BG187" t="str">
        <f ca="1">IFERROR(IF(0=LEN(ReferenceData!$BG$187),"",ReferenceData!$BG$187),"")</f>
        <v/>
      </c>
      <c r="BH187" t="str">
        <f ca="1">IFERROR(IF(0=LEN(ReferenceData!$BH$187),"",ReferenceData!$BH$187),"")</f>
        <v/>
      </c>
      <c r="BI187" t="str">
        <f ca="1">IFERROR(IF(0=LEN(ReferenceData!$BI$187),"",ReferenceData!$BI$187),"")</f>
        <v/>
      </c>
      <c r="BJ187" t="str">
        <f ca="1">IFERROR(IF(0=LEN(ReferenceData!$BJ$187),"",ReferenceData!$BJ$187),"")</f>
        <v/>
      </c>
      <c r="BK187" t="str">
        <f ca="1">IFERROR(IF(0=LEN(ReferenceData!$BK$187),"",ReferenceData!$BK$187),"")</f>
        <v/>
      </c>
      <c r="BL187" t="str">
        <f ca="1">IFERROR(IF(0=LEN(ReferenceData!$BL$187),"",ReferenceData!$BL$187),"")</f>
        <v/>
      </c>
      <c r="BM187" t="str">
        <f ca="1">IFERROR(IF(0=LEN(ReferenceData!$BM$187),"",ReferenceData!$BM$187),"")</f>
        <v/>
      </c>
    </row>
    <row r="188" spans="1:65" x14ac:dyDescent="0.25">
      <c r="A188" t="str">
        <f>IFERROR(IF(0=LEN(ReferenceData!$A$188),"",ReferenceData!$A$188),"")</f>
        <v xml:space="preserve">    Swedbank AB</v>
      </c>
      <c r="B188" t="str">
        <f>IFERROR(IF(0=LEN(ReferenceData!$B$188),"",ReferenceData!$B$188),"")</f>
        <v>SWEDA SS Equity</v>
      </c>
      <c r="C188" t="str">
        <f>IFERROR(IF(0=LEN(ReferenceData!$C$188),"",ReferenceData!$C$188),"")</f>
        <v>BS018</v>
      </c>
      <c r="D188" t="str">
        <f>IFERROR(IF(0=LEN(ReferenceData!$D$188),"",ReferenceData!$D$188),"")</f>
        <v>BS_OTHER_LOAN</v>
      </c>
      <c r="E188" t="str">
        <f>IFERROR(IF(0=LEN(ReferenceData!$E$188),"",ReferenceData!$E$188),"")</f>
        <v>Dynamic</v>
      </c>
      <c r="F188" t="str">
        <f ca="1">IFERROR(IF(0=LEN(ReferenceData!$F$188),"",ReferenceData!$F$188),"")</f>
        <v/>
      </c>
      <c r="G188">
        <f ca="1">IFERROR(IF(0=LEN(ReferenceData!$G$188),"",ReferenceData!$G$188),"")</f>
        <v>40776.241280000002</v>
      </c>
      <c r="H188">
        <f ca="1">IFERROR(IF(0=LEN(ReferenceData!$H$188),"",ReferenceData!$H$188),"")</f>
        <v>38530.844490000003</v>
      </c>
      <c r="I188">
        <f ca="1">IFERROR(IF(0=LEN(ReferenceData!$I$188),"",ReferenceData!$I$188),"")</f>
        <v>38314.453580000001</v>
      </c>
      <c r="J188">
        <f ca="1">IFERROR(IF(0=LEN(ReferenceData!$J$188),"",ReferenceData!$J$188),"")</f>
        <v>7328.0653890000003</v>
      </c>
      <c r="K188">
        <f ca="1">IFERROR(IF(0=LEN(ReferenceData!$K$188),"",ReferenceData!$K$188),"")</f>
        <v>2853.470276</v>
      </c>
      <c r="L188">
        <f ca="1">IFERROR(IF(0=LEN(ReferenceData!$L$188),"",ReferenceData!$L$188),"")</f>
        <v>0</v>
      </c>
      <c r="M188">
        <f ca="1">IFERROR(IF(0=LEN(ReferenceData!$M$188),"",ReferenceData!$M$188),"")</f>
        <v>36188.933709999998</v>
      </c>
      <c r="N188">
        <f ca="1">IFERROR(IF(0=LEN(ReferenceData!$N$188),"",ReferenceData!$N$188),"")</f>
        <v>1243.5233840000001</v>
      </c>
      <c r="O188">
        <f ca="1">IFERROR(IF(0=LEN(ReferenceData!$O$188),"",ReferenceData!$O$188),"")</f>
        <v>4139.0626130000001</v>
      </c>
      <c r="P188">
        <f ca="1">IFERROR(IF(0=LEN(ReferenceData!$P$188),"",ReferenceData!$P$188),"")</f>
        <v>6739.8019679999998</v>
      </c>
      <c r="Q188">
        <f ca="1">IFERROR(IF(0=LEN(ReferenceData!$Q$188),"",ReferenceData!$Q$188),"")</f>
        <v>3025.1708269999999</v>
      </c>
      <c r="R188">
        <f ca="1">IFERROR(IF(0=LEN(ReferenceData!$R$188),"",ReferenceData!$R$188),"")</f>
        <v>19.631392309999999</v>
      </c>
      <c r="S188">
        <f ca="1">IFERROR(IF(0=LEN(ReferenceData!$S$188),"",ReferenceData!$S$188),"")</f>
        <v>17.349256199999999</v>
      </c>
      <c r="T188">
        <f ca="1">IFERROR(IF(0=LEN(ReferenceData!$T$188),"",ReferenceData!$T$188),"")</f>
        <v>14.29643516</v>
      </c>
      <c r="U188">
        <f ca="1">IFERROR(IF(0=LEN(ReferenceData!$U$188),"",ReferenceData!$U$188),"")</f>
        <v>3611.0472970000001</v>
      </c>
      <c r="V188">
        <f ca="1">IFERROR(IF(0=LEN(ReferenceData!$V$188),"",ReferenceData!$V$188),"")</f>
        <v>2498.8098329999998</v>
      </c>
      <c r="W188">
        <f ca="1">IFERROR(IF(0=LEN(ReferenceData!$W$188),"",ReferenceData!$W$188),"")</f>
        <v>11.626206699999999</v>
      </c>
      <c r="X188">
        <f ca="1">IFERROR(IF(0=LEN(ReferenceData!$X$188),"",ReferenceData!$X$188),"")</f>
        <v>17.772602620000001</v>
      </c>
      <c r="Y188">
        <f ca="1">IFERROR(IF(0=LEN(ReferenceData!$Y$188),"",ReferenceData!$Y$188),"")</f>
        <v>0.36554067000000001</v>
      </c>
      <c r="Z188">
        <f ca="1">IFERROR(IF(0=LEN(ReferenceData!$Z$188),"",ReferenceData!$Z$188),"")</f>
        <v>0.38098041799999999</v>
      </c>
      <c r="AA188">
        <f ca="1">IFERROR(IF(0=LEN(ReferenceData!$AA$188),"",ReferenceData!$AA$188),"")</f>
        <v>186.9147538</v>
      </c>
      <c r="AB188">
        <f ca="1">IFERROR(IF(0=LEN(ReferenceData!$AB$188),"",ReferenceData!$AB$188),"")</f>
        <v>379.09298189999998</v>
      </c>
      <c r="AC188">
        <f ca="1">IFERROR(IF(0=LEN(ReferenceData!$AC$188),"",ReferenceData!$AC$188),"")</f>
        <v>1.247702866</v>
      </c>
      <c r="AD188">
        <f ca="1">IFERROR(IF(0=LEN(ReferenceData!$AD$188),"",ReferenceData!$AD$188),"")</f>
        <v>998.51336479999998</v>
      </c>
      <c r="AE188">
        <f ca="1">IFERROR(IF(0=LEN(ReferenceData!$AE$188),"",ReferenceData!$AE$188),"")</f>
        <v>23.17541756</v>
      </c>
      <c r="AF188">
        <f ca="1">IFERROR(IF(0=LEN(ReferenceData!$AF$188),"",ReferenceData!$AF$188),"")</f>
        <v>25.828132480000001</v>
      </c>
      <c r="AG188">
        <f ca="1">IFERROR(IF(0=LEN(ReferenceData!$AG$188),"",ReferenceData!$AG$188),"")</f>
        <v>548.54719729999999</v>
      </c>
      <c r="AH188">
        <f ca="1">IFERROR(IF(0=LEN(ReferenceData!$AH$188),"",ReferenceData!$AH$188),"")</f>
        <v>864.51363119999996</v>
      </c>
      <c r="AI188">
        <f ca="1">IFERROR(IF(0=LEN(ReferenceData!$AI$188),"",ReferenceData!$AI$188),"")</f>
        <v>86.230929140000001</v>
      </c>
      <c r="AJ188">
        <f ca="1">IFERROR(IF(0=LEN(ReferenceData!$AJ$188),"",ReferenceData!$AJ$188),"")</f>
        <v>292.3447079</v>
      </c>
      <c r="AK188">
        <f ca="1">IFERROR(IF(0=LEN(ReferenceData!$AK$188),"",ReferenceData!$AK$188),"")</f>
        <v>673.96332010000003</v>
      </c>
      <c r="AL188">
        <f ca="1">IFERROR(IF(0=LEN(ReferenceData!$AL$188),"",ReferenceData!$AL$188),"")</f>
        <v>529.96581460000004</v>
      </c>
      <c r="AM188">
        <f ca="1">IFERROR(IF(0=LEN(ReferenceData!$AM$188),"",ReferenceData!$AM$188),"")</f>
        <v>942.46620789999997</v>
      </c>
      <c r="AN188">
        <f ca="1">IFERROR(IF(0=LEN(ReferenceData!$AN$188),"",ReferenceData!$AN$188),"")</f>
        <v>721.95412669999996</v>
      </c>
      <c r="AO188">
        <f ca="1">IFERROR(IF(0=LEN(ReferenceData!$AO$188),"",ReferenceData!$AO$188),"")</f>
        <v>486.87247489999999</v>
      </c>
      <c r="AP188">
        <f ca="1">IFERROR(IF(0=LEN(ReferenceData!$AP$188),"",ReferenceData!$AP$188),"")</f>
        <v>949.75447899999995</v>
      </c>
      <c r="AQ188">
        <f ca="1">IFERROR(IF(0=LEN(ReferenceData!$AQ$188),"",ReferenceData!$AQ$188),"")</f>
        <v>193.04387199999999</v>
      </c>
      <c r="AR188">
        <f ca="1">IFERROR(IF(0=LEN(ReferenceData!$AR$188),"",ReferenceData!$AR$188),"")</f>
        <v>208.08885480000001</v>
      </c>
      <c r="AS188">
        <f ca="1">IFERROR(IF(0=LEN(ReferenceData!$AS$188),"",ReferenceData!$AS$188),"")</f>
        <v>226.8351399</v>
      </c>
      <c r="AT188">
        <f ca="1">IFERROR(IF(0=LEN(ReferenceData!$AT$188),"",ReferenceData!$AT$188),"")</f>
        <v>1754.2911630000001</v>
      </c>
      <c r="AU188">
        <f ca="1">IFERROR(IF(0=LEN(ReferenceData!$AU$188),"",ReferenceData!$AU$188),"")</f>
        <v>255.85673879999999</v>
      </c>
      <c r="AV188">
        <f ca="1">IFERROR(IF(0=LEN(ReferenceData!$AV$188),"",ReferenceData!$AV$188),"")</f>
        <v>242.5366764</v>
      </c>
      <c r="AW188">
        <f ca="1">IFERROR(IF(0=LEN(ReferenceData!$AW$188),"",ReferenceData!$AW$188),"")</f>
        <v>274.09085290000002</v>
      </c>
      <c r="AX188">
        <f ca="1">IFERROR(IF(0=LEN(ReferenceData!$AX$188),"",ReferenceData!$AX$188),"")</f>
        <v>254.7210432</v>
      </c>
      <c r="AY188">
        <f ca="1">IFERROR(IF(0=LEN(ReferenceData!$AY$188),"",ReferenceData!$AY$188),"")</f>
        <v>299.78661249999999</v>
      </c>
      <c r="AZ188">
        <f ca="1">IFERROR(IF(0=LEN(ReferenceData!$AZ$188),"",ReferenceData!$AZ$188),"")</f>
        <v>293.48228369999998</v>
      </c>
      <c r="BA188">
        <f ca="1">IFERROR(IF(0=LEN(ReferenceData!$BA$188),"",ReferenceData!$BA$188),"")</f>
        <v>407.07729819999997</v>
      </c>
      <c r="BB188">
        <f ca="1">IFERROR(IF(0=LEN(ReferenceData!$BB$188),"",ReferenceData!$BB$188),"")</f>
        <v>753.78680589999999</v>
      </c>
      <c r="BC188">
        <f ca="1">IFERROR(IF(0=LEN(ReferenceData!$BC$188),"",ReferenceData!$BC$188),"")</f>
        <v>666.02523640000004</v>
      </c>
      <c r="BD188">
        <f ca="1">IFERROR(IF(0=LEN(ReferenceData!$BD$188),"",ReferenceData!$BD$188),"")</f>
        <v>739.95669380000004</v>
      </c>
      <c r="BE188">
        <f ca="1">IFERROR(IF(0=LEN(ReferenceData!$BE$188),"",ReferenceData!$BE$188),"")</f>
        <v>642.32880009999997</v>
      </c>
      <c r="BF188">
        <f ca="1">IFERROR(IF(0=LEN(ReferenceData!$BF$188),"",ReferenceData!$BF$188),"")</f>
        <v>311.04150240000001</v>
      </c>
      <c r="BG188" t="str">
        <f ca="1">IFERROR(IF(0=LEN(ReferenceData!$BG$188),"",ReferenceData!$BG$188),"")</f>
        <v/>
      </c>
      <c r="BH188" t="str">
        <f ca="1">IFERROR(IF(0=LEN(ReferenceData!$BH$188),"",ReferenceData!$BH$188),"")</f>
        <v/>
      </c>
      <c r="BI188" t="str">
        <f ca="1">IFERROR(IF(0=LEN(ReferenceData!$BI$188),"",ReferenceData!$BI$188),"")</f>
        <v/>
      </c>
      <c r="BJ188">
        <f ca="1">IFERROR(IF(0=LEN(ReferenceData!$BJ$188),"",ReferenceData!$BJ$188),"")</f>
        <v>0.11125159699999999</v>
      </c>
      <c r="BK188" t="str">
        <f ca="1">IFERROR(IF(0=LEN(ReferenceData!$BK$188),"",ReferenceData!$BK$188),"")</f>
        <v/>
      </c>
      <c r="BL188" t="str">
        <f ca="1">IFERROR(IF(0=LEN(ReferenceData!$BL$188),"",ReferenceData!$BL$188),"")</f>
        <v/>
      </c>
      <c r="BM188" t="str">
        <f ca="1">IFERROR(IF(0=LEN(ReferenceData!$BM$188),"",ReferenceData!$BM$188),"")</f>
        <v/>
      </c>
    </row>
    <row r="189" spans="1:65" x14ac:dyDescent="0.25">
      <c r="A189" t="str">
        <f>IFERROR(IF(0=LEN(ReferenceData!$A$189),"",ReferenceData!$A$189),"")</f>
        <v xml:space="preserve">    Societe Generale SA</v>
      </c>
      <c r="B189" t="str">
        <f>IFERROR(IF(0=LEN(ReferenceData!$B$189),"",ReferenceData!$B$189),"")</f>
        <v>GLE FP Equity</v>
      </c>
      <c r="C189" t="str">
        <f>IFERROR(IF(0=LEN(ReferenceData!$C$189),"",ReferenceData!$C$189),"")</f>
        <v>BS018</v>
      </c>
      <c r="D189" t="str">
        <f>IFERROR(IF(0=LEN(ReferenceData!$D$189),"",ReferenceData!$D$189),"")</f>
        <v>BS_OTHER_LOAN</v>
      </c>
      <c r="E189" t="str">
        <f>IFERROR(IF(0=LEN(ReferenceData!$E$189),"",ReferenceData!$E$189),"")</f>
        <v>Dynamic</v>
      </c>
      <c r="F189">
        <f ca="1">IFERROR(IF(0=LEN(ReferenceData!$F$189),"",ReferenceData!$F$189),"")</f>
        <v>431245</v>
      </c>
      <c r="G189" t="str">
        <f ca="1">IFERROR(IF(0=LEN(ReferenceData!$G$189),"",ReferenceData!$G$189),"")</f>
        <v/>
      </c>
      <c r="H189">
        <f ca="1">IFERROR(IF(0=LEN(ReferenceData!$H$189),"",ReferenceData!$H$189),"")</f>
        <v>436512</v>
      </c>
      <c r="I189" t="str">
        <f ca="1">IFERROR(IF(0=LEN(ReferenceData!$I$189),"",ReferenceData!$I$189),"")</f>
        <v/>
      </c>
      <c r="J189">
        <f ca="1">IFERROR(IF(0=LEN(ReferenceData!$J$189),"",ReferenceData!$J$189),"")</f>
        <v>464624</v>
      </c>
      <c r="K189" t="str">
        <f ca="1">IFERROR(IF(0=LEN(ReferenceData!$K$189),"",ReferenceData!$K$189),"")</f>
        <v/>
      </c>
      <c r="L189">
        <f ca="1">IFERROR(IF(0=LEN(ReferenceData!$L$189),"",ReferenceData!$L$189),"")</f>
        <v>468305</v>
      </c>
      <c r="M189" t="str">
        <f ca="1">IFERROR(IF(0=LEN(ReferenceData!$M$189),"",ReferenceData!$M$189),"")</f>
        <v/>
      </c>
      <c r="N189">
        <f ca="1">IFERROR(IF(0=LEN(ReferenceData!$N$189),"",ReferenceData!$N$189),"")</f>
        <v>478182</v>
      </c>
      <c r="O189" t="str">
        <f ca="1">IFERROR(IF(0=LEN(ReferenceData!$O$189),"",ReferenceData!$O$189),"")</f>
        <v/>
      </c>
      <c r="P189">
        <f ca="1">IFERROR(IF(0=LEN(ReferenceData!$P$189),"",ReferenceData!$P$189),"")</f>
        <v>476548</v>
      </c>
      <c r="Q189" t="str">
        <f ca="1">IFERROR(IF(0=LEN(ReferenceData!$Q$189),"",ReferenceData!$Q$189),"")</f>
        <v/>
      </c>
      <c r="R189">
        <f ca="1">IFERROR(IF(0=LEN(ReferenceData!$R$189),"",ReferenceData!$R$189),"")</f>
        <v>33908</v>
      </c>
      <c r="S189" t="str">
        <f ca="1">IFERROR(IF(0=LEN(ReferenceData!$S$189),"",ReferenceData!$S$189),"")</f>
        <v/>
      </c>
      <c r="T189">
        <f ca="1">IFERROR(IF(0=LEN(ReferenceData!$T$189),"",ReferenceData!$T$189),"")</f>
        <v>445421</v>
      </c>
      <c r="U189" t="str">
        <f ca="1">IFERROR(IF(0=LEN(ReferenceData!$U$189),"",ReferenceData!$U$189),"")</f>
        <v/>
      </c>
      <c r="V189">
        <f ca="1">IFERROR(IF(0=LEN(ReferenceData!$V$189),"",ReferenceData!$V$189),"")</f>
        <v>33524</v>
      </c>
      <c r="W189" t="str">
        <f ca="1">IFERROR(IF(0=LEN(ReferenceData!$W$189),"",ReferenceData!$W$189),"")</f>
        <v/>
      </c>
      <c r="X189">
        <f ca="1">IFERROR(IF(0=LEN(ReferenceData!$X$189),"",ReferenceData!$X$189),"")</f>
        <v>53675</v>
      </c>
      <c r="Y189" t="str">
        <f ca="1">IFERROR(IF(0=LEN(ReferenceData!$Y$189),"",ReferenceData!$Y$189),"")</f>
        <v/>
      </c>
      <c r="Z189">
        <f ca="1">IFERROR(IF(0=LEN(ReferenceData!$Z$189),"",ReferenceData!$Z$189),"")</f>
        <v>33698</v>
      </c>
      <c r="AA189" t="str">
        <f ca="1">IFERROR(IF(0=LEN(ReferenceData!$AA$189),"",ReferenceData!$AA$189),"")</f>
        <v/>
      </c>
      <c r="AB189">
        <f ca="1">IFERROR(IF(0=LEN(ReferenceData!$AB$189),"",ReferenceData!$AB$189),"")</f>
        <v>55320</v>
      </c>
      <c r="AC189" t="str">
        <f ca="1">IFERROR(IF(0=LEN(ReferenceData!$AC$189),"",ReferenceData!$AC$189),"")</f>
        <v/>
      </c>
      <c r="AD189">
        <f ca="1">IFERROR(IF(0=LEN(ReferenceData!$AD$189),"",ReferenceData!$AD$189),"")</f>
        <v>56267</v>
      </c>
      <c r="AE189" t="str">
        <f ca="1">IFERROR(IF(0=LEN(ReferenceData!$AE$189),"",ReferenceData!$AE$189),"")</f>
        <v/>
      </c>
      <c r="AF189">
        <f ca="1">IFERROR(IF(0=LEN(ReferenceData!$AF$189),"",ReferenceData!$AF$189),"")</f>
        <v>55416</v>
      </c>
      <c r="AG189" t="str">
        <f ca="1">IFERROR(IF(0=LEN(ReferenceData!$AG$189),"",ReferenceData!$AG$189),"")</f>
        <v/>
      </c>
      <c r="AH189">
        <f ca="1">IFERROR(IF(0=LEN(ReferenceData!$AH$189),"",ReferenceData!$AH$189),"")</f>
        <v>52303</v>
      </c>
      <c r="AI189" t="str">
        <f ca="1">IFERROR(IF(0=LEN(ReferenceData!$AI$189),"",ReferenceData!$AI$189),"")</f>
        <v/>
      </c>
      <c r="AJ189">
        <f ca="1">IFERROR(IF(0=LEN(ReferenceData!$AJ$189),"",ReferenceData!$AJ$189),"")</f>
        <v>57889</v>
      </c>
      <c r="AK189" t="str">
        <f ca="1">IFERROR(IF(0=LEN(ReferenceData!$AK$189),"",ReferenceData!$AK$189),"")</f>
        <v/>
      </c>
      <c r="AL189" t="str">
        <f ca="1">IFERROR(IF(0=LEN(ReferenceData!$AL$189),"",ReferenceData!$AL$189),"")</f>
        <v/>
      </c>
      <c r="AM189" t="str">
        <f ca="1">IFERROR(IF(0=LEN(ReferenceData!$AM$189),"",ReferenceData!$AM$189),"")</f>
        <v/>
      </c>
      <c r="AN189" t="str">
        <f ca="1">IFERROR(IF(0=LEN(ReferenceData!$AN$189),"",ReferenceData!$AN$189),"")</f>
        <v/>
      </c>
      <c r="AO189" t="str">
        <f ca="1">IFERROR(IF(0=LEN(ReferenceData!$AO$189),"",ReferenceData!$AO$189),"")</f>
        <v/>
      </c>
      <c r="AP189" t="str">
        <f ca="1">IFERROR(IF(0=LEN(ReferenceData!$AP$189),"",ReferenceData!$AP$189),"")</f>
        <v/>
      </c>
      <c r="AQ189" t="str">
        <f ca="1">IFERROR(IF(0=LEN(ReferenceData!$AQ$189),"",ReferenceData!$AQ$189),"")</f>
        <v/>
      </c>
      <c r="AR189" t="str">
        <f ca="1">IFERROR(IF(0=LEN(ReferenceData!$AR$189),"",ReferenceData!$AR$189),"")</f>
        <v/>
      </c>
      <c r="AS189" t="str">
        <f ca="1">IFERROR(IF(0=LEN(ReferenceData!$AS$189),"",ReferenceData!$AS$189),"")</f>
        <v/>
      </c>
      <c r="AT189" t="str">
        <f ca="1">IFERROR(IF(0=LEN(ReferenceData!$AT$189),"",ReferenceData!$AT$189),"")</f>
        <v/>
      </c>
      <c r="AU189" t="str">
        <f ca="1">IFERROR(IF(0=LEN(ReferenceData!$AU$189),"",ReferenceData!$AU$189),"")</f>
        <v/>
      </c>
      <c r="AV189" t="str">
        <f ca="1">IFERROR(IF(0=LEN(ReferenceData!$AV$189),"",ReferenceData!$AV$189),"")</f>
        <v/>
      </c>
      <c r="AW189" t="str">
        <f ca="1">IFERROR(IF(0=LEN(ReferenceData!$AW$189),"",ReferenceData!$AW$189),"")</f>
        <v/>
      </c>
      <c r="AX189" t="str">
        <f ca="1">IFERROR(IF(0=LEN(ReferenceData!$AX$189),"",ReferenceData!$AX$189),"")</f>
        <v/>
      </c>
      <c r="AY189" t="str">
        <f ca="1">IFERROR(IF(0=LEN(ReferenceData!$AY$189),"",ReferenceData!$AY$189),"")</f>
        <v/>
      </c>
      <c r="AZ189" t="str">
        <f ca="1">IFERROR(IF(0=LEN(ReferenceData!$AZ$189),"",ReferenceData!$AZ$189),"")</f>
        <v/>
      </c>
      <c r="BA189" t="str">
        <f ca="1">IFERROR(IF(0=LEN(ReferenceData!$BA$189),"",ReferenceData!$BA$189),"")</f>
        <v/>
      </c>
      <c r="BB189" t="str">
        <f ca="1">IFERROR(IF(0=LEN(ReferenceData!$BB$189),"",ReferenceData!$BB$189),"")</f>
        <v/>
      </c>
      <c r="BC189" t="str">
        <f ca="1">IFERROR(IF(0=LEN(ReferenceData!$BC$189),"",ReferenceData!$BC$189),"")</f>
        <v/>
      </c>
      <c r="BD189" t="str">
        <f ca="1">IFERROR(IF(0=LEN(ReferenceData!$BD$189),"",ReferenceData!$BD$189),"")</f>
        <v/>
      </c>
      <c r="BE189" t="str">
        <f ca="1">IFERROR(IF(0=LEN(ReferenceData!$BE$189),"",ReferenceData!$BE$189),"")</f>
        <v/>
      </c>
      <c r="BF189" t="str">
        <f ca="1">IFERROR(IF(0=LEN(ReferenceData!$BF$189),"",ReferenceData!$BF$189),"")</f>
        <v/>
      </c>
      <c r="BG189" t="str">
        <f ca="1">IFERROR(IF(0=LEN(ReferenceData!$BG$189),"",ReferenceData!$BG$189),"")</f>
        <v/>
      </c>
      <c r="BH189" t="str">
        <f ca="1">IFERROR(IF(0=LEN(ReferenceData!$BH$189),"",ReferenceData!$BH$189),"")</f>
        <v/>
      </c>
      <c r="BI189" t="str">
        <f ca="1">IFERROR(IF(0=LEN(ReferenceData!$BI$189),"",ReferenceData!$BI$189),"")</f>
        <v/>
      </c>
      <c r="BJ189" t="str">
        <f ca="1">IFERROR(IF(0=LEN(ReferenceData!$BJ$189),"",ReferenceData!$BJ$189),"")</f>
        <v/>
      </c>
      <c r="BK189" t="str">
        <f ca="1">IFERROR(IF(0=LEN(ReferenceData!$BK$189),"",ReferenceData!$BK$189),"")</f>
        <v/>
      </c>
      <c r="BL189" t="str">
        <f ca="1">IFERROR(IF(0=LEN(ReferenceData!$BL$189),"",ReferenceData!$BL$189),"")</f>
        <v/>
      </c>
      <c r="BM189" t="str">
        <f ca="1">IFERROR(IF(0=LEN(ReferenceData!$BM$189),"",ReferenceData!$BM$189),"")</f>
        <v/>
      </c>
    </row>
    <row r="190" spans="1:65" x14ac:dyDescent="0.25">
      <c r="A190" t="str">
        <f>IFERROR(IF(0=LEN(ReferenceData!$A$190),"",ReferenceData!$A$190),"")</f>
        <v xml:space="preserve">    Standard Chartered PLC</v>
      </c>
      <c r="B190" t="str">
        <f>IFERROR(IF(0=LEN(ReferenceData!$B$190),"",ReferenceData!$B$190),"")</f>
        <v>STAN LN Equity</v>
      </c>
      <c r="C190" t="str">
        <f>IFERROR(IF(0=LEN(ReferenceData!$C$190),"",ReferenceData!$C$190),"")</f>
        <v>BS018</v>
      </c>
      <c r="D190" t="str">
        <f>IFERROR(IF(0=LEN(ReferenceData!$D$190),"",ReferenceData!$D$190),"")</f>
        <v>BS_OTHER_LOAN</v>
      </c>
      <c r="E190" t="str">
        <f>IFERROR(IF(0=LEN(ReferenceData!$E$190),"",ReferenceData!$E$190),"")</f>
        <v>Dynamic</v>
      </c>
      <c r="F190">
        <f ca="1">IFERROR(IF(0=LEN(ReferenceData!$F$190),"",ReferenceData!$F$190),"")</f>
        <v>23896.028600000001</v>
      </c>
      <c r="G190" t="str">
        <f ca="1">IFERROR(IF(0=LEN(ReferenceData!$G$190),"",ReferenceData!$G$190),"")</f>
        <v/>
      </c>
      <c r="H190">
        <f ca="1">IFERROR(IF(0=LEN(ReferenceData!$H$190),"",ReferenceData!$H$190),"")</f>
        <v>23998.69354</v>
      </c>
      <c r="I190" t="str">
        <f ca="1">IFERROR(IF(0=LEN(ReferenceData!$I$190),"",ReferenceData!$I$190),"")</f>
        <v/>
      </c>
      <c r="J190">
        <f ca="1">IFERROR(IF(0=LEN(ReferenceData!$J$190),"",ReferenceData!$J$190),"")</f>
        <v>24114.2444</v>
      </c>
      <c r="K190" t="str">
        <f ca="1">IFERROR(IF(0=LEN(ReferenceData!$K$190),"",ReferenceData!$K$190),"")</f>
        <v/>
      </c>
      <c r="L190">
        <f ca="1">IFERROR(IF(0=LEN(ReferenceData!$L$190),"",ReferenceData!$L$190),"")</f>
        <v>30183.183730000001</v>
      </c>
      <c r="M190" t="str">
        <f ca="1">IFERROR(IF(0=LEN(ReferenceData!$M$190),"",ReferenceData!$M$190),"")</f>
        <v/>
      </c>
      <c r="N190">
        <f ca="1">IFERROR(IF(0=LEN(ReferenceData!$N$190),"",ReferenceData!$N$190),"")</f>
        <v>22911.02605</v>
      </c>
      <c r="O190" t="str">
        <f ca="1">IFERROR(IF(0=LEN(ReferenceData!$O$190),"",ReferenceData!$O$190),"")</f>
        <v/>
      </c>
      <c r="P190">
        <f ca="1">IFERROR(IF(0=LEN(ReferenceData!$P$190),"",ReferenceData!$P$190),"")</f>
        <v>28299.151010000001</v>
      </c>
      <c r="Q190" t="str">
        <f ca="1">IFERROR(IF(0=LEN(ReferenceData!$Q$190),"",ReferenceData!$Q$190),"")</f>
        <v/>
      </c>
      <c r="R190">
        <f ca="1">IFERROR(IF(0=LEN(ReferenceData!$R$190),"",ReferenceData!$R$190),"")</f>
        <v>22599.683819999998</v>
      </c>
      <c r="S190" t="str">
        <f ca="1">IFERROR(IF(0=LEN(ReferenceData!$S$190),"",ReferenceData!$S$190),"")</f>
        <v/>
      </c>
      <c r="T190">
        <f ca="1">IFERROR(IF(0=LEN(ReferenceData!$T$190),"",ReferenceData!$T$190),"")</f>
        <v>23931.97738</v>
      </c>
      <c r="U190" t="str">
        <f ca="1">IFERROR(IF(0=LEN(ReferenceData!$U$190),"",ReferenceData!$U$190),"")</f>
        <v/>
      </c>
      <c r="V190">
        <f ca="1">IFERROR(IF(0=LEN(ReferenceData!$V$190),"",ReferenceData!$V$190),"")</f>
        <v>22954.60123</v>
      </c>
      <c r="W190" t="str">
        <f ca="1">IFERROR(IF(0=LEN(ReferenceData!$W$190),"",ReferenceData!$W$190),"")</f>
        <v/>
      </c>
      <c r="X190">
        <f ca="1">IFERROR(IF(0=LEN(ReferenceData!$X$190),"",ReferenceData!$X$190),"")</f>
        <v>22673.66361</v>
      </c>
      <c r="Y190" t="str">
        <f ca="1">IFERROR(IF(0=LEN(ReferenceData!$Y$190),"",ReferenceData!$Y$190),"")</f>
        <v/>
      </c>
      <c r="Z190">
        <f ca="1">IFERROR(IF(0=LEN(ReferenceData!$Z$190),"",ReferenceData!$Z$190),"")</f>
        <v>18860.984949999998</v>
      </c>
      <c r="AA190" t="str">
        <f ca="1">IFERROR(IF(0=LEN(ReferenceData!$AA$190),"",ReferenceData!$AA$190),"")</f>
        <v/>
      </c>
      <c r="AB190">
        <f ca="1">IFERROR(IF(0=LEN(ReferenceData!$AB$190),"",ReferenceData!$AB$190),"")</f>
        <v>14098.952370000001</v>
      </c>
      <c r="AC190" t="str">
        <f ca="1">IFERROR(IF(0=LEN(ReferenceData!$AC$190),"",ReferenceData!$AC$190),"")</f>
        <v/>
      </c>
      <c r="AD190">
        <f ca="1">IFERROR(IF(0=LEN(ReferenceData!$AD$190),"",ReferenceData!$AD$190),"")</f>
        <v>17608.278030000001</v>
      </c>
      <c r="AE190" t="str">
        <f ca="1">IFERROR(IF(0=LEN(ReferenceData!$AE$190),"",ReferenceData!$AE$190),"")</f>
        <v/>
      </c>
      <c r="AF190">
        <f ca="1">IFERROR(IF(0=LEN(ReferenceData!$AF$190),"",ReferenceData!$AF$190),"")</f>
        <v>10940.310009999999</v>
      </c>
      <c r="AG190" t="str">
        <f ca="1">IFERROR(IF(0=LEN(ReferenceData!$AG$190),"",ReferenceData!$AG$190),"")</f>
        <v/>
      </c>
      <c r="AH190">
        <f ca="1">IFERROR(IF(0=LEN(ReferenceData!$AH$190),"",ReferenceData!$AH$190),"")</f>
        <v>16350.856760000001</v>
      </c>
      <c r="AI190" t="str">
        <f ca="1">IFERROR(IF(0=LEN(ReferenceData!$AI$190),"",ReferenceData!$AI$190),"")</f>
        <v/>
      </c>
      <c r="AJ190">
        <f ca="1">IFERROR(IF(0=LEN(ReferenceData!$AJ$190),"",ReferenceData!$AJ$190),"")</f>
        <v>14348.5499</v>
      </c>
      <c r="AK190" t="str">
        <f ca="1">IFERROR(IF(0=LEN(ReferenceData!$AK$190),"",ReferenceData!$AK$190),"")</f>
        <v/>
      </c>
      <c r="AL190">
        <f ca="1">IFERROR(IF(0=LEN(ReferenceData!$AL$190),"",ReferenceData!$AL$190),"")</f>
        <v>11360.57647</v>
      </c>
      <c r="AM190" t="str">
        <f ca="1">IFERROR(IF(0=LEN(ReferenceData!$AM$190),"",ReferenceData!$AM$190),"")</f>
        <v/>
      </c>
      <c r="AN190">
        <f ca="1">IFERROR(IF(0=LEN(ReferenceData!$AN$190),"",ReferenceData!$AN$190),"")</f>
        <v>10257.382820000001</v>
      </c>
      <c r="AO190" t="str">
        <f ca="1">IFERROR(IF(0=LEN(ReferenceData!$AO$190),"",ReferenceData!$AO$190),"")</f>
        <v/>
      </c>
      <c r="AP190" t="str">
        <f ca="1">IFERROR(IF(0=LEN(ReferenceData!$AP$190),"",ReferenceData!$AP$190),"")</f>
        <v/>
      </c>
      <c r="AQ190" t="str">
        <f ca="1">IFERROR(IF(0=LEN(ReferenceData!$AQ$190),"",ReferenceData!$AQ$190),"")</f>
        <v/>
      </c>
      <c r="AR190" t="str">
        <f ca="1">IFERROR(IF(0=LEN(ReferenceData!$AR$190),"",ReferenceData!$AR$190),"")</f>
        <v/>
      </c>
      <c r="AS190" t="str">
        <f ca="1">IFERROR(IF(0=LEN(ReferenceData!$AS$190),"",ReferenceData!$AS$190),"")</f>
        <v/>
      </c>
      <c r="AT190" t="str">
        <f ca="1">IFERROR(IF(0=LEN(ReferenceData!$AT$190),"",ReferenceData!$AT$190),"")</f>
        <v/>
      </c>
      <c r="AU190" t="str">
        <f ca="1">IFERROR(IF(0=LEN(ReferenceData!$AU$190),"",ReferenceData!$AU$190),"")</f>
        <v/>
      </c>
      <c r="AV190" t="str">
        <f ca="1">IFERROR(IF(0=LEN(ReferenceData!$AV$190),"",ReferenceData!$AV$190),"")</f>
        <v/>
      </c>
      <c r="AW190" t="str">
        <f ca="1">IFERROR(IF(0=LEN(ReferenceData!$AW$190),"",ReferenceData!$AW$190),"")</f>
        <v/>
      </c>
      <c r="AX190" t="str">
        <f ca="1">IFERROR(IF(0=LEN(ReferenceData!$AX$190),"",ReferenceData!$AX$190),"")</f>
        <v/>
      </c>
      <c r="AY190" t="str">
        <f ca="1">IFERROR(IF(0=LEN(ReferenceData!$AY$190),"",ReferenceData!$AY$190),"")</f>
        <v/>
      </c>
      <c r="AZ190" t="str">
        <f ca="1">IFERROR(IF(0=LEN(ReferenceData!$AZ$190),"",ReferenceData!$AZ$190),"")</f>
        <v/>
      </c>
      <c r="BA190" t="str">
        <f ca="1">IFERROR(IF(0=LEN(ReferenceData!$BA$190),"",ReferenceData!$BA$190),"")</f>
        <v/>
      </c>
      <c r="BB190" t="str">
        <f ca="1">IFERROR(IF(0=LEN(ReferenceData!$BB$190),"",ReferenceData!$BB$190),"")</f>
        <v/>
      </c>
      <c r="BC190" t="str">
        <f ca="1">IFERROR(IF(0=LEN(ReferenceData!$BC$190),"",ReferenceData!$BC$190),"")</f>
        <v/>
      </c>
      <c r="BD190" t="str">
        <f ca="1">IFERROR(IF(0=LEN(ReferenceData!$BD$190),"",ReferenceData!$BD$190),"")</f>
        <v/>
      </c>
      <c r="BE190" t="str">
        <f ca="1">IFERROR(IF(0=LEN(ReferenceData!$BE$190),"",ReferenceData!$BE$190),"")</f>
        <v/>
      </c>
      <c r="BF190" t="str">
        <f ca="1">IFERROR(IF(0=LEN(ReferenceData!$BF$190),"",ReferenceData!$BF$190),"")</f>
        <v/>
      </c>
      <c r="BG190" t="str">
        <f ca="1">IFERROR(IF(0=LEN(ReferenceData!$BG$190),"",ReferenceData!$BG$190),"")</f>
        <v/>
      </c>
      <c r="BH190" t="str">
        <f ca="1">IFERROR(IF(0=LEN(ReferenceData!$BH$190),"",ReferenceData!$BH$190),"")</f>
        <v/>
      </c>
      <c r="BI190" t="str">
        <f ca="1">IFERROR(IF(0=LEN(ReferenceData!$BI$190),"",ReferenceData!$BI$190),"")</f>
        <v/>
      </c>
      <c r="BJ190" t="str">
        <f ca="1">IFERROR(IF(0=LEN(ReferenceData!$BJ$190),"",ReferenceData!$BJ$190),"")</f>
        <v/>
      </c>
      <c r="BK190" t="str">
        <f ca="1">IFERROR(IF(0=LEN(ReferenceData!$BK$190),"",ReferenceData!$BK$190),"")</f>
        <v/>
      </c>
      <c r="BL190" t="str">
        <f ca="1">IFERROR(IF(0=LEN(ReferenceData!$BL$190),"",ReferenceData!$BL$190),"")</f>
        <v/>
      </c>
      <c r="BM190" t="str">
        <f ca="1">IFERROR(IF(0=LEN(ReferenceData!$BM$190),"",ReferenceData!$BM$190),"")</f>
        <v/>
      </c>
    </row>
    <row r="191" spans="1:65" x14ac:dyDescent="0.25">
      <c r="A191" t="str">
        <f>IFERROR(IF(0=LEN(ReferenceData!$A$191),"",ReferenceData!$A$191),"")</f>
        <v xml:space="preserve">    UBS Group AG</v>
      </c>
      <c r="B191" t="str">
        <f>IFERROR(IF(0=LEN(ReferenceData!$B$191),"",ReferenceData!$B$191),"")</f>
        <v>UBSG SW Equity</v>
      </c>
      <c r="C191" t="str">
        <f>IFERROR(IF(0=LEN(ReferenceData!$C$191),"",ReferenceData!$C$191),"")</f>
        <v>BS018</v>
      </c>
      <c r="D191" t="str">
        <f>IFERROR(IF(0=LEN(ReferenceData!$D$191),"",ReferenceData!$D$191),"")</f>
        <v>BS_OTHER_LOAN</v>
      </c>
      <c r="E191" t="str">
        <f>IFERROR(IF(0=LEN(ReferenceData!$E$191),"",ReferenceData!$E$191),"")</f>
        <v>Dynamic</v>
      </c>
      <c r="F191">
        <f ca="1">IFERROR(IF(0=LEN(ReferenceData!$F$191),"",ReferenceData!$F$191),"")</f>
        <v>239772.92490000001</v>
      </c>
      <c r="G191">
        <f ca="1">IFERROR(IF(0=LEN(ReferenceData!$G$191),"",ReferenceData!$G$191),"")</f>
        <v>233063.3297</v>
      </c>
      <c r="H191">
        <f ca="1">IFERROR(IF(0=LEN(ReferenceData!$H$191),"",ReferenceData!$H$191),"")</f>
        <v>242495.33410000001</v>
      </c>
      <c r="I191">
        <f ca="1">IFERROR(IF(0=LEN(ReferenceData!$I$191),"",ReferenceData!$I$191),"")</f>
        <v>244299.74969999999</v>
      </c>
      <c r="J191">
        <f ca="1">IFERROR(IF(0=LEN(ReferenceData!$J$191),"",ReferenceData!$J$191),"")</f>
        <v>247316.5221</v>
      </c>
      <c r="K191">
        <f ca="1">IFERROR(IF(0=LEN(ReferenceData!$K$191),"",ReferenceData!$K$191),"")</f>
        <v>257039.1378</v>
      </c>
      <c r="L191">
        <f ca="1">IFERROR(IF(0=LEN(ReferenceData!$L$191),"",ReferenceData!$L$191),"")</f>
        <v>277969.40830000001</v>
      </c>
      <c r="M191">
        <f ca="1">IFERROR(IF(0=LEN(ReferenceData!$M$191),"",ReferenceData!$M$191),"")</f>
        <v>166844.2359</v>
      </c>
      <c r="N191">
        <f ca="1">IFERROR(IF(0=LEN(ReferenceData!$N$191),"",ReferenceData!$N$191),"")</f>
        <v>170924.28339999999</v>
      </c>
      <c r="O191">
        <f ca="1">IFERROR(IF(0=LEN(ReferenceData!$O$191),"",ReferenceData!$O$191),"")</f>
        <v>185065.37280000001</v>
      </c>
      <c r="P191">
        <f ca="1">IFERROR(IF(0=LEN(ReferenceData!$P$191),"",ReferenceData!$P$191),"")</f>
        <v>180356.76809999999</v>
      </c>
      <c r="Q191">
        <f ca="1">IFERROR(IF(0=LEN(ReferenceData!$Q$191),"",ReferenceData!$Q$191),"")</f>
        <v>175115.50260000001</v>
      </c>
      <c r="R191">
        <f ca="1">IFERROR(IF(0=LEN(ReferenceData!$R$191),"",ReferenceData!$R$191),"")</f>
        <v>215549.79800000001</v>
      </c>
      <c r="S191">
        <f ca="1">IFERROR(IF(0=LEN(ReferenceData!$S$191),"",ReferenceData!$S$191),"")</f>
        <v>208333.7654</v>
      </c>
      <c r="T191">
        <f ca="1">IFERROR(IF(0=LEN(ReferenceData!$T$191),"",ReferenceData!$T$191),"")</f>
        <v>204045.06709999999</v>
      </c>
      <c r="U191">
        <f ca="1">IFERROR(IF(0=LEN(ReferenceData!$U$191),"",ReferenceData!$U$191),"")</f>
        <v>199297.87229999999</v>
      </c>
      <c r="V191">
        <f ca="1">IFERROR(IF(0=LEN(ReferenceData!$V$191),"",ReferenceData!$V$191),"")</f>
        <v>189172.1881</v>
      </c>
      <c r="W191">
        <f ca="1">IFERROR(IF(0=LEN(ReferenceData!$W$191),"",ReferenceData!$W$191),"")</f>
        <v>186690.8377</v>
      </c>
      <c r="X191">
        <f ca="1">IFERROR(IF(0=LEN(ReferenceData!$X$191),"",ReferenceData!$X$191),"")</f>
        <v>185630.16990000001</v>
      </c>
      <c r="Y191">
        <f ca="1">IFERROR(IF(0=LEN(ReferenceData!$Y$191),"",ReferenceData!$Y$191),"")</f>
        <v>187157.96189999999</v>
      </c>
      <c r="Z191">
        <f ca="1">IFERROR(IF(0=LEN(ReferenceData!$Z$191),"",ReferenceData!$Z$191),"")</f>
        <v>172327.0104</v>
      </c>
      <c r="AA191">
        <f ca="1">IFERROR(IF(0=LEN(ReferenceData!$AA$191),"",ReferenceData!$AA$191),"")</f>
        <v>294374.94270000001</v>
      </c>
      <c r="AB191">
        <f ca="1">IFERROR(IF(0=LEN(ReferenceData!$AB$191),"",ReferenceData!$AB$191),"")</f>
        <v>284716.9645</v>
      </c>
      <c r="AC191">
        <f ca="1">IFERROR(IF(0=LEN(ReferenceData!$AC$191),"",ReferenceData!$AC$191),"")</f>
        <v>284438.10710000002</v>
      </c>
      <c r="AD191">
        <f ca="1">IFERROR(IF(0=LEN(ReferenceData!$AD$191),"",ReferenceData!$AD$191),"")</f>
        <v>118541.73940000001</v>
      </c>
      <c r="AE191">
        <f ca="1">IFERROR(IF(0=LEN(ReferenceData!$AE$191),"",ReferenceData!$AE$191),"")</f>
        <v>120556.2252</v>
      </c>
      <c r="AF191">
        <f ca="1">IFERROR(IF(0=LEN(ReferenceData!$AF$191),"",ReferenceData!$AF$191),"")</f>
        <v>273099.2549</v>
      </c>
      <c r="AG191">
        <f ca="1">IFERROR(IF(0=LEN(ReferenceData!$AG$191),"",ReferenceData!$AG$191),"")</f>
        <v>257010.62710000001</v>
      </c>
      <c r="AH191">
        <f ca="1">IFERROR(IF(0=LEN(ReferenceData!$AH$191),"",ReferenceData!$AH$191),"")</f>
        <v>130658.7922</v>
      </c>
      <c r="AI191" t="str">
        <f ca="1">IFERROR(IF(0=LEN(ReferenceData!$AI$191),"",ReferenceData!$AI$191),"")</f>
        <v/>
      </c>
      <c r="AJ191" t="str">
        <f ca="1">IFERROR(IF(0=LEN(ReferenceData!$AJ$191),"",ReferenceData!$AJ$191),"")</f>
        <v/>
      </c>
      <c r="AK191" t="str">
        <f ca="1">IFERROR(IF(0=LEN(ReferenceData!$AK$191),"",ReferenceData!$AK$191),"")</f>
        <v/>
      </c>
      <c r="AL191">
        <f ca="1">IFERROR(IF(0=LEN(ReferenceData!$AL$191),"",ReferenceData!$AL$191),"")</f>
        <v>135116.96669999999</v>
      </c>
      <c r="AM191" t="str">
        <f ca="1">IFERROR(IF(0=LEN(ReferenceData!$AM$191),"",ReferenceData!$AM$191),"")</f>
        <v/>
      </c>
      <c r="AN191" t="str">
        <f ca="1">IFERROR(IF(0=LEN(ReferenceData!$AN$191),"",ReferenceData!$AN$191),"")</f>
        <v/>
      </c>
      <c r="AO191" t="str">
        <f ca="1">IFERROR(IF(0=LEN(ReferenceData!$AO$191),"",ReferenceData!$AO$191),"")</f>
        <v/>
      </c>
      <c r="AP191">
        <f ca="1">IFERROR(IF(0=LEN(ReferenceData!$AP$191),"",ReferenceData!$AP$191),"")</f>
        <v>137650.35089999999</v>
      </c>
      <c r="AQ191" t="str">
        <f ca="1">IFERROR(IF(0=LEN(ReferenceData!$AQ$191),"",ReferenceData!$AQ$191),"")</f>
        <v/>
      </c>
      <c r="AR191" t="str">
        <f ca="1">IFERROR(IF(0=LEN(ReferenceData!$AR$191),"",ReferenceData!$AR$191),"")</f>
        <v/>
      </c>
      <c r="AS191" t="str">
        <f ca="1">IFERROR(IF(0=LEN(ReferenceData!$AS$191),"",ReferenceData!$AS$191),"")</f>
        <v/>
      </c>
      <c r="AT191">
        <f ca="1">IFERROR(IF(0=LEN(ReferenceData!$AT$191),"",ReferenceData!$AT$191),"")</f>
        <v>126144.68919999999</v>
      </c>
      <c r="AU191" t="str">
        <f ca="1">IFERROR(IF(0=LEN(ReferenceData!$AU$191),"",ReferenceData!$AU$191),"")</f>
        <v/>
      </c>
      <c r="AV191" t="str">
        <f ca="1">IFERROR(IF(0=LEN(ReferenceData!$AV$191),"",ReferenceData!$AV$191),"")</f>
        <v/>
      </c>
      <c r="AW191" t="str">
        <f ca="1">IFERROR(IF(0=LEN(ReferenceData!$AW$191),"",ReferenceData!$AW$191),"")</f>
        <v/>
      </c>
      <c r="AX191">
        <f ca="1">IFERROR(IF(0=LEN(ReferenceData!$AX$191),"",ReferenceData!$AX$191),"")</f>
        <v>104121.4274</v>
      </c>
      <c r="AY191" t="str">
        <f ca="1">IFERROR(IF(0=LEN(ReferenceData!$AY$191),"",ReferenceData!$AY$191),"")</f>
        <v/>
      </c>
      <c r="AZ191" t="str">
        <f ca="1">IFERROR(IF(0=LEN(ReferenceData!$AZ$191),"",ReferenceData!$AZ$191),"")</f>
        <v/>
      </c>
      <c r="BA191" t="str">
        <f ca="1">IFERROR(IF(0=LEN(ReferenceData!$BA$191),"",ReferenceData!$BA$191),"")</f>
        <v/>
      </c>
      <c r="BB191">
        <f ca="1">IFERROR(IF(0=LEN(ReferenceData!$BB$191),"",ReferenceData!$BB$191),"")</f>
        <v>104517.1903</v>
      </c>
      <c r="BC191" t="str">
        <f ca="1">IFERROR(IF(0=LEN(ReferenceData!$BC$191),"",ReferenceData!$BC$191),"")</f>
        <v/>
      </c>
      <c r="BD191" t="str">
        <f ca="1">IFERROR(IF(0=LEN(ReferenceData!$BD$191),"",ReferenceData!$BD$191),"")</f>
        <v/>
      </c>
      <c r="BE191" t="str">
        <f ca="1">IFERROR(IF(0=LEN(ReferenceData!$BE$191),"",ReferenceData!$BE$191),"")</f>
        <v/>
      </c>
      <c r="BF191">
        <f ca="1">IFERROR(IF(0=LEN(ReferenceData!$BF$191),"",ReferenceData!$BF$191),"")</f>
        <v>98973.725149999998</v>
      </c>
      <c r="BG191" t="str">
        <f ca="1">IFERROR(IF(0=LEN(ReferenceData!$BG$191),"",ReferenceData!$BG$191),"")</f>
        <v/>
      </c>
      <c r="BH191" t="str">
        <f ca="1">IFERROR(IF(0=LEN(ReferenceData!$BH$191),"",ReferenceData!$BH$191),"")</f>
        <v/>
      </c>
      <c r="BI191" t="str">
        <f ca="1">IFERROR(IF(0=LEN(ReferenceData!$BI$191),"",ReferenceData!$BI$191),"")</f>
        <v/>
      </c>
      <c r="BJ191">
        <f ca="1">IFERROR(IF(0=LEN(ReferenceData!$BJ$191),"",ReferenceData!$BJ$191),"")</f>
        <v>97018.168000000005</v>
      </c>
      <c r="BK191" t="str">
        <f ca="1">IFERROR(IF(0=LEN(ReferenceData!$BK$191),"",ReferenceData!$BK$191),"")</f>
        <v/>
      </c>
      <c r="BL191" t="str">
        <f ca="1">IFERROR(IF(0=LEN(ReferenceData!$BL$191),"",ReferenceData!$BL$191),"")</f>
        <v/>
      </c>
      <c r="BM191" t="str">
        <f ca="1">IFERROR(IF(0=LEN(ReferenceData!$BM$191),"",ReferenceData!$BM$191),"")</f>
        <v/>
      </c>
    </row>
    <row r="192" spans="1:65" x14ac:dyDescent="0.25">
      <c r="A192" t="str">
        <f>IFERROR(IF(0=LEN(ReferenceData!$A$192),"",ReferenceData!$A$192),"")</f>
        <v xml:space="preserve">    UniCredit SpA</v>
      </c>
      <c r="B192" t="str">
        <f>IFERROR(IF(0=LEN(ReferenceData!$B$192),"",ReferenceData!$B$192),"")</f>
        <v>UCG IM Equity</v>
      </c>
      <c r="C192" t="str">
        <f>IFERROR(IF(0=LEN(ReferenceData!$C$192),"",ReferenceData!$C$192),"")</f>
        <v>BS018</v>
      </c>
      <c r="D192" t="str">
        <f>IFERROR(IF(0=LEN(ReferenceData!$D$192),"",ReferenceData!$D$192),"")</f>
        <v>BS_OTHER_LOAN</v>
      </c>
      <c r="E192" t="str">
        <f>IFERROR(IF(0=LEN(ReferenceData!$E$192),"",ReferenceData!$E$192),"")</f>
        <v>Dynamic</v>
      </c>
      <c r="F192">
        <f ca="1">IFERROR(IF(0=LEN(ReferenceData!$F$192),"",ReferenceData!$F$192),"")</f>
        <v>189894</v>
      </c>
      <c r="G192" t="str">
        <f ca="1">IFERROR(IF(0=LEN(ReferenceData!$G$192),"",ReferenceData!$G$192),"")</f>
        <v/>
      </c>
      <c r="H192">
        <f ca="1">IFERROR(IF(0=LEN(ReferenceData!$H$192),"",ReferenceData!$H$192),"")</f>
        <v>188973</v>
      </c>
      <c r="I192" t="str">
        <f ca="1">IFERROR(IF(0=LEN(ReferenceData!$I$192),"",ReferenceData!$I$192),"")</f>
        <v/>
      </c>
      <c r="J192">
        <f ca="1">IFERROR(IF(0=LEN(ReferenceData!$J$192),"",ReferenceData!$J$192),"")</f>
        <v>193208</v>
      </c>
      <c r="K192" t="str">
        <f ca="1">IFERROR(IF(0=LEN(ReferenceData!$K$192),"",ReferenceData!$K$192),"")</f>
        <v/>
      </c>
      <c r="L192">
        <f ca="1">IFERROR(IF(0=LEN(ReferenceData!$L$192),"",ReferenceData!$L$192),"")</f>
        <v>200101</v>
      </c>
      <c r="M192" t="str">
        <f ca="1">IFERROR(IF(0=LEN(ReferenceData!$M$192),"",ReferenceData!$M$192),"")</f>
        <v/>
      </c>
      <c r="N192">
        <f ca="1">IFERROR(IF(0=LEN(ReferenceData!$N$192),"",ReferenceData!$N$192),"")</f>
        <v>209860</v>
      </c>
      <c r="O192" t="str">
        <f ca="1">IFERROR(IF(0=LEN(ReferenceData!$O$192),"",ReferenceData!$O$192),"")</f>
        <v/>
      </c>
      <c r="P192">
        <f ca="1">IFERROR(IF(0=LEN(ReferenceData!$P$192),"",ReferenceData!$P$192),"")</f>
        <v>212832</v>
      </c>
      <c r="Q192" t="str">
        <f ca="1">IFERROR(IF(0=LEN(ReferenceData!$Q$192),"",ReferenceData!$Q$192),"")</f>
        <v/>
      </c>
      <c r="R192">
        <f ca="1">IFERROR(IF(0=LEN(ReferenceData!$R$192),"",ReferenceData!$R$192),"")</f>
        <v>215324</v>
      </c>
      <c r="S192" t="str">
        <f ca="1">IFERROR(IF(0=LEN(ReferenceData!$S$192),"",ReferenceData!$S$192),"")</f>
        <v/>
      </c>
      <c r="T192">
        <f ca="1">IFERROR(IF(0=LEN(ReferenceData!$T$192),"",ReferenceData!$T$192),"")</f>
        <v>209015</v>
      </c>
      <c r="U192" t="str">
        <f ca="1">IFERROR(IF(0=LEN(ReferenceData!$U$192),"",ReferenceData!$U$192),"")</f>
        <v/>
      </c>
      <c r="V192">
        <f ca="1">IFERROR(IF(0=LEN(ReferenceData!$V$192),"",ReferenceData!$V$192),"")</f>
        <v>209466</v>
      </c>
      <c r="W192" t="str">
        <f ca="1">IFERROR(IF(0=LEN(ReferenceData!$W$192),"",ReferenceData!$W$192),"")</f>
        <v/>
      </c>
      <c r="X192">
        <f ca="1">IFERROR(IF(0=LEN(ReferenceData!$X$192),"",ReferenceData!$X$192),"")</f>
        <v>226584</v>
      </c>
      <c r="Y192" t="str">
        <f ca="1">IFERROR(IF(0=LEN(ReferenceData!$Y$192),"",ReferenceData!$Y$192),"")</f>
        <v/>
      </c>
      <c r="Z192">
        <f ca="1">IFERROR(IF(0=LEN(ReferenceData!$Z$192),"",ReferenceData!$Z$192),"")</f>
        <v>220370</v>
      </c>
      <c r="AA192" t="str">
        <f ca="1">IFERROR(IF(0=LEN(ReferenceData!$AA$192),"",ReferenceData!$AA$192),"")</f>
        <v/>
      </c>
      <c r="AB192">
        <f ca="1">IFERROR(IF(0=LEN(ReferenceData!$AB$192),"",ReferenceData!$AB$192),"")</f>
        <v>232376</v>
      </c>
      <c r="AC192" t="str">
        <f ca="1">IFERROR(IF(0=LEN(ReferenceData!$AC$192),"",ReferenceData!$AC$192),"")</f>
        <v/>
      </c>
      <c r="AD192">
        <f ca="1">IFERROR(IF(0=LEN(ReferenceData!$AD$192),"",ReferenceData!$AD$192),"")</f>
        <v>236594</v>
      </c>
      <c r="AE192" t="str">
        <f ca="1">IFERROR(IF(0=LEN(ReferenceData!$AE$192),"",ReferenceData!$AE$192),"")</f>
        <v/>
      </c>
      <c r="AF192">
        <f ca="1">IFERROR(IF(0=LEN(ReferenceData!$AF$192),"",ReferenceData!$AF$192),"")</f>
        <v>269083.04599999997</v>
      </c>
      <c r="AG192" t="str">
        <f ca="1">IFERROR(IF(0=LEN(ReferenceData!$AG$192),"",ReferenceData!$AG$192),"")</f>
        <v/>
      </c>
      <c r="AH192" t="str">
        <f ca="1">IFERROR(IF(0=LEN(ReferenceData!$AH$192),"",ReferenceData!$AH$192),"")</f>
        <v/>
      </c>
      <c r="AI192" t="str">
        <f ca="1">IFERROR(IF(0=LEN(ReferenceData!$AI$192),"",ReferenceData!$AI$192),"")</f>
        <v/>
      </c>
      <c r="AJ192" t="str">
        <f ca="1">IFERROR(IF(0=LEN(ReferenceData!$AJ$192),"",ReferenceData!$AJ$192),"")</f>
        <v/>
      </c>
      <c r="AK192" t="str">
        <f ca="1">IFERROR(IF(0=LEN(ReferenceData!$AK$192),"",ReferenceData!$AK$192),"")</f>
        <v/>
      </c>
      <c r="AL192" t="str">
        <f ca="1">IFERROR(IF(0=LEN(ReferenceData!$AL$192),"",ReferenceData!$AL$192),"")</f>
        <v/>
      </c>
      <c r="AM192" t="str">
        <f ca="1">IFERROR(IF(0=LEN(ReferenceData!$AM$192),"",ReferenceData!$AM$192),"")</f>
        <v/>
      </c>
      <c r="AN192" t="str">
        <f ca="1">IFERROR(IF(0=LEN(ReferenceData!$AN$192),"",ReferenceData!$AN$192),"")</f>
        <v/>
      </c>
      <c r="AO192" t="str">
        <f ca="1">IFERROR(IF(0=LEN(ReferenceData!$AO$192),"",ReferenceData!$AO$192),"")</f>
        <v/>
      </c>
      <c r="AP192" t="str">
        <f ca="1">IFERROR(IF(0=LEN(ReferenceData!$AP$192),"",ReferenceData!$AP$192),"")</f>
        <v/>
      </c>
      <c r="AQ192" t="str">
        <f ca="1">IFERROR(IF(0=LEN(ReferenceData!$AQ$192),"",ReferenceData!$AQ$192),"")</f>
        <v/>
      </c>
      <c r="AR192" t="str">
        <f ca="1">IFERROR(IF(0=LEN(ReferenceData!$AR$192),"",ReferenceData!$AR$192),"")</f>
        <v/>
      </c>
      <c r="AS192" t="str">
        <f ca="1">IFERROR(IF(0=LEN(ReferenceData!$AS$192),"",ReferenceData!$AS$192),"")</f>
        <v/>
      </c>
      <c r="AT192" t="str">
        <f ca="1">IFERROR(IF(0=LEN(ReferenceData!$AT$192),"",ReferenceData!$AT$192),"")</f>
        <v/>
      </c>
      <c r="AU192" t="str">
        <f ca="1">IFERROR(IF(0=LEN(ReferenceData!$AU$192),"",ReferenceData!$AU$192),"")</f>
        <v/>
      </c>
      <c r="AV192" t="str">
        <f ca="1">IFERROR(IF(0=LEN(ReferenceData!$AV$192),"",ReferenceData!$AV$192),"")</f>
        <v/>
      </c>
      <c r="AW192" t="str">
        <f ca="1">IFERROR(IF(0=LEN(ReferenceData!$AW$192),"",ReferenceData!$AW$192),"")</f>
        <v/>
      </c>
      <c r="AX192" t="str">
        <f ca="1">IFERROR(IF(0=LEN(ReferenceData!$AX$192),"",ReferenceData!$AX$192),"")</f>
        <v/>
      </c>
      <c r="AY192" t="str">
        <f ca="1">IFERROR(IF(0=LEN(ReferenceData!$AY$192),"",ReferenceData!$AY$192),"")</f>
        <v/>
      </c>
      <c r="AZ192" t="str">
        <f ca="1">IFERROR(IF(0=LEN(ReferenceData!$AZ$192),"",ReferenceData!$AZ$192),"")</f>
        <v/>
      </c>
      <c r="BA192" t="str">
        <f ca="1">IFERROR(IF(0=LEN(ReferenceData!$BA$192),"",ReferenceData!$BA$192),"")</f>
        <v/>
      </c>
      <c r="BB192" t="str">
        <f ca="1">IFERROR(IF(0=LEN(ReferenceData!$BB$192),"",ReferenceData!$BB$192),"")</f>
        <v/>
      </c>
      <c r="BC192" t="str">
        <f ca="1">IFERROR(IF(0=LEN(ReferenceData!$BC$192),"",ReferenceData!$BC$192),"")</f>
        <v/>
      </c>
      <c r="BD192" t="str">
        <f ca="1">IFERROR(IF(0=LEN(ReferenceData!$BD$192),"",ReferenceData!$BD$192),"")</f>
        <v/>
      </c>
      <c r="BE192" t="str">
        <f ca="1">IFERROR(IF(0=LEN(ReferenceData!$BE$192),"",ReferenceData!$BE$192),"")</f>
        <v/>
      </c>
      <c r="BF192" t="str">
        <f ca="1">IFERROR(IF(0=LEN(ReferenceData!$BF$192),"",ReferenceData!$BF$192),"")</f>
        <v/>
      </c>
      <c r="BG192" t="str">
        <f ca="1">IFERROR(IF(0=LEN(ReferenceData!$BG$192),"",ReferenceData!$BG$192),"")</f>
        <v/>
      </c>
      <c r="BH192" t="str">
        <f ca="1">IFERROR(IF(0=LEN(ReferenceData!$BH$192),"",ReferenceData!$BH$192),"")</f>
        <v/>
      </c>
      <c r="BI192" t="str">
        <f ca="1">IFERROR(IF(0=LEN(ReferenceData!$BI$192),"",ReferenceData!$BI$192),"")</f>
        <v/>
      </c>
      <c r="BJ192" t="str">
        <f ca="1">IFERROR(IF(0=LEN(ReferenceData!$BJ$192),"",ReferenceData!$BJ$192),"")</f>
        <v/>
      </c>
      <c r="BK192" t="str">
        <f ca="1">IFERROR(IF(0=LEN(ReferenceData!$BK$192),"",ReferenceData!$BK$192),"")</f>
        <v/>
      </c>
      <c r="BL192" t="str">
        <f ca="1">IFERROR(IF(0=LEN(ReferenceData!$BL$192),"",ReferenceData!$BL$192),"")</f>
        <v/>
      </c>
      <c r="BM192" t="str">
        <f ca="1">IFERROR(IF(0=LEN(ReferenceData!$BM$192),"",ReferenceData!$BM$192),"")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423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125" width="9.140625" bestFit="1" customWidth="1"/>
  </cols>
  <sheetData>
    <row r="1" spans="1:1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ReferenceData!$C$414</f>
        <v>2024 Q4</v>
      </c>
      <c r="G2" s="1" t="str">
        <f>ReferenceData!$D$414</f>
        <v>2024 Q3</v>
      </c>
      <c r="H2" s="1" t="str">
        <f>ReferenceData!$E$414</f>
        <v>2024 Q2</v>
      </c>
      <c r="I2" s="1" t="str">
        <f>ReferenceData!$F$414</f>
        <v>2024 Q1</v>
      </c>
      <c r="J2" s="1" t="str">
        <f>ReferenceData!$G$414</f>
        <v>2023 Q4</v>
      </c>
      <c r="K2" s="1" t="str">
        <f>ReferenceData!$H$414</f>
        <v>2023 Q3</v>
      </c>
      <c r="L2" s="1" t="str">
        <f>ReferenceData!$I$414</f>
        <v>2023 Q2</v>
      </c>
      <c r="M2" s="1" t="str">
        <f>ReferenceData!$J$414</f>
        <v>2023 Q1</v>
      </c>
      <c r="N2" s="1" t="str">
        <f>ReferenceData!$K$414</f>
        <v>2022 Q4</v>
      </c>
      <c r="O2" s="1" t="str">
        <f>ReferenceData!$L$414</f>
        <v>2022 Q3</v>
      </c>
      <c r="P2" s="1" t="str">
        <f>ReferenceData!$M$414</f>
        <v>2022 Q2</v>
      </c>
      <c r="Q2" s="1" t="str">
        <f>ReferenceData!$N$414</f>
        <v>2022 Q1</v>
      </c>
      <c r="R2" s="1" t="str">
        <f>ReferenceData!$O$414</f>
        <v>2021 Q4</v>
      </c>
      <c r="S2" s="1" t="str">
        <f>ReferenceData!$P$414</f>
        <v>2021 Q3</v>
      </c>
      <c r="T2" s="1" t="str">
        <f>ReferenceData!$Q$414</f>
        <v>2021 Q2</v>
      </c>
      <c r="U2" s="1" t="str">
        <f>ReferenceData!$R$414</f>
        <v>2021 Q1</v>
      </c>
      <c r="V2" s="1" t="str">
        <f>ReferenceData!$S$414</f>
        <v>2020 Q4</v>
      </c>
      <c r="W2" s="1" t="str">
        <f>ReferenceData!$T$414</f>
        <v>2020 Q3</v>
      </c>
      <c r="X2" s="1" t="str">
        <f>ReferenceData!$U$414</f>
        <v>2020 Q2</v>
      </c>
      <c r="Y2" s="1" t="str">
        <f>ReferenceData!$V$414</f>
        <v>2020 Q1</v>
      </c>
      <c r="Z2" s="1" t="str">
        <f>ReferenceData!$W$414</f>
        <v>2019 Q4</v>
      </c>
      <c r="AA2" s="1" t="str">
        <f>ReferenceData!$X$414</f>
        <v>2019 Q3</v>
      </c>
      <c r="AB2" s="1" t="str">
        <f>ReferenceData!$Y$414</f>
        <v>2019 Q2</v>
      </c>
      <c r="AC2" s="1" t="str">
        <f>ReferenceData!$Z$414</f>
        <v>2019 Q1</v>
      </c>
      <c r="AD2" s="1" t="str">
        <f>ReferenceData!$AA$414</f>
        <v>2018 Q4</v>
      </c>
      <c r="AE2" s="1" t="str">
        <f>ReferenceData!$AB$414</f>
        <v>2018 Q3</v>
      </c>
      <c r="AF2" s="1" t="str">
        <f>ReferenceData!$AC$414</f>
        <v>2018 Q2</v>
      </c>
      <c r="AG2" s="1" t="str">
        <f>ReferenceData!$AD$414</f>
        <v>2018 Q1</v>
      </c>
      <c r="AH2" s="1" t="str">
        <f>ReferenceData!$AE$414</f>
        <v>2017 Q4</v>
      </c>
      <c r="AI2" s="1" t="str">
        <f>ReferenceData!$AF$414</f>
        <v>2017 Q3</v>
      </c>
      <c r="AJ2" s="1" t="str">
        <f>ReferenceData!$AG$414</f>
        <v>2017 Q2</v>
      </c>
      <c r="AK2" s="1" t="str">
        <f>ReferenceData!$AH$414</f>
        <v>2017 Q1</v>
      </c>
      <c r="AL2" s="1" t="str">
        <f>ReferenceData!$AI$414</f>
        <v>2016 Q4</v>
      </c>
      <c r="AM2" s="1" t="str">
        <f>ReferenceData!$AJ$414</f>
        <v>2016 Q3</v>
      </c>
      <c r="AN2" s="1" t="str">
        <f>ReferenceData!$AK$414</f>
        <v>2016 Q2</v>
      </c>
      <c r="AO2" s="1" t="str">
        <f>ReferenceData!$AL$414</f>
        <v>2016 Q1</v>
      </c>
      <c r="AP2" s="1" t="str">
        <f>ReferenceData!$AM$414</f>
        <v>2015 Q4</v>
      </c>
      <c r="AQ2" s="1" t="str">
        <f>ReferenceData!$AN$414</f>
        <v>2015 Q3</v>
      </c>
      <c r="AR2" s="1" t="str">
        <f>ReferenceData!$AO$414</f>
        <v>2015 Q2</v>
      </c>
      <c r="AS2" s="1" t="str">
        <f>ReferenceData!$AP$414</f>
        <v>2015 Q1</v>
      </c>
      <c r="AT2" s="1" t="str">
        <f>ReferenceData!$AQ$414</f>
        <v>2014 Q4</v>
      </c>
      <c r="AU2" s="1" t="str">
        <f>ReferenceData!$AR$414</f>
        <v>2014 Q3</v>
      </c>
      <c r="AV2" s="1" t="str">
        <f>ReferenceData!$AS$414</f>
        <v>2014 Q2</v>
      </c>
      <c r="AW2" s="1" t="str">
        <f>ReferenceData!$AT$414</f>
        <v>2014 Q1</v>
      </c>
      <c r="AX2" s="1" t="str">
        <f>ReferenceData!$AU$414</f>
        <v>2013 Q4</v>
      </c>
      <c r="AY2" s="1" t="str">
        <f>ReferenceData!$AV$414</f>
        <v>2013 Q3</v>
      </c>
      <c r="AZ2" s="1" t="str">
        <f>ReferenceData!$AW$414</f>
        <v>2013 Q2</v>
      </c>
      <c r="BA2" s="1" t="str">
        <f>ReferenceData!$AX$414</f>
        <v>2013 Q1</v>
      </c>
      <c r="BB2" s="1" t="str">
        <f>ReferenceData!$AY$414</f>
        <v>2012 Q4</v>
      </c>
      <c r="BC2" s="1" t="str">
        <f>ReferenceData!$AZ$414</f>
        <v>2012 Q3</v>
      </c>
      <c r="BD2" s="1" t="str">
        <f>ReferenceData!$BA$414</f>
        <v>2012 Q2</v>
      </c>
      <c r="BE2" s="1" t="str">
        <f>ReferenceData!$BB$414</f>
        <v>2012 Q1</v>
      </c>
      <c r="BF2" s="1" t="str">
        <f>ReferenceData!$BC$414</f>
        <v>2011 Q4</v>
      </c>
      <c r="BG2" s="1" t="str">
        <f>ReferenceData!$BD$414</f>
        <v>2011 Q3</v>
      </c>
      <c r="BH2" s="1" t="str">
        <f>ReferenceData!$BE$414</f>
        <v>2011 Q2</v>
      </c>
      <c r="BI2" s="1" t="str">
        <f>ReferenceData!$BF$414</f>
        <v>2011 Q1</v>
      </c>
      <c r="BJ2" s="1" t="str">
        <f>ReferenceData!$BG$414</f>
        <v>2010 Q4</v>
      </c>
      <c r="BK2" s="1" t="str">
        <f>ReferenceData!$BH$414</f>
        <v>2010 Q3</v>
      </c>
      <c r="BL2" s="1" t="str">
        <f>ReferenceData!$BI$414</f>
        <v>2010 Q2</v>
      </c>
      <c r="BM2" s="1" t="str">
        <f>ReferenceData!$BJ$414</f>
        <v>2010 Q1</v>
      </c>
      <c r="BN2" t="str">
        <f>$C$414</f>
        <v>2024 Q4</v>
      </c>
      <c r="BO2" t="str">
        <f>$D$414</f>
        <v>2024 Q3</v>
      </c>
      <c r="BP2" t="str">
        <f>$E$414</f>
        <v>2024 Q2</v>
      </c>
      <c r="BQ2" t="str">
        <f>$F$414</f>
        <v>2024 Q1</v>
      </c>
      <c r="BR2" t="str">
        <f>$G$414</f>
        <v>2023 Q4</v>
      </c>
      <c r="BS2" t="str">
        <f>$H$414</f>
        <v>2023 Q3</v>
      </c>
      <c r="BT2" t="str">
        <f>$I$414</f>
        <v>2023 Q2</v>
      </c>
      <c r="BU2" t="str">
        <f>$J$414</f>
        <v>2023 Q1</v>
      </c>
      <c r="BV2" t="str">
        <f>$K$414</f>
        <v>2022 Q4</v>
      </c>
      <c r="BW2" t="str">
        <f>$L$414</f>
        <v>2022 Q3</v>
      </c>
      <c r="BX2" t="str">
        <f>$M$414</f>
        <v>2022 Q2</v>
      </c>
      <c r="BY2" t="str">
        <f>$N$414</f>
        <v>2022 Q1</v>
      </c>
      <c r="BZ2" t="str">
        <f>$O$414</f>
        <v>2021 Q4</v>
      </c>
      <c r="CA2" t="str">
        <f>$P$414</f>
        <v>2021 Q3</v>
      </c>
      <c r="CB2" t="str">
        <f>$Q$414</f>
        <v>2021 Q2</v>
      </c>
      <c r="CC2" t="str">
        <f>$R$414</f>
        <v>2021 Q1</v>
      </c>
      <c r="CD2" t="str">
        <f>$S$414</f>
        <v>2020 Q4</v>
      </c>
      <c r="CE2" t="str">
        <f>$T$414</f>
        <v>2020 Q3</v>
      </c>
      <c r="CF2" t="str">
        <f>$U$414</f>
        <v>2020 Q2</v>
      </c>
      <c r="CG2" t="str">
        <f>$V$414</f>
        <v>2020 Q1</v>
      </c>
      <c r="CH2" t="str">
        <f>$W$414</f>
        <v>2019 Q4</v>
      </c>
      <c r="CI2" t="str">
        <f>$X$414</f>
        <v>2019 Q3</v>
      </c>
      <c r="CJ2" t="str">
        <f>$Y$414</f>
        <v>2019 Q2</v>
      </c>
      <c r="CK2" t="str">
        <f>$Z$414</f>
        <v>2019 Q1</v>
      </c>
      <c r="CL2" t="str">
        <f>$AA$414</f>
        <v>2018 Q4</v>
      </c>
      <c r="CM2" t="str">
        <f>$AB$414</f>
        <v>2018 Q3</v>
      </c>
      <c r="CN2" t="str">
        <f>$AC$414</f>
        <v>2018 Q2</v>
      </c>
      <c r="CO2" t="str">
        <f>$AD$414</f>
        <v>2018 Q1</v>
      </c>
      <c r="CP2" t="str">
        <f>$AE$414</f>
        <v>2017 Q4</v>
      </c>
      <c r="CQ2" t="str">
        <f>$AF$414</f>
        <v>2017 Q3</v>
      </c>
      <c r="CR2" t="str">
        <f>$AG$414</f>
        <v>2017 Q2</v>
      </c>
      <c r="CS2" t="str">
        <f>$AH$414</f>
        <v>2017 Q1</v>
      </c>
      <c r="CT2" t="str">
        <f>$AI$414</f>
        <v>2016 Q4</v>
      </c>
      <c r="CU2" t="str">
        <f>$AJ$414</f>
        <v>2016 Q3</v>
      </c>
      <c r="CV2" t="str">
        <f>$AK$414</f>
        <v>2016 Q2</v>
      </c>
      <c r="CW2" t="str">
        <f>$AL$414</f>
        <v>2016 Q1</v>
      </c>
      <c r="CX2" t="str">
        <f>$AM$414</f>
        <v>2015 Q4</v>
      </c>
      <c r="CY2" t="str">
        <f>$AN$414</f>
        <v>2015 Q3</v>
      </c>
      <c r="CZ2" t="str">
        <f>$AO$414</f>
        <v>2015 Q2</v>
      </c>
      <c r="DA2" t="str">
        <f>$AP$414</f>
        <v>2015 Q1</v>
      </c>
      <c r="DB2" t="str">
        <f>$AQ$414</f>
        <v>2014 Q4</v>
      </c>
      <c r="DC2" t="str">
        <f>$AR$414</f>
        <v>2014 Q3</v>
      </c>
      <c r="DD2" t="str">
        <f>$AS$414</f>
        <v>2014 Q2</v>
      </c>
      <c r="DE2" t="str">
        <f>$AT$414</f>
        <v>2014 Q1</v>
      </c>
      <c r="DF2" t="str">
        <f>$AU$414</f>
        <v>2013 Q4</v>
      </c>
      <c r="DG2" t="str">
        <f>$AV$414</f>
        <v>2013 Q3</v>
      </c>
      <c r="DH2" t="str">
        <f>$AW$414</f>
        <v>2013 Q2</v>
      </c>
      <c r="DI2" t="str">
        <f>$AX$414</f>
        <v>2013 Q1</v>
      </c>
      <c r="DJ2" t="str">
        <f>$AY$414</f>
        <v>2012 Q4</v>
      </c>
      <c r="DK2" t="str">
        <f>$AZ$414</f>
        <v>2012 Q3</v>
      </c>
      <c r="DL2" t="str">
        <f>$BA$414</f>
        <v>2012 Q2</v>
      </c>
      <c r="DM2" t="str">
        <f>$BB$414</f>
        <v>2012 Q1</v>
      </c>
      <c r="DN2" t="str">
        <f>$BC$414</f>
        <v>2011 Q4</v>
      </c>
      <c r="DO2" t="str">
        <f>$BD$414</f>
        <v>2011 Q3</v>
      </c>
      <c r="DP2" t="str">
        <f>$BE$414</f>
        <v>2011 Q2</v>
      </c>
      <c r="DQ2" t="str">
        <f>$BF$414</f>
        <v>2011 Q1</v>
      </c>
      <c r="DR2" t="str">
        <f>$BG$414</f>
        <v>2010 Q4</v>
      </c>
      <c r="DS2" t="str">
        <f>$BH$414</f>
        <v>2010 Q3</v>
      </c>
      <c r="DT2" t="str">
        <f>$BI$414</f>
        <v>2010 Q2</v>
      </c>
      <c r="DU2" t="str">
        <f>$BJ$414</f>
        <v>2010 Q1</v>
      </c>
    </row>
    <row r="3" spans="1:125" x14ac:dyDescent="0.25">
      <c r="A3" t="str">
        <f>"Trading Assets"</f>
        <v>Trading Assets</v>
      </c>
      <c r="B3" t="str">
        <f>""</f>
        <v/>
      </c>
      <c r="E3" t="str">
        <f>"Sum"</f>
        <v>Sum</v>
      </c>
      <c r="F3">
        <f ca="1">IF(ISERROR(IF(SUM($F$4:$F$40) = 0, "", SUM($F$4:$F$40))), "", (IF(SUM($F$4:$F$40) = 0, "", SUM($F$4:$F$40))))</f>
        <v>2838707.9442960001</v>
      </c>
      <c r="G3">
        <f ca="1">IF(ISERROR(IF(SUM($G$4:$G$40) = 0, "", SUM($G$4:$G$40))), "", (IF(SUM($G$4:$G$40) = 0, "", SUM($G$4:$G$40))))</f>
        <v>2739666.6390630002</v>
      </c>
      <c r="H3">
        <f ca="1">IF(ISERROR(IF(SUM($H$4:$H$40) = 0, "", SUM($H$4:$H$40))), "", (IF(SUM($H$4:$H$40) = 0, "", SUM($H$4:$H$40))))</f>
        <v>2989025.7493400001</v>
      </c>
      <c r="I3">
        <f ca="1">IF(ISERROR(IF(SUM($I$4:$I$40) = 0, "", SUM($I$4:$I$40))), "", (IF(SUM($I$4:$I$40) = 0, "", SUM($I$4:$I$40))))</f>
        <v>2666473.0802699998</v>
      </c>
      <c r="J3">
        <f ca="1">IF(ISERROR(IF(SUM($J$4:$J$40) = 0, "", SUM($J$4:$J$40))), "", (IF(SUM($J$4:$J$40) = 0, "", SUM($J$4:$J$40))))</f>
        <v>2652618.0419609998</v>
      </c>
      <c r="K3">
        <f ca="1">IF(ISERROR(IF(SUM($K$4:$K$40) = 0, "", SUM($K$4:$K$40))), "", (IF(SUM($K$4:$K$40) = 0, "", SUM($K$4:$K$40))))</f>
        <v>2427045.2809910001</v>
      </c>
      <c r="L3">
        <f ca="1">IF(ISERROR(IF(SUM($L$4:$L$40) = 0, "", SUM($L$4:$L$40))), "", (IF(SUM($L$4:$L$40) = 0, "", SUM($L$4:$L$40))))</f>
        <v>2676692.7219420001</v>
      </c>
      <c r="M3">
        <f ca="1">IF(ISERROR(IF(SUM($M$4:$M$40) = 0, "", SUM($M$4:$M$40))), "", (IF(SUM($M$4:$M$40) = 0, "", SUM($M$4:$M$40))))</f>
        <v>2269329.1943280003</v>
      </c>
      <c r="N3">
        <f ca="1">IF(ISERROR(IF(SUM($N$4:$N$40) = 0, "", SUM($N$4:$N$40))), "", (IF(SUM($N$4:$N$40) = 0, "", SUM($N$4:$N$40))))</f>
        <v>2228838.3492690003</v>
      </c>
      <c r="O3">
        <f ca="1">IF(ISERROR(IF(SUM($O$4:$O$40) = 0, "", SUM($O$4:$O$40))), "", (IF(SUM($O$4:$O$40) = 0, "", SUM($O$4:$O$40))))</f>
        <v>2176125.1041620001</v>
      </c>
      <c r="P3">
        <f ca="1">IF(ISERROR(IF(SUM($P$4:$P$40) = 0, "", SUM($P$4:$P$40))), "", (IF(SUM($P$4:$P$40) = 0, "", SUM($P$4:$P$40))))</f>
        <v>2429509.2198990001</v>
      </c>
      <c r="Q3">
        <f ca="1">IF(ISERROR(IF(SUM($Q$4:$Q$40) = 0, "", SUM($Q$4:$Q$40))), "", (IF(SUM($Q$4:$Q$40) = 0, "", SUM($Q$4:$Q$40))))</f>
        <v>2235930.3558570002</v>
      </c>
      <c r="R3">
        <f ca="1">IF(ISERROR(IF(SUM($R$4:$R$40) = 0, "", SUM($R$4:$R$40))), "", (IF(SUM($R$4:$R$40) = 0, "", SUM($R$4:$R$40))))</f>
        <v>2277801.6516669998</v>
      </c>
      <c r="S3">
        <f ca="1">IF(ISERROR(IF(SUM($S$4:$S$40) = 0, "", SUM($S$4:$S$40))), "", (IF(SUM($S$4:$S$40) = 0, "", SUM($S$4:$S$40))))</f>
        <v>2297908.2712209998</v>
      </c>
      <c r="T3">
        <f ca="1">IF(ISERROR(IF(SUM($T$4:$T$40) = 0, "", SUM($T$4:$T$40))), "", (IF(SUM($T$4:$T$40) = 0, "", SUM($T$4:$T$40))))</f>
        <v>2507287.4633099996</v>
      </c>
      <c r="U3">
        <f ca="1">IF(ISERROR(IF(SUM($U$4:$U$40) = 0, "", SUM($U$4:$U$40))), "", (IF(SUM($U$4:$U$40) = 0, "", SUM($U$4:$U$40))))</f>
        <v>2248873.6127499999</v>
      </c>
      <c r="V3">
        <f ca="1">IF(ISERROR(IF(SUM($V$4:$V$40) = 0, "", SUM($V$4:$V$40))), "", (IF(SUM($V$4:$V$40) = 0, "", SUM($V$4:$V$40))))</f>
        <v>2318560.5496125994</v>
      </c>
      <c r="W3">
        <f ca="1">IF(ISERROR(IF(SUM($W$4:$W$40) = 0, "", SUM($W$4:$W$40))), "", (IF(SUM($W$4:$W$40) = 0, "", SUM($W$4:$W$40))))</f>
        <v>2156409.0588720003</v>
      </c>
      <c r="X3">
        <f ca="1">IF(ISERROR(IF(SUM($X$4:$X$40) = 0, "", SUM($X$4:$X$40))), "", (IF(SUM($X$4:$X$40) = 0, "", SUM($X$4:$X$40))))</f>
        <v>2407257.6468830002</v>
      </c>
      <c r="Y3">
        <f ca="1">IF(ISERROR(IF(SUM($Y$4:$Y$40) = 0, "", SUM($Y$4:$Y$40))), "", (IF(SUM($Y$4:$Y$40) = 0, "", SUM($Y$4:$Y$40))))</f>
        <v>2273998.3759030001</v>
      </c>
      <c r="Z3">
        <f ca="1">IF(ISERROR(IF(SUM($Z$4:$Z$40) = 0, "", SUM($Z$4:$Z$40))), "", (IF(SUM($Z$4:$Z$40) = 0, "", SUM($Z$4:$Z$40))))</f>
        <v>2084553.5586513001</v>
      </c>
      <c r="AA3">
        <f ca="1">IF(ISERROR(IF(SUM($AA$4:$AA$40) = 0, "", SUM($AA$4:$AA$40))), "", (IF(SUM($AA$4:$AA$40) = 0, "", SUM($AA$4:$AA$40))))</f>
        <v>2256246.2732609999</v>
      </c>
      <c r="AB3">
        <f ca="1">IF(ISERROR(IF(SUM($AB$4:$AB$40) = 0, "", SUM($AB$4:$AB$40))), "", (IF(SUM($AB$4:$AB$40) = 0, "", SUM($AB$4:$AB$40))))</f>
        <v>2401012.0659040003</v>
      </c>
      <c r="AC3">
        <f ca="1">IF(ISERROR(IF(SUM($AC$4:$AC$40) = 0, "", SUM($AC$4:$AC$40))), "", (IF(SUM($AC$4:$AC$40) = 0, "", SUM($AC$4:$AC$40))))</f>
        <v>2074442.7723319</v>
      </c>
      <c r="AD3">
        <f ca="1">IF(ISERROR(IF(SUM($AD$4:$AD$40) = 0, "", SUM($AD$4:$AD$40))), "", (IF(SUM($AD$4:$AD$40) = 0, "", SUM($AD$4:$AD$40))))</f>
        <v>1962107.2663082001</v>
      </c>
      <c r="AE3">
        <f ca="1">IF(ISERROR(IF(SUM($AE$4:$AE$40) = 0, "", SUM($AE$4:$AE$40))), "", (IF(SUM($AE$4:$AE$40) = 0, "", SUM($AE$4:$AE$40))))</f>
        <v>1653253.6263550001</v>
      </c>
      <c r="AF3">
        <f ca="1">IF(ISERROR(IF(SUM($AF$4:$AF$40) = 0, "", SUM($AF$4:$AF$40))), "", (IF(SUM($AF$4:$AF$40) = 0, "", SUM($AF$4:$AF$40))))</f>
        <v>2183133.5237560002</v>
      </c>
      <c r="AG3">
        <f ca="1">IF(ISERROR(IF(SUM($AG$4:$AG$40) = 0, "", SUM($AG$4:$AG$40))), "", (IF(SUM($AG$4:$AG$40) = 0, "", SUM($AG$4:$AG$40))))</f>
        <v>1906372.2069024998</v>
      </c>
      <c r="AH3">
        <f ca="1">IF(ISERROR(IF(SUM($AH$4:$AH$40) = 0, "", SUM($AH$4:$AH$40))), "", (IF(SUM($AH$4:$AH$40) = 0, "", SUM($AH$4:$AH$40))))</f>
        <v>2148400.388694</v>
      </c>
      <c r="AI3">
        <f ca="1">IF(ISERROR(IF(SUM($AI$4:$AI$40) = 0, "", SUM($AI$4:$AI$40))), "", (IF(SUM($AI$4:$AI$40) = 0, "", SUM($AI$4:$AI$40))))</f>
        <v>1983383.0216148002</v>
      </c>
      <c r="AJ3">
        <f ca="1">IF(ISERROR(IF(SUM($AJ$4:$AJ$40) = 0, "", SUM($AJ$4:$AJ$40))), "", (IF(SUM($AJ$4:$AJ$40) = 0, "", SUM($AJ$4:$AJ$40))))</f>
        <v>2419414.5384867</v>
      </c>
      <c r="AK3">
        <f ca="1">IF(ISERROR(IF(SUM($AK$4:$AK$40) = 0, "", SUM($AK$4:$AK$40))), "", (IF(SUM($AK$4:$AK$40) = 0, "", SUM($AK$4:$AK$40))))</f>
        <v>2168062.011767</v>
      </c>
      <c r="AL3">
        <f ca="1">IF(ISERROR(IF(SUM($AL$4:$AL$40) = 0, "", SUM($AL$4:$AL$40))), "", (IF(SUM($AL$4:$AL$40) = 0, "", SUM($AL$4:$AL$40))))</f>
        <v>2163966.5739440001</v>
      </c>
      <c r="AM3">
        <f ca="1">IF(ISERROR(IF(SUM($AM$4:$AM$40) = 0, "", SUM($AM$4:$AM$40))), "", (IF(SUM($AM$4:$AM$40) = 0, "", SUM($AM$4:$AM$40))))</f>
        <v>2182320.9462040002</v>
      </c>
      <c r="AN3">
        <f ca="1">IF(ISERROR(IF(SUM($AN$4:$AN$40) = 0, "", SUM($AN$4:$AN$40))), "", (IF(SUM($AN$4:$AN$40) = 0, "", SUM($AN$4:$AN$40))))</f>
        <v>2657004.8087470001</v>
      </c>
      <c r="AO3">
        <f ca="1">IF(ISERROR(IF(SUM($AO$4:$AO$40) = 0, "", SUM($AO$4:$AO$40))), "", (IF(SUM($AO$4:$AO$40) = 0, "", SUM($AO$4:$AO$40))))</f>
        <v>2187679.6450490002</v>
      </c>
      <c r="AP3">
        <f ca="1">IF(ISERROR(IF(SUM($AP$4:$AP$40) = 0, "", SUM($AP$4:$AP$40))), "", (IF(SUM($AP$4:$AP$40) = 0, "", SUM($AP$4:$AP$40))))</f>
        <v>2394864.8033520002</v>
      </c>
      <c r="AQ3">
        <f ca="1">IF(ISERROR(IF(SUM($AQ$4:$AQ$40) = 0, "", SUM($AQ$4:$AQ$40))), "", (IF(SUM($AQ$4:$AQ$40) = 0, "", SUM($AQ$4:$AQ$40))))</f>
        <v>2292420.6937299999</v>
      </c>
      <c r="AR3">
        <f ca="1">IF(ISERROR(IF(SUM($AR$4:$AR$40) = 0, "", SUM($AR$4:$AR$40))), "", (IF(SUM($AR$4:$AR$40) = 0, "", SUM($AR$4:$AR$40))))</f>
        <v>2659065.567028</v>
      </c>
      <c r="AS3">
        <f ca="1">IF(ISERROR(IF(SUM($AS$4:$AS$40) = 0, "", SUM($AS$4:$AS$40))), "", (IF(SUM($AS$4:$AS$40) = 0, "", SUM($AS$4:$AS$40))))</f>
        <v>2757359.3747</v>
      </c>
      <c r="AT3">
        <f ca="1">IF(ISERROR(IF(SUM($AT$4:$AT$40) = 0, "", SUM($AT$4:$AT$40))), "", (IF(SUM($AT$4:$AT$40) = 0, "", SUM($AT$4:$AT$40))))</f>
        <v>2690351.8909070003</v>
      </c>
      <c r="AU3">
        <f ca="1">IF(ISERROR(IF(SUM($AU$4:$AU$40) = 0, "", SUM($AU$4:$AU$40))), "", (IF(SUM($AU$4:$AU$40) = 0, "", SUM($AU$4:$AU$40))))</f>
        <v>2386716.5841680001</v>
      </c>
      <c r="AV3">
        <f ca="1">IF(ISERROR(IF(SUM($AV$4:$AV$40) = 0, "", SUM($AV$4:$AV$40))), "", (IF(SUM($AV$4:$AV$40) = 0, "", SUM($AV$4:$AV$40))))</f>
        <v>2626258.8346690005</v>
      </c>
      <c r="AW3">
        <f ca="1">IF(ISERROR(IF(SUM($AW$4:$AW$40) = 0, "", SUM($AW$4:$AW$40))), "", (IF(SUM($AW$4:$AW$40) = 0, "", SUM($AW$4:$AW$40))))</f>
        <v>2565233.4615089996</v>
      </c>
      <c r="AX3">
        <f ca="1">IF(ISERROR(IF(SUM($AX$4:$AX$40) = 0, "", SUM($AX$4:$AX$40))), "", (IF(SUM($AX$4:$AX$40) = 0, "", SUM($AX$4:$AX$40))))</f>
        <v>2716223.73972</v>
      </c>
      <c r="AY3">
        <f ca="1">IF(ISERROR(IF(SUM($AY$4:$AY$40) = 0, "", SUM($AY$4:$AY$40))), "", (IF(SUM($AY$4:$AY$40) = 0, "", SUM($AY$4:$AY$40))))</f>
        <v>2607534.9980600001</v>
      </c>
      <c r="AZ3">
        <f ca="1">IF(ISERROR(IF(SUM($AZ$4:$AZ$40) = 0, "", SUM($AZ$4:$AZ$40))), "", (IF(SUM($AZ$4:$AZ$40) = 0, "", SUM($AZ$4:$AZ$40))))</f>
        <v>2767877.7133300006</v>
      </c>
      <c r="BA3">
        <f ca="1">IF(ISERROR(IF(SUM($BA$4:$BA$40) = 0, "", SUM($BA$4:$BA$40))), "", (IF(SUM($BA$4:$BA$40) = 0, "", SUM($BA$4:$BA$40))))</f>
        <v>2825997.1181999999</v>
      </c>
      <c r="BB3">
        <f ca="1">IF(ISERROR(IF(SUM($BB$4:$BB$40) = 0, "", SUM($BB$4:$BB$40))), "", (IF(SUM($BB$4:$BB$40) = 0, "", SUM($BB$4:$BB$40))))</f>
        <v>3333179.1617999999</v>
      </c>
      <c r="BC3">
        <f ca="1">IF(ISERROR(IF(SUM($BC$4:$BC$40) = 0, "", SUM($BC$4:$BC$40))), "", (IF(SUM($BC$4:$BC$40) = 0, "", SUM($BC$4:$BC$40))))</f>
        <v>3376811.0372000001</v>
      </c>
      <c r="BD3">
        <f ca="1">IF(ISERROR(IF(SUM($BD$4:$BD$40) = 0, "", SUM($BD$4:$BD$40))), "", (IF(SUM($BD$4:$BD$40) = 0, "", SUM($BD$4:$BD$40))))</f>
        <v>2699427.4416999999</v>
      </c>
      <c r="BE3">
        <f ca="1">IF(ISERROR(IF(SUM($BE$4:$BE$40) = 0, "", SUM($BE$4:$BE$40))), "", (IF(SUM($BE$4:$BE$40) = 0, "", SUM($BE$4:$BE$40))))</f>
        <v>1959095.0608999999</v>
      </c>
      <c r="BF3">
        <f ca="1">IF(ISERROR(IF(SUM($BF$4:$BF$40) = 0, "", SUM($BF$4:$BF$40))), "", (IF(SUM($BF$4:$BF$40) = 0, "", SUM($BF$4:$BF$40))))</f>
        <v>2771981.6877600001</v>
      </c>
      <c r="BG3">
        <f ca="1">IF(ISERROR(IF(SUM($BG$4:$BG$40) = 0, "", SUM($BG$4:$BG$40))), "", (IF(SUM($BG$4:$BG$40) = 0, "", SUM($BG$4:$BG$40))))</f>
        <v>2461061.7350000003</v>
      </c>
      <c r="BH3">
        <f ca="1">IF(ISERROR(IF(SUM($BH$4:$BH$40) = 0, "", SUM($BH$4:$BH$40))), "", (IF(SUM($BH$4:$BH$40) = 0, "", SUM($BH$4:$BH$40))))</f>
        <v>2443185.5292800004</v>
      </c>
      <c r="BI3">
        <f ca="1">IF(ISERROR(IF(SUM($BI$4:$BI$40) = 0, "", SUM($BI$4:$BI$40))), "", (IF(SUM($BI$4:$BI$40) = 0, "", SUM($BI$4:$BI$40))))</f>
        <v>2461885.5253400002</v>
      </c>
      <c r="BJ3">
        <f ca="1">IF(ISERROR(IF(SUM($BJ$4:$BJ$40) = 0, "", SUM($BJ$4:$BJ$40))), "", (IF(SUM($BJ$4:$BJ$40) = 0, "", SUM($BJ$4:$BJ$40))))</f>
        <v>3099917.3732900005</v>
      </c>
      <c r="BK3">
        <f ca="1">IF(ISERROR(IF(SUM($BK$4:$BK$40) = 0, "", SUM($BK$4:$BK$40))), "", (IF(SUM($BK$4:$BK$40) = 0, "", SUM($BK$4:$BK$40))))</f>
        <v>2266132.0421000002</v>
      </c>
      <c r="BL3">
        <f ca="1">IF(ISERROR(IF(SUM($BL$4:$BL$40) = 0, "", SUM($BL$4:$BL$40))), "", (IF(SUM($BL$4:$BL$40) = 0, "", SUM($BL$4:$BL$40))))</f>
        <v>2780098.71269</v>
      </c>
      <c r="BM3">
        <f ca="1">IF(ISERROR(IF(SUM($BM$4:$BM$40) = 0, "", SUM($BM$4:$BM$40))), "", (IF(SUM($BM$4:$BM$40) = 0, "", SUM($BM$4:$BM$40))))</f>
        <v>563808.69221000001</v>
      </c>
      <c r="BN3">
        <f>2838707.944</f>
        <v>2838707.9440000001</v>
      </c>
      <c r="BO3">
        <f>2739666.639</f>
        <v>2739666.639</v>
      </c>
      <c r="BP3">
        <f>2989025.749</f>
        <v>2989025.7489999998</v>
      </c>
      <c r="BQ3">
        <f>2666473.08</f>
        <v>2666473.08</v>
      </c>
      <c r="BR3">
        <f>2652618.042</f>
        <v>2652618.0419999999</v>
      </c>
      <c r="BS3">
        <f>2427045.281</f>
        <v>2427045.281</v>
      </c>
      <c r="BT3">
        <f>2676692.722</f>
        <v>2676692.7220000001</v>
      </c>
      <c r="BU3">
        <f>2269329.194</f>
        <v>2269329.1940000001</v>
      </c>
      <c r="BV3">
        <f>2228838.349</f>
        <v>2228838.3489999999</v>
      </c>
      <c r="BW3">
        <f>2176125.104</f>
        <v>2176125.1039999998</v>
      </c>
      <c r="BX3">
        <f>2429509.22</f>
        <v>2429509.2200000002</v>
      </c>
      <c r="BY3">
        <f>2235930.356</f>
        <v>2235930.3560000001</v>
      </c>
      <c r="BZ3">
        <f>2277801.652</f>
        <v>2277801.6519999998</v>
      </c>
      <c r="CA3">
        <f>2297908.271</f>
        <v>2297908.2710000002</v>
      </c>
      <c r="CB3">
        <f>2507287.463</f>
        <v>2507287.463</v>
      </c>
      <c r="CC3">
        <f>2248873.613</f>
        <v>2248873.6129999999</v>
      </c>
      <c r="CD3">
        <f>2318560.55</f>
        <v>2318560.5499999998</v>
      </c>
      <c r="CE3">
        <f>2156409.059</f>
        <v>2156409.0589999999</v>
      </c>
      <c r="CF3">
        <f>2407257.647</f>
        <v>2407257.6469999999</v>
      </c>
      <c r="CG3">
        <f>2273998.376</f>
        <v>2273998.3760000002</v>
      </c>
      <c r="CH3">
        <f>2084553.559</f>
        <v>2084553.5589999999</v>
      </c>
      <c r="CI3">
        <f>2256246.273</f>
        <v>2256246.273</v>
      </c>
      <c r="CJ3">
        <f>2401012.066</f>
        <v>2401012.0660000001</v>
      </c>
      <c r="CK3">
        <f>2074442.772</f>
        <v>2074442.7720000001</v>
      </c>
      <c r="CL3">
        <f>1962107.266</f>
        <v>1962107.2660000001</v>
      </c>
      <c r="CM3">
        <f>1653253.626</f>
        <v>1653253.6259999999</v>
      </c>
      <c r="CN3">
        <f>2183133.524</f>
        <v>2183133.5240000002</v>
      </c>
      <c r="CO3">
        <f>1906372.207</f>
        <v>1906372.2069999999</v>
      </c>
      <c r="CP3">
        <f>2148400.389</f>
        <v>2148400.389</v>
      </c>
      <c r="CQ3">
        <f>1983383.022</f>
        <v>1983383.0220000001</v>
      </c>
      <c r="CR3">
        <f>2419414.539</f>
        <v>2419414.5389999999</v>
      </c>
      <c r="CS3">
        <f>2168062.012</f>
        <v>2168062.0120000001</v>
      </c>
      <c r="CT3">
        <f>2163966.574</f>
        <v>2163966.574</v>
      </c>
      <c r="CU3">
        <f>2182320.946</f>
        <v>2182320.946</v>
      </c>
      <c r="CV3">
        <f>2657004.809</f>
        <v>2657004.8089999999</v>
      </c>
      <c r="CW3">
        <f>2187679.645</f>
        <v>2187679.645</v>
      </c>
      <c r="CX3">
        <f>2394864.803</f>
        <v>2394864.8029999998</v>
      </c>
      <c r="CY3">
        <f>2292420.694</f>
        <v>2292420.6940000001</v>
      </c>
      <c r="CZ3">
        <f>2659065.567</f>
        <v>2659065.5669999998</v>
      </c>
      <c r="DA3">
        <f>2757359.375</f>
        <v>2757359.375</v>
      </c>
      <c r="DB3">
        <f>2690351.891</f>
        <v>2690351.8909999998</v>
      </c>
      <c r="DC3">
        <f>2386716.584</f>
        <v>2386716.5839999998</v>
      </c>
      <c r="DD3">
        <f>2626258.835</f>
        <v>2626258.835</v>
      </c>
      <c r="DE3">
        <f>2565233.462</f>
        <v>2565233.4619999998</v>
      </c>
      <c r="DF3">
        <f>2716223.74</f>
        <v>2716223.74</v>
      </c>
      <c r="DG3">
        <f>2607534.998</f>
        <v>2607534.9980000001</v>
      </c>
      <c r="DH3">
        <f>2767877.713</f>
        <v>2767877.713</v>
      </c>
      <c r="DI3">
        <f>2825997.118</f>
        <v>2825997.1179999998</v>
      </c>
      <c r="DJ3">
        <f>3333179.162</f>
        <v>3333179.162</v>
      </c>
      <c r="DK3">
        <f>3376811.037</f>
        <v>3376811.037</v>
      </c>
      <c r="DL3">
        <f>2699427.442</f>
        <v>2699427.4419999998</v>
      </c>
      <c r="DM3">
        <f>1959095.061</f>
        <v>1959095.061</v>
      </c>
      <c r="DN3">
        <f>2771981.688</f>
        <v>2771981.6880000001</v>
      </c>
      <c r="DO3">
        <f>2461061.735</f>
        <v>2461061.7349999999</v>
      </c>
      <c r="DP3">
        <f>2443185.529</f>
        <v>2443185.5290000001</v>
      </c>
      <c r="DQ3">
        <f>2461885.525</f>
        <v>2461885.5249999999</v>
      </c>
      <c r="DR3">
        <f>3099917.373</f>
        <v>3099917.3730000001</v>
      </c>
      <c r="DS3">
        <f>2266132.042</f>
        <v>2266132.0419999999</v>
      </c>
      <c r="DT3">
        <f>2780098.713</f>
        <v>2780098.713</v>
      </c>
      <c r="DU3">
        <f>563808.6923</f>
        <v>563808.6923</v>
      </c>
    </row>
    <row r="4" spans="1:125" x14ac:dyDescent="0.25">
      <c r="A4" t="str">
        <f>"    ABN AMRO Bank NV"</f>
        <v xml:space="preserve">    ABN AMRO Bank NV</v>
      </c>
      <c r="B4" t="str">
        <f>"ABN NA Equity"</f>
        <v>ABN NA Equity</v>
      </c>
      <c r="C4" t="str">
        <f t="shared" ref="C4:C40" si="0">"BM105"</f>
        <v>BM105</v>
      </c>
      <c r="D4" t="str">
        <f t="shared" ref="D4:D40" si="1">"BS_TRADING_ASSETS"</f>
        <v>BS_TRADING_ASSETS</v>
      </c>
      <c r="E4" t="str">
        <f t="shared" ref="E4:E40" si="2">"Dynamic"</f>
        <v>Dynamic</v>
      </c>
      <c r="F4">
        <f ca="1">IF(AND(ISNUMBER($F$210),$B$208=1),$F$210,HLOOKUP(INDIRECT(ADDRESS(2,COLUMN())),OFFSET($BN$2,0,0,ROW()-1,60),ROW()-1,FALSE))</f>
        <v>2503</v>
      </c>
      <c r="G4">
        <f ca="1">IF(AND(ISNUMBER($G$210),$B$208=1),$G$210,HLOOKUP(INDIRECT(ADDRESS(2,COLUMN())),OFFSET($BN$2,0,0,ROW()-1,60),ROW()-1,FALSE))</f>
        <v>3095</v>
      </c>
      <c r="H4">
        <f ca="1">IF(AND(ISNUMBER($H$210),$B$208=1),$H$210,HLOOKUP(INDIRECT(ADDRESS(2,COLUMN())),OFFSET($BN$2,0,0,ROW()-1,60),ROW()-1,FALSE))</f>
        <v>2109</v>
      </c>
      <c r="I4">
        <f ca="1">IF(AND(ISNUMBER($I$210),$B$208=1),$I$210,HLOOKUP(INDIRECT(ADDRESS(2,COLUMN())),OFFSET($BN$2,0,0,ROW()-1,60),ROW()-1,FALSE))</f>
        <v>2309</v>
      </c>
      <c r="J4">
        <f ca="1">IF(AND(ISNUMBER($J$210),$B$208=1),$J$210,HLOOKUP(INDIRECT(ADDRESS(2,COLUMN())),OFFSET($BN$2,0,0,ROW()-1,60),ROW()-1,FALSE))</f>
        <v>1371</v>
      </c>
      <c r="K4">
        <f ca="1">IF(AND(ISNUMBER($K$210),$B$208=1),$K$210,HLOOKUP(INDIRECT(ADDRESS(2,COLUMN())),OFFSET($BN$2,0,0,ROW()-1,60),ROW()-1,FALSE))</f>
        <v>1739</v>
      </c>
      <c r="L4">
        <f ca="1">IF(AND(ISNUMBER($L$210),$B$208=1),$L$210,HLOOKUP(INDIRECT(ADDRESS(2,COLUMN())),OFFSET($BN$2,0,0,ROW()-1,60),ROW()-1,FALSE))</f>
        <v>1711</v>
      </c>
      <c r="M4">
        <f ca="1">IF(AND(ISNUMBER($M$210),$B$208=1),$M$210,HLOOKUP(INDIRECT(ADDRESS(2,COLUMN())),OFFSET($BN$2,0,0,ROW()-1,60),ROW()-1,FALSE))</f>
        <v>1398</v>
      </c>
      <c r="N4">
        <f ca="1">IF(AND(ISNUMBER($N$210),$B$208=1),$N$210,HLOOKUP(INDIRECT(ADDRESS(2,COLUMN())),OFFSET($BN$2,0,0,ROW()-1,60),ROW()-1,FALSE))</f>
        <v>907</v>
      </c>
      <c r="O4">
        <f ca="1">IF(AND(ISNUMBER($O$210),$B$208=1),$O$210,HLOOKUP(INDIRECT(ADDRESS(2,COLUMN())),OFFSET($BN$2,0,0,ROW()-1,60),ROW()-1,FALSE))</f>
        <v>1946</v>
      </c>
      <c r="P4">
        <f ca="1">IF(AND(ISNUMBER($P$210),$B$208=1),$P$210,HLOOKUP(INDIRECT(ADDRESS(2,COLUMN())),OFFSET($BN$2,0,0,ROW()-1,60),ROW()-1,FALSE))</f>
        <v>2421</v>
      </c>
      <c r="Q4">
        <f ca="1">IF(AND(ISNUMBER($Q$210),$B$208=1),$Q$210,HLOOKUP(INDIRECT(ADDRESS(2,COLUMN())),OFFSET($BN$2,0,0,ROW()-1,60),ROW()-1,FALSE))</f>
        <v>2063</v>
      </c>
      <c r="R4">
        <f ca="1">IF(AND(ISNUMBER($R$210),$B$208=1),$R$210,HLOOKUP(INDIRECT(ADDRESS(2,COLUMN())),OFFSET($BN$2,0,0,ROW()-1,60),ROW()-1,FALSE))</f>
        <v>1155</v>
      </c>
      <c r="S4">
        <f ca="1">IF(AND(ISNUMBER($S$210),$B$208=1),$S$210,HLOOKUP(INDIRECT(ADDRESS(2,COLUMN())),OFFSET($BN$2,0,0,ROW()-1,60),ROW()-1,FALSE))</f>
        <v>2435</v>
      </c>
      <c r="T4">
        <f ca="1">IF(AND(ISNUMBER($T$210),$B$208=1),$T$210,HLOOKUP(INDIRECT(ADDRESS(2,COLUMN())),OFFSET($BN$2,0,0,ROW()-1,60),ROW()-1,FALSE))</f>
        <v>2385</v>
      </c>
      <c r="U4">
        <f ca="1">IF(AND(ISNUMBER($U$210),$B$208=1),$U$210,HLOOKUP(INDIRECT(ADDRESS(2,COLUMN())),OFFSET($BN$2,0,0,ROW()-1,60),ROW()-1,FALSE))</f>
        <v>2195</v>
      </c>
      <c r="V4">
        <f ca="1">IF(AND(ISNUMBER($V$210),$B$208=1),$V$210,HLOOKUP(INDIRECT(ADDRESS(2,COLUMN())),OFFSET($BN$2,0,0,ROW()-1,60),ROW()-1,FALSE))</f>
        <v>1315</v>
      </c>
      <c r="W4">
        <f ca="1">IF(AND(ISNUMBER($W$210),$B$208=1),$W$210,HLOOKUP(INDIRECT(ADDRESS(2,COLUMN())),OFFSET($BN$2,0,0,ROW()-1,60),ROW()-1,FALSE))</f>
        <v>2765</v>
      </c>
      <c r="X4">
        <f ca="1">IF(AND(ISNUMBER($X$210),$B$208=1),$X$210,HLOOKUP(INDIRECT(ADDRESS(2,COLUMN())),OFFSET($BN$2,0,0,ROW()-1,60),ROW()-1,FALSE))</f>
        <v>3397</v>
      </c>
      <c r="Y4">
        <f ca="1">IF(AND(ISNUMBER($Y$210),$B$208=1),$Y$210,HLOOKUP(INDIRECT(ADDRESS(2,COLUMN())),OFFSET($BN$2,0,0,ROW()-1,60),ROW()-1,FALSE))</f>
        <v>1988</v>
      </c>
      <c r="Z4">
        <f ca="1">IF(AND(ISNUMBER($Z$210),$B$208=1),$Z$210,HLOOKUP(INDIRECT(ADDRESS(2,COLUMN())),OFFSET($BN$2,0,0,ROW()-1,60),ROW()-1,FALSE))</f>
        <v>1137</v>
      </c>
      <c r="AA4">
        <f ca="1">IF(AND(ISNUMBER($AA$210),$B$208=1),$AA$210,HLOOKUP(INDIRECT(ADDRESS(2,COLUMN())),OFFSET($BN$2,0,0,ROW()-1,60),ROW()-1,FALSE))</f>
        <v>1963</v>
      </c>
      <c r="AB4">
        <f ca="1">IF(AND(ISNUMBER($AB$210),$B$208=1),$AB$210,HLOOKUP(INDIRECT(ADDRESS(2,COLUMN())),OFFSET($BN$2,0,0,ROW()-1,60),ROW()-1,FALSE))</f>
        <v>1698</v>
      </c>
      <c r="AC4">
        <f ca="1">IF(AND(ISNUMBER($AC$210),$B$208=1),$AC$210,HLOOKUP(INDIRECT(ADDRESS(2,COLUMN())),OFFSET($BN$2,0,0,ROW()-1,60),ROW()-1,FALSE))</f>
        <v>1618</v>
      </c>
      <c r="AD4">
        <f ca="1">IF(AND(ISNUMBER($AD$210),$B$208=1),$AD$210,HLOOKUP(INDIRECT(ADDRESS(2,COLUMN())),OFFSET($BN$2,0,0,ROW()-1,60),ROW()-1,FALSE))</f>
        <v>495</v>
      </c>
      <c r="AE4">
        <f ca="1">IF(AND(ISNUMBER($AE$210),$B$208=1),$AE$210,HLOOKUP(INDIRECT(ADDRESS(2,COLUMN())),OFFSET($BN$2,0,0,ROW()-1,60),ROW()-1,FALSE))</f>
        <v>1283</v>
      </c>
      <c r="AF4">
        <f ca="1">IF(AND(ISNUMBER($AF$210),$B$208=1),$AF$210,HLOOKUP(INDIRECT(ADDRESS(2,COLUMN())),OFFSET($BN$2,0,0,ROW()-1,60),ROW()-1,FALSE))</f>
        <v>1430</v>
      </c>
      <c r="AG4">
        <f ca="1">IF(AND(ISNUMBER($AG$210),$B$208=1),$AG$210,HLOOKUP(INDIRECT(ADDRESS(2,COLUMN())),OFFSET($BN$2,0,0,ROW()-1,60),ROW()-1,FALSE))</f>
        <v>1708</v>
      </c>
      <c r="AH4">
        <f ca="1">IF(AND(ISNUMBER($AH$210),$B$208=1),$AH$210,HLOOKUP(INDIRECT(ADDRESS(2,COLUMN())),OFFSET($BN$2,0,0,ROW()-1,60),ROW()-1,FALSE))</f>
        <v>1600</v>
      </c>
      <c r="AI4">
        <f ca="1">IF(AND(ISNUMBER($AI$210),$B$208=1),$AI$210,HLOOKUP(INDIRECT(ADDRESS(2,COLUMN())),OFFSET($BN$2,0,0,ROW()-1,60),ROW()-1,FALSE))</f>
        <v>4478</v>
      </c>
      <c r="AJ4">
        <f ca="1">IF(AND(ISNUMBER($AJ$210),$B$208=1),$AJ$210,HLOOKUP(INDIRECT(ADDRESS(2,COLUMN())),OFFSET($BN$2,0,0,ROW()-1,60),ROW()-1,FALSE))</f>
        <v>4658</v>
      </c>
      <c r="AK4">
        <f ca="1">IF(AND(ISNUMBER($AK$210),$B$208=1),$AK$210,HLOOKUP(INDIRECT(ADDRESS(2,COLUMN())),OFFSET($BN$2,0,0,ROW()-1,60),ROW()-1,FALSE))</f>
        <v>3667</v>
      </c>
      <c r="AL4">
        <f ca="1">IF(AND(ISNUMBER($AL$210),$B$208=1),$AL$210,HLOOKUP(INDIRECT(ADDRESS(2,COLUMN())),OFFSET($BN$2,0,0,ROW()-1,60),ROW()-1,FALSE))</f>
        <v>1607</v>
      </c>
      <c r="AM4">
        <f ca="1">IF(AND(ISNUMBER($AM$210),$B$208=1),$AM$210,HLOOKUP(INDIRECT(ADDRESS(2,COLUMN())),OFFSET($BN$2,0,0,ROW()-1,60),ROW()-1,FALSE))</f>
        <v>3914</v>
      </c>
      <c r="AN4">
        <f ca="1">IF(AND(ISNUMBER($AN$210),$B$208=1),$AN$210,HLOOKUP(INDIRECT(ADDRESS(2,COLUMN())),OFFSET($BN$2,0,0,ROW()-1,60),ROW()-1,FALSE))</f>
        <v>38919</v>
      </c>
      <c r="AO4">
        <f ca="1">IF(AND(ISNUMBER($AO$210),$B$208=1),$AO$210,HLOOKUP(INDIRECT(ADDRESS(2,COLUMN())),OFFSET($BN$2,0,0,ROW()-1,60),ROW()-1,FALSE))</f>
        <v>3412</v>
      </c>
      <c r="AP4">
        <f ca="1">IF(AND(ISNUMBER($AP$210),$B$208=1),$AP$210,HLOOKUP(INDIRECT(ADDRESS(2,COLUMN())),OFFSET($BN$2,0,0,ROW()-1,60),ROW()-1,FALSE))</f>
        <v>1706</v>
      </c>
      <c r="AQ4">
        <f ca="1">IF(AND(ISNUMBER($AQ$210),$B$208=1),$AQ$210,HLOOKUP(INDIRECT(ADDRESS(2,COLUMN())),OFFSET($BN$2,0,0,ROW()-1,60),ROW()-1,FALSE))</f>
        <v>8592</v>
      </c>
      <c r="AR4">
        <f ca="1">IF(AND(ISNUMBER($AR$210),$B$208=1),$AR$210,HLOOKUP(INDIRECT(ADDRESS(2,COLUMN())),OFFSET($BN$2,0,0,ROW()-1,60),ROW()-1,FALSE))</f>
        <v>6648</v>
      </c>
      <c r="AS4">
        <f ca="1">IF(AND(ISNUMBER($AS$210),$B$208=1),$AS$210,HLOOKUP(INDIRECT(ADDRESS(2,COLUMN())),OFFSET($BN$2,0,0,ROW()-1,60),ROW()-1,FALSE))</f>
        <v>13459</v>
      </c>
      <c r="AT4" t="str">
        <f ca="1">IF(AND(ISNUMBER($AT$210),$B$208=1),$AT$210,HLOOKUP(INDIRECT(ADDRESS(2,COLUMN())),OFFSET($BN$2,0,0,ROW()-1,60),ROW()-1,FALSE))</f>
        <v/>
      </c>
      <c r="AU4" t="str">
        <f ca="1">IF(AND(ISNUMBER($AU$210),$B$208=1),$AU$210,HLOOKUP(INDIRECT(ADDRESS(2,COLUMN())),OFFSET($BN$2,0,0,ROW()-1,60),ROW()-1,FALSE))</f>
        <v/>
      </c>
      <c r="AV4" t="str">
        <f ca="1">IF(AND(ISNUMBER($AV$210),$B$208=1),$AV$210,HLOOKUP(INDIRECT(ADDRESS(2,COLUMN())),OFFSET($BN$2,0,0,ROW()-1,60),ROW()-1,FALSE))</f>
        <v/>
      </c>
      <c r="AW4">
        <f ca="1">IF(AND(ISNUMBER($AW$210),$B$208=1),$AW$210,HLOOKUP(INDIRECT(ADDRESS(2,COLUMN())),OFFSET($BN$2,0,0,ROW()-1,60),ROW()-1,FALSE))</f>
        <v>27656</v>
      </c>
      <c r="AX4" t="str">
        <f ca="1">IF(AND(ISNUMBER($AX$210),$B$208=1),$AX$210,HLOOKUP(INDIRECT(ADDRESS(2,COLUMN())),OFFSET($BN$2,0,0,ROW()-1,60),ROW()-1,FALSE))</f>
        <v/>
      </c>
      <c r="AY4" t="str">
        <f ca="1">IF(AND(ISNUMBER($AY$210),$B$208=1),$AY$210,HLOOKUP(INDIRECT(ADDRESS(2,COLUMN())),OFFSET($BN$2,0,0,ROW()-1,60),ROW()-1,FALSE))</f>
        <v/>
      </c>
      <c r="AZ4">
        <f ca="1">IF(AND(ISNUMBER($AZ$210),$B$208=1),$AZ$210,HLOOKUP(INDIRECT(ADDRESS(2,COLUMN())),OFFSET($BN$2,0,0,ROW()-1,60),ROW()-1,FALSE))</f>
        <v>26336</v>
      </c>
      <c r="BA4">
        <f ca="1">IF(AND(ISNUMBER($BA$210),$B$208=1),$BA$210,HLOOKUP(INDIRECT(ADDRESS(2,COLUMN())),OFFSET($BN$2,0,0,ROW()-1,60),ROW()-1,FALSE))</f>
        <v>28222</v>
      </c>
      <c r="BB4" t="str">
        <f ca="1">IF(AND(ISNUMBER($BB$210),$B$208=1),$BB$210,HLOOKUP(INDIRECT(ADDRESS(2,COLUMN())),OFFSET($BN$2,0,0,ROW()-1,60),ROW()-1,FALSE))</f>
        <v/>
      </c>
      <c r="BC4" t="str">
        <f ca="1">IF(AND(ISNUMBER($BC$210),$B$208=1),$BC$210,HLOOKUP(INDIRECT(ADDRESS(2,COLUMN())),OFFSET($BN$2,0,0,ROW()-1,60),ROW()-1,FALSE))</f>
        <v/>
      </c>
      <c r="BD4" t="str">
        <f ca="1">IF(AND(ISNUMBER($BD$210),$B$208=1),$BD$210,HLOOKUP(INDIRECT(ADDRESS(2,COLUMN())),OFFSET($BN$2,0,0,ROW()-1,60),ROW()-1,FALSE))</f>
        <v/>
      </c>
      <c r="BE4" t="str">
        <f ca="1">IF(AND(ISNUMBER($BE$210),$B$208=1),$BE$210,HLOOKUP(INDIRECT(ADDRESS(2,COLUMN())),OFFSET($BN$2,0,0,ROW()-1,60),ROW()-1,FALSE))</f>
        <v/>
      </c>
      <c r="BF4" t="str">
        <f ca="1">IF(AND(ISNUMBER($BF$210),$B$208=1),$BF$210,HLOOKUP(INDIRECT(ADDRESS(2,COLUMN())),OFFSET($BN$2,0,0,ROW()-1,60),ROW()-1,FALSE))</f>
        <v/>
      </c>
      <c r="BG4" t="str">
        <f ca="1">IF(AND(ISNUMBER($BG$210),$B$208=1),$BG$210,HLOOKUP(INDIRECT(ADDRESS(2,COLUMN())),OFFSET($BN$2,0,0,ROW()-1,60),ROW()-1,FALSE))</f>
        <v/>
      </c>
      <c r="BH4" t="str">
        <f ca="1">IF(AND(ISNUMBER($BH$210),$B$208=1),$BH$210,HLOOKUP(INDIRECT(ADDRESS(2,COLUMN())),OFFSET($BN$2,0,0,ROW()-1,60),ROW()-1,FALSE))</f>
        <v/>
      </c>
      <c r="BI4" t="str">
        <f ca="1">IF(AND(ISNUMBER($BI$210),$B$208=1),$BI$210,HLOOKUP(INDIRECT(ADDRESS(2,COLUMN())),OFFSET($BN$2,0,0,ROW()-1,60),ROW()-1,FALSE))</f>
        <v/>
      </c>
      <c r="BJ4" t="str">
        <f ca="1">IF(AND(ISNUMBER($BJ$210),$B$208=1),$BJ$210,HLOOKUP(INDIRECT(ADDRESS(2,COLUMN())),OFFSET($BN$2,0,0,ROW()-1,60),ROW()-1,FALSE))</f>
        <v/>
      </c>
      <c r="BK4" t="str">
        <f ca="1">IF(AND(ISNUMBER($BK$210),$B$208=1),$BK$210,HLOOKUP(INDIRECT(ADDRESS(2,COLUMN())),OFFSET($BN$2,0,0,ROW()-1,60),ROW()-1,FALSE))</f>
        <v/>
      </c>
      <c r="BL4" t="str">
        <f ca="1">IF(AND(ISNUMBER($BL$210),$B$208=1),$BL$210,HLOOKUP(INDIRECT(ADDRESS(2,COLUMN())),OFFSET($BN$2,0,0,ROW()-1,60),ROW()-1,FALSE))</f>
        <v/>
      </c>
      <c r="BM4" t="str">
        <f ca="1">IF(AND(ISNUMBER($BM$210),$B$208=1),$BM$210,HLOOKUP(INDIRECT(ADDRESS(2,COLUMN())),OFFSET($BN$2,0,0,ROW()-1,60),ROW()-1,FALSE))</f>
        <v/>
      </c>
      <c r="BN4">
        <f>2503</f>
        <v>2503</v>
      </c>
      <c r="BO4">
        <f>3095</f>
        <v>3095</v>
      </c>
      <c r="BP4">
        <f>2109</f>
        <v>2109</v>
      </c>
      <c r="BQ4">
        <f>2309</f>
        <v>2309</v>
      </c>
      <c r="BR4">
        <f>1371</f>
        <v>1371</v>
      </c>
      <c r="BS4">
        <f>1739</f>
        <v>1739</v>
      </c>
      <c r="BT4">
        <f>1711</f>
        <v>1711</v>
      </c>
      <c r="BU4">
        <f>1398</f>
        <v>1398</v>
      </c>
      <c r="BV4">
        <f>907</f>
        <v>907</v>
      </c>
      <c r="BW4">
        <f>1946</f>
        <v>1946</v>
      </c>
      <c r="BX4">
        <f>2421</f>
        <v>2421</v>
      </c>
      <c r="BY4">
        <f>2063</f>
        <v>2063</v>
      </c>
      <c r="BZ4">
        <f>1155</f>
        <v>1155</v>
      </c>
      <c r="CA4">
        <f>2435</f>
        <v>2435</v>
      </c>
      <c r="CB4">
        <f>2385</f>
        <v>2385</v>
      </c>
      <c r="CC4">
        <f>2195</f>
        <v>2195</v>
      </c>
      <c r="CD4">
        <f>1315</f>
        <v>1315</v>
      </c>
      <c r="CE4">
        <f>2765</f>
        <v>2765</v>
      </c>
      <c r="CF4">
        <f>3397</f>
        <v>3397</v>
      </c>
      <c r="CG4">
        <f>1988</f>
        <v>1988</v>
      </c>
      <c r="CH4">
        <f>1137</f>
        <v>1137</v>
      </c>
      <c r="CI4">
        <f>1963</f>
        <v>1963</v>
      </c>
      <c r="CJ4">
        <f>1698</f>
        <v>1698</v>
      </c>
      <c r="CK4">
        <f>1618</f>
        <v>1618</v>
      </c>
      <c r="CL4">
        <f>495</f>
        <v>495</v>
      </c>
      <c r="CM4">
        <f>1283</f>
        <v>1283</v>
      </c>
      <c r="CN4">
        <f>1430</f>
        <v>1430</v>
      </c>
      <c r="CO4">
        <f>1708</f>
        <v>1708</v>
      </c>
      <c r="CP4">
        <f>1600</f>
        <v>1600</v>
      </c>
      <c r="CQ4">
        <f>4478</f>
        <v>4478</v>
      </c>
      <c r="CR4">
        <f>4658</f>
        <v>4658</v>
      </c>
      <c r="CS4">
        <f>3667</f>
        <v>3667</v>
      </c>
      <c r="CT4">
        <f>1607</f>
        <v>1607</v>
      </c>
      <c r="CU4">
        <f>3914</f>
        <v>3914</v>
      </c>
      <c r="CV4">
        <f>38919</f>
        <v>38919</v>
      </c>
      <c r="CW4">
        <f>3412</f>
        <v>3412</v>
      </c>
      <c r="CX4">
        <f>1706</f>
        <v>1706</v>
      </c>
      <c r="CY4">
        <f>8592</f>
        <v>8592</v>
      </c>
      <c r="CZ4">
        <f>6648</f>
        <v>6648</v>
      </c>
      <c r="DA4">
        <f>13459</f>
        <v>13459</v>
      </c>
      <c r="DB4" t="str">
        <f>""</f>
        <v/>
      </c>
      <c r="DC4" t="str">
        <f>""</f>
        <v/>
      </c>
      <c r="DD4" t="str">
        <f>""</f>
        <v/>
      </c>
      <c r="DE4">
        <f>27656</f>
        <v>27656</v>
      </c>
      <c r="DF4" t="str">
        <f>""</f>
        <v/>
      </c>
      <c r="DG4" t="str">
        <f>""</f>
        <v/>
      </c>
      <c r="DH4">
        <f>26336</f>
        <v>26336</v>
      </c>
      <c r="DI4">
        <f>28222</f>
        <v>28222</v>
      </c>
      <c r="DJ4" t="str">
        <f>""</f>
        <v/>
      </c>
      <c r="DK4" t="str">
        <f>""</f>
        <v/>
      </c>
      <c r="DL4" t="str">
        <f>""</f>
        <v/>
      </c>
      <c r="DM4" t="str">
        <f>""</f>
        <v/>
      </c>
      <c r="DN4" t="str">
        <f>""</f>
        <v/>
      </c>
      <c r="DO4" t="str">
        <f>""</f>
        <v/>
      </c>
      <c r="DP4" t="str">
        <f>""</f>
        <v/>
      </c>
      <c r="DQ4" t="str">
        <f>""</f>
        <v/>
      </c>
      <c r="DR4" t="str">
        <f>""</f>
        <v/>
      </c>
      <c r="DS4" t="str">
        <f>""</f>
        <v/>
      </c>
      <c r="DT4" t="str">
        <f>""</f>
        <v/>
      </c>
      <c r="DU4" t="str">
        <f>""</f>
        <v/>
      </c>
    </row>
    <row r="5" spans="1:125" x14ac:dyDescent="0.25">
      <c r="A5" t="str">
        <f>"    AIB Group PLC"</f>
        <v xml:space="preserve">    AIB Group PLC</v>
      </c>
      <c r="B5" t="str">
        <f>"AIBG ID Equity"</f>
        <v>AIBG ID Equity</v>
      </c>
      <c r="C5" t="str">
        <f t="shared" si="0"/>
        <v>BM105</v>
      </c>
      <c r="D5" t="str">
        <f t="shared" si="1"/>
        <v>BS_TRADING_ASSETS</v>
      </c>
      <c r="E5" t="str">
        <f t="shared" si="2"/>
        <v>Dynamic</v>
      </c>
      <c r="F5" t="str">
        <f ca="1">IF(AND(ISNUMBER($F$211),$B$208=1),$F$211,HLOOKUP(INDIRECT(ADDRESS(2,COLUMN())),OFFSET($BN$2,0,0,ROW()-1,60),ROW()-1,FALSE))</f>
        <v/>
      </c>
      <c r="G5" t="str">
        <f ca="1">IF(AND(ISNUMBER($G$211),$B$208=1),$G$211,HLOOKUP(INDIRECT(ADDRESS(2,COLUMN())),OFFSET($BN$2,0,0,ROW()-1,60),ROW()-1,FALSE))</f>
        <v/>
      </c>
      <c r="H5" t="str">
        <f ca="1">IF(AND(ISNUMBER($H$211),$B$208=1),$H$211,HLOOKUP(INDIRECT(ADDRESS(2,COLUMN())),OFFSET($BN$2,0,0,ROW()-1,60),ROW()-1,FALSE))</f>
        <v/>
      </c>
      <c r="I5" t="str">
        <f ca="1">IF(AND(ISNUMBER($I$211),$B$208=1),$I$211,HLOOKUP(INDIRECT(ADDRESS(2,COLUMN())),OFFSET($BN$2,0,0,ROW()-1,60),ROW()-1,FALSE))</f>
        <v/>
      </c>
      <c r="J5" t="str">
        <f ca="1">IF(AND(ISNUMBER($J$211),$B$208=1),$J$211,HLOOKUP(INDIRECT(ADDRESS(2,COLUMN())),OFFSET($BN$2,0,0,ROW()-1,60),ROW()-1,FALSE))</f>
        <v/>
      </c>
      <c r="K5" t="str">
        <f ca="1">IF(AND(ISNUMBER($K$211),$B$208=1),$K$211,HLOOKUP(INDIRECT(ADDRESS(2,COLUMN())),OFFSET($BN$2,0,0,ROW()-1,60),ROW()-1,FALSE))</f>
        <v/>
      </c>
      <c r="L5" t="str">
        <f ca="1">IF(AND(ISNUMBER($L$211),$B$208=1),$L$211,HLOOKUP(INDIRECT(ADDRESS(2,COLUMN())),OFFSET($BN$2,0,0,ROW()-1,60),ROW()-1,FALSE))</f>
        <v/>
      </c>
      <c r="M5" t="str">
        <f ca="1">IF(AND(ISNUMBER($M$211),$B$208=1),$M$211,HLOOKUP(INDIRECT(ADDRESS(2,COLUMN())),OFFSET($BN$2,0,0,ROW()-1,60),ROW()-1,FALSE))</f>
        <v/>
      </c>
      <c r="N5" t="str">
        <f ca="1">IF(AND(ISNUMBER($N$211),$B$208=1),$N$211,HLOOKUP(INDIRECT(ADDRESS(2,COLUMN())),OFFSET($BN$2,0,0,ROW()-1,60),ROW()-1,FALSE))</f>
        <v/>
      </c>
      <c r="O5" t="str">
        <f ca="1">IF(AND(ISNUMBER($O$211),$B$208=1),$O$211,HLOOKUP(INDIRECT(ADDRESS(2,COLUMN())),OFFSET($BN$2,0,0,ROW()-1,60),ROW()-1,FALSE))</f>
        <v/>
      </c>
      <c r="P5" t="str">
        <f ca="1">IF(AND(ISNUMBER($P$211),$B$208=1),$P$211,HLOOKUP(INDIRECT(ADDRESS(2,COLUMN())),OFFSET($BN$2,0,0,ROW()-1,60),ROW()-1,FALSE))</f>
        <v/>
      </c>
      <c r="Q5" t="str">
        <f ca="1">IF(AND(ISNUMBER($Q$211),$B$208=1),$Q$211,HLOOKUP(INDIRECT(ADDRESS(2,COLUMN())),OFFSET($BN$2,0,0,ROW()-1,60),ROW()-1,FALSE))</f>
        <v/>
      </c>
      <c r="R5" t="str">
        <f ca="1">IF(AND(ISNUMBER($R$211),$B$208=1),$R$211,HLOOKUP(INDIRECT(ADDRESS(2,COLUMN())),OFFSET($BN$2,0,0,ROW()-1,60),ROW()-1,FALSE))</f>
        <v/>
      </c>
      <c r="S5" t="str">
        <f ca="1">IF(AND(ISNUMBER($S$211),$B$208=1),$S$211,HLOOKUP(INDIRECT(ADDRESS(2,COLUMN())),OFFSET($BN$2,0,0,ROW()-1,60),ROW()-1,FALSE))</f>
        <v/>
      </c>
      <c r="T5" t="str">
        <f ca="1">IF(AND(ISNUMBER($T$211),$B$208=1),$T$211,HLOOKUP(INDIRECT(ADDRESS(2,COLUMN())),OFFSET($BN$2,0,0,ROW()-1,60),ROW()-1,FALSE))</f>
        <v/>
      </c>
      <c r="U5" t="str">
        <f ca="1">IF(AND(ISNUMBER($U$211),$B$208=1),$U$211,HLOOKUP(INDIRECT(ADDRESS(2,COLUMN())),OFFSET($BN$2,0,0,ROW()-1,60),ROW()-1,FALSE))</f>
        <v/>
      </c>
      <c r="V5" t="str">
        <f ca="1">IF(AND(ISNUMBER($V$211),$B$208=1),$V$211,HLOOKUP(INDIRECT(ADDRESS(2,COLUMN())),OFFSET($BN$2,0,0,ROW()-1,60),ROW()-1,FALSE))</f>
        <v/>
      </c>
      <c r="W5" t="str">
        <f ca="1">IF(AND(ISNUMBER($W$211),$B$208=1),$W$211,HLOOKUP(INDIRECT(ADDRESS(2,COLUMN())),OFFSET($BN$2,0,0,ROW()-1,60),ROW()-1,FALSE))</f>
        <v/>
      </c>
      <c r="X5" t="str">
        <f ca="1">IF(AND(ISNUMBER($X$211),$B$208=1),$X$211,HLOOKUP(INDIRECT(ADDRESS(2,COLUMN())),OFFSET($BN$2,0,0,ROW()-1,60),ROW()-1,FALSE))</f>
        <v/>
      </c>
      <c r="Y5" t="str">
        <f ca="1">IF(AND(ISNUMBER($Y$211),$B$208=1),$Y$211,HLOOKUP(INDIRECT(ADDRESS(2,COLUMN())),OFFSET($BN$2,0,0,ROW()-1,60),ROW()-1,FALSE))</f>
        <v/>
      </c>
      <c r="Z5" t="str">
        <f ca="1">IF(AND(ISNUMBER($Z$211),$B$208=1),$Z$211,HLOOKUP(INDIRECT(ADDRESS(2,COLUMN())),OFFSET($BN$2,0,0,ROW()-1,60),ROW()-1,FALSE))</f>
        <v/>
      </c>
      <c r="AA5" t="str">
        <f ca="1">IF(AND(ISNUMBER($AA$211),$B$208=1),$AA$211,HLOOKUP(INDIRECT(ADDRESS(2,COLUMN())),OFFSET($BN$2,0,0,ROW()-1,60),ROW()-1,FALSE))</f>
        <v/>
      </c>
      <c r="AB5" t="str">
        <f ca="1">IF(AND(ISNUMBER($AB$211),$B$208=1),$AB$211,HLOOKUP(INDIRECT(ADDRESS(2,COLUMN())),OFFSET($BN$2,0,0,ROW()-1,60),ROW()-1,FALSE))</f>
        <v/>
      </c>
      <c r="AC5" t="str">
        <f ca="1">IF(AND(ISNUMBER($AC$211),$B$208=1),$AC$211,HLOOKUP(INDIRECT(ADDRESS(2,COLUMN())),OFFSET($BN$2,0,0,ROW()-1,60),ROW()-1,FALSE))</f>
        <v/>
      </c>
      <c r="AD5" t="str">
        <f ca="1">IF(AND(ISNUMBER($AD$211),$B$208=1),$AD$211,HLOOKUP(INDIRECT(ADDRESS(2,COLUMN())),OFFSET($BN$2,0,0,ROW()-1,60),ROW()-1,FALSE))</f>
        <v/>
      </c>
      <c r="AE5" t="str">
        <f ca="1">IF(AND(ISNUMBER($AE$211),$B$208=1),$AE$211,HLOOKUP(INDIRECT(ADDRESS(2,COLUMN())),OFFSET($BN$2,0,0,ROW()-1,60),ROW()-1,FALSE))</f>
        <v/>
      </c>
      <c r="AF5" t="str">
        <f ca="1">IF(AND(ISNUMBER($AF$211),$B$208=1),$AF$211,HLOOKUP(INDIRECT(ADDRESS(2,COLUMN())),OFFSET($BN$2,0,0,ROW()-1,60),ROW()-1,FALSE))</f>
        <v/>
      </c>
      <c r="AG5" t="str">
        <f ca="1">IF(AND(ISNUMBER($AG$211),$B$208=1),$AG$211,HLOOKUP(INDIRECT(ADDRESS(2,COLUMN())),OFFSET($BN$2,0,0,ROW()-1,60),ROW()-1,FALSE))</f>
        <v/>
      </c>
      <c r="AH5" t="str">
        <f ca="1">IF(AND(ISNUMBER($AH$211),$B$208=1),$AH$211,HLOOKUP(INDIRECT(ADDRESS(2,COLUMN())),OFFSET($BN$2,0,0,ROW()-1,60),ROW()-1,FALSE))</f>
        <v/>
      </c>
      <c r="AI5" t="str">
        <f ca="1">IF(AND(ISNUMBER($AI$211),$B$208=1),$AI$211,HLOOKUP(INDIRECT(ADDRESS(2,COLUMN())),OFFSET($BN$2,0,0,ROW()-1,60),ROW()-1,FALSE))</f>
        <v/>
      </c>
      <c r="AJ5" t="str">
        <f ca="1">IF(AND(ISNUMBER($AJ$211),$B$208=1),$AJ$211,HLOOKUP(INDIRECT(ADDRESS(2,COLUMN())),OFFSET($BN$2,0,0,ROW()-1,60),ROW()-1,FALSE))</f>
        <v/>
      </c>
      <c r="AK5" t="str">
        <f ca="1">IF(AND(ISNUMBER($AK$211),$B$208=1),$AK$211,HLOOKUP(INDIRECT(ADDRESS(2,COLUMN())),OFFSET($BN$2,0,0,ROW()-1,60),ROW()-1,FALSE))</f>
        <v/>
      </c>
      <c r="AL5" t="str">
        <f ca="1">IF(AND(ISNUMBER($AL$211),$B$208=1),$AL$211,HLOOKUP(INDIRECT(ADDRESS(2,COLUMN())),OFFSET($BN$2,0,0,ROW()-1,60),ROW()-1,FALSE))</f>
        <v/>
      </c>
      <c r="AM5" t="str">
        <f ca="1">IF(AND(ISNUMBER($AM$211),$B$208=1),$AM$211,HLOOKUP(INDIRECT(ADDRESS(2,COLUMN())),OFFSET($BN$2,0,0,ROW()-1,60),ROW()-1,FALSE))</f>
        <v/>
      </c>
      <c r="AN5" t="str">
        <f ca="1">IF(AND(ISNUMBER($AN$211),$B$208=1),$AN$211,HLOOKUP(INDIRECT(ADDRESS(2,COLUMN())),OFFSET($BN$2,0,0,ROW()-1,60),ROW()-1,FALSE))</f>
        <v/>
      </c>
      <c r="AO5" t="str">
        <f ca="1">IF(AND(ISNUMBER($AO$211),$B$208=1),$AO$211,HLOOKUP(INDIRECT(ADDRESS(2,COLUMN())),OFFSET($BN$2,0,0,ROW()-1,60),ROW()-1,FALSE))</f>
        <v/>
      </c>
      <c r="AP5" t="str">
        <f ca="1">IF(AND(ISNUMBER($AP$211),$B$208=1),$AP$211,HLOOKUP(INDIRECT(ADDRESS(2,COLUMN())),OFFSET($BN$2,0,0,ROW()-1,60),ROW()-1,FALSE))</f>
        <v/>
      </c>
      <c r="AQ5" t="str">
        <f ca="1">IF(AND(ISNUMBER($AQ$211),$B$208=1),$AQ$211,HLOOKUP(INDIRECT(ADDRESS(2,COLUMN())),OFFSET($BN$2,0,0,ROW()-1,60),ROW()-1,FALSE))</f>
        <v/>
      </c>
      <c r="AR5" t="str">
        <f ca="1">IF(AND(ISNUMBER($AR$211),$B$208=1),$AR$211,HLOOKUP(INDIRECT(ADDRESS(2,COLUMN())),OFFSET($BN$2,0,0,ROW()-1,60),ROW()-1,FALSE))</f>
        <v/>
      </c>
      <c r="AS5" t="str">
        <f ca="1">IF(AND(ISNUMBER($AS$211),$B$208=1),$AS$211,HLOOKUP(INDIRECT(ADDRESS(2,COLUMN())),OFFSET($BN$2,0,0,ROW()-1,60),ROW()-1,FALSE))</f>
        <v/>
      </c>
      <c r="AT5" t="str">
        <f ca="1">IF(AND(ISNUMBER($AT$211),$B$208=1),$AT$211,HLOOKUP(INDIRECT(ADDRESS(2,COLUMN())),OFFSET($BN$2,0,0,ROW()-1,60),ROW()-1,FALSE))</f>
        <v/>
      </c>
      <c r="AU5" t="str">
        <f ca="1">IF(AND(ISNUMBER($AU$211),$B$208=1),$AU$211,HLOOKUP(INDIRECT(ADDRESS(2,COLUMN())),OFFSET($BN$2,0,0,ROW()-1,60),ROW()-1,FALSE))</f>
        <v/>
      </c>
      <c r="AV5" t="str">
        <f ca="1">IF(AND(ISNUMBER($AV$211),$B$208=1),$AV$211,HLOOKUP(INDIRECT(ADDRESS(2,COLUMN())),OFFSET($BN$2,0,0,ROW()-1,60),ROW()-1,FALSE))</f>
        <v/>
      </c>
      <c r="AW5" t="str">
        <f ca="1">IF(AND(ISNUMBER($AW$211),$B$208=1),$AW$211,HLOOKUP(INDIRECT(ADDRESS(2,COLUMN())),OFFSET($BN$2,0,0,ROW()-1,60),ROW()-1,FALSE))</f>
        <v/>
      </c>
      <c r="AX5" t="str">
        <f ca="1">IF(AND(ISNUMBER($AX$211),$B$208=1),$AX$211,HLOOKUP(INDIRECT(ADDRESS(2,COLUMN())),OFFSET($BN$2,0,0,ROW()-1,60),ROW()-1,FALSE))</f>
        <v/>
      </c>
      <c r="AY5" t="str">
        <f ca="1">IF(AND(ISNUMBER($AY$211),$B$208=1),$AY$211,HLOOKUP(INDIRECT(ADDRESS(2,COLUMN())),OFFSET($BN$2,0,0,ROW()-1,60),ROW()-1,FALSE))</f>
        <v/>
      </c>
      <c r="AZ5" t="str">
        <f ca="1">IF(AND(ISNUMBER($AZ$211),$B$208=1),$AZ$211,HLOOKUP(INDIRECT(ADDRESS(2,COLUMN())),OFFSET($BN$2,0,0,ROW()-1,60),ROW()-1,FALSE))</f>
        <v/>
      </c>
      <c r="BA5" t="str">
        <f ca="1">IF(AND(ISNUMBER($BA$211),$B$208=1),$BA$211,HLOOKUP(INDIRECT(ADDRESS(2,COLUMN())),OFFSET($BN$2,0,0,ROW()-1,60),ROW()-1,FALSE))</f>
        <v/>
      </c>
      <c r="BB5" t="str">
        <f ca="1">IF(AND(ISNUMBER($BB$211),$B$208=1),$BB$211,HLOOKUP(INDIRECT(ADDRESS(2,COLUMN())),OFFSET($BN$2,0,0,ROW()-1,60),ROW()-1,FALSE))</f>
        <v/>
      </c>
      <c r="BC5" t="str">
        <f ca="1">IF(AND(ISNUMBER($BC$211),$B$208=1),$BC$211,HLOOKUP(INDIRECT(ADDRESS(2,COLUMN())),OFFSET($BN$2,0,0,ROW()-1,60),ROW()-1,FALSE))</f>
        <v/>
      </c>
      <c r="BD5" t="str">
        <f ca="1">IF(AND(ISNUMBER($BD$211),$B$208=1),$BD$211,HLOOKUP(INDIRECT(ADDRESS(2,COLUMN())),OFFSET($BN$2,0,0,ROW()-1,60),ROW()-1,FALSE))</f>
        <v/>
      </c>
      <c r="BE5" t="str">
        <f ca="1">IF(AND(ISNUMBER($BE$211),$B$208=1),$BE$211,HLOOKUP(INDIRECT(ADDRESS(2,COLUMN())),OFFSET($BN$2,0,0,ROW()-1,60),ROW()-1,FALSE))</f>
        <v/>
      </c>
      <c r="BF5" t="str">
        <f ca="1">IF(AND(ISNUMBER($BF$211),$B$208=1),$BF$211,HLOOKUP(INDIRECT(ADDRESS(2,COLUMN())),OFFSET($BN$2,0,0,ROW()-1,60),ROW()-1,FALSE))</f>
        <v/>
      </c>
      <c r="BG5" t="str">
        <f ca="1">IF(AND(ISNUMBER($BG$211),$B$208=1),$BG$211,HLOOKUP(INDIRECT(ADDRESS(2,COLUMN())),OFFSET($BN$2,0,0,ROW()-1,60),ROW()-1,FALSE))</f>
        <v/>
      </c>
      <c r="BH5" t="str">
        <f ca="1">IF(AND(ISNUMBER($BH$211),$B$208=1),$BH$211,HLOOKUP(INDIRECT(ADDRESS(2,COLUMN())),OFFSET($BN$2,0,0,ROW()-1,60),ROW()-1,FALSE))</f>
        <v/>
      </c>
      <c r="BI5" t="str">
        <f ca="1">IF(AND(ISNUMBER($BI$211),$B$208=1),$BI$211,HLOOKUP(INDIRECT(ADDRESS(2,COLUMN())),OFFSET($BN$2,0,0,ROW()-1,60),ROW()-1,FALSE))</f>
        <v/>
      </c>
      <c r="BJ5" t="str">
        <f ca="1">IF(AND(ISNUMBER($BJ$211),$B$208=1),$BJ$211,HLOOKUP(INDIRECT(ADDRESS(2,COLUMN())),OFFSET($BN$2,0,0,ROW()-1,60),ROW()-1,FALSE))</f>
        <v/>
      </c>
      <c r="BK5" t="str">
        <f ca="1">IF(AND(ISNUMBER($BK$211),$B$208=1),$BK$211,HLOOKUP(INDIRECT(ADDRESS(2,COLUMN())),OFFSET($BN$2,0,0,ROW()-1,60),ROW()-1,FALSE))</f>
        <v/>
      </c>
      <c r="BL5" t="str">
        <f ca="1">IF(AND(ISNUMBER($BL$211),$B$208=1),$BL$211,HLOOKUP(INDIRECT(ADDRESS(2,COLUMN())),OFFSET($BN$2,0,0,ROW()-1,60),ROW()-1,FALSE))</f>
        <v/>
      </c>
      <c r="BM5" t="str">
        <f ca="1">IF(AND(ISNUMBER($BM$211),$B$208=1),$BM$211,HLOOKUP(INDIRECT(ADDRESS(2,COLUMN())),OFFSET($BN$2,0,0,ROW()-1,60),ROW()-1,FALSE))</f>
        <v/>
      </c>
      <c r="BN5" t="str">
        <f>""</f>
        <v/>
      </c>
      <c r="BO5" t="str">
        <f>""</f>
        <v/>
      </c>
      <c r="BP5" t="str">
        <f>""</f>
        <v/>
      </c>
      <c r="BQ5" t="str">
        <f>""</f>
        <v/>
      </c>
      <c r="BR5" t="str">
        <f>""</f>
        <v/>
      </c>
      <c r="BS5" t="str">
        <f>""</f>
        <v/>
      </c>
      <c r="BT5" t="str">
        <f>""</f>
        <v/>
      </c>
      <c r="BU5" t="str">
        <f>""</f>
        <v/>
      </c>
      <c r="BV5" t="str">
        <f>""</f>
        <v/>
      </c>
      <c r="BW5" t="str">
        <f>""</f>
        <v/>
      </c>
      <c r="BX5" t="str">
        <f>""</f>
        <v/>
      </c>
      <c r="BY5" t="str">
        <f>""</f>
        <v/>
      </c>
      <c r="BZ5" t="str">
        <f>""</f>
        <v/>
      </c>
      <c r="CA5" t="str">
        <f>""</f>
        <v/>
      </c>
      <c r="CB5" t="str">
        <f>""</f>
        <v/>
      </c>
      <c r="CC5" t="str">
        <f>""</f>
        <v/>
      </c>
      <c r="CD5" t="str">
        <f>""</f>
        <v/>
      </c>
      <c r="CE5" t="str">
        <f>""</f>
        <v/>
      </c>
      <c r="CF5" t="str">
        <f>""</f>
        <v/>
      </c>
      <c r="CG5" t="str">
        <f>""</f>
        <v/>
      </c>
      <c r="CH5" t="str">
        <f>""</f>
        <v/>
      </c>
      <c r="CI5" t="str">
        <f>""</f>
        <v/>
      </c>
      <c r="CJ5" t="str">
        <f>""</f>
        <v/>
      </c>
      <c r="CK5" t="str">
        <f>""</f>
        <v/>
      </c>
      <c r="CL5" t="str">
        <f>""</f>
        <v/>
      </c>
      <c r="CM5" t="str">
        <f>""</f>
        <v/>
      </c>
      <c r="CN5" t="str">
        <f>""</f>
        <v/>
      </c>
      <c r="CO5" t="str">
        <f>""</f>
        <v/>
      </c>
      <c r="CP5" t="str">
        <f>""</f>
        <v/>
      </c>
      <c r="CQ5" t="str">
        <f>""</f>
        <v/>
      </c>
      <c r="CR5" t="str">
        <f>""</f>
        <v/>
      </c>
      <c r="CS5" t="str">
        <f>""</f>
        <v/>
      </c>
      <c r="CT5" t="str">
        <f>""</f>
        <v/>
      </c>
      <c r="CU5" t="str">
        <f>""</f>
        <v/>
      </c>
      <c r="CV5" t="str">
        <f>""</f>
        <v/>
      </c>
      <c r="CW5" t="str">
        <f>""</f>
        <v/>
      </c>
      <c r="CX5" t="str">
        <f>""</f>
        <v/>
      </c>
      <c r="CY5" t="str">
        <f>""</f>
        <v/>
      </c>
      <c r="CZ5" t="str">
        <f>""</f>
        <v/>
      </c>
      <c r="DA5" t="str">
        <f>""</f>
        <v/>
      </c>
      <c r="DB5" t="str">
        <f>""</f>
        <v/>
      </c>
      <c r="DC5" t="str">
        <f>""</f>
        <v/>
      </c>
      <c r="DD5" t="str">
        <f>""</f>
        <v/>
      </c>
      <c r="DE5" t="str">
        <f>""</f>
        <v/>
      </c>
      <c r="DF5" t="str">
        <f>""</f>
        <v/>
      </c>
      <c r="DG5" t="str">
        <f>""</f>
        <v/>
      </c>
      <c r="DH5" t="str">
        <f>""</f>
        <v/>
      </c>
      <c r="DI5" t="str">
        <f>""</f>
        <v/>
      </c>
      <c r="DJ5" t="str">
        <f>""</f>
        <v/>
      </c>
      <c r="DK5" t="str">
        <f>""</f>
        <v/>
      </c>
      <c r="DL5" t="str">
        <f>""</f>
        <v/>
      </c>
      <c r="DM5" t="str">
        <f>""</f>
        <v/>
      </c>
      <c r="DN5" t="str">
        <f>""</f>
        <v/>
      </c>
      <c r="DO5" t="str">
        <f>""</f>
        <v/>
      </c>
      <c r="DP5" t="str">
        <f>""</f>
        <v/>
      </c>
      <c r="DQ5" t="str">
        <f>""</f>
        <v/>
      </c>
      <c r="DR5" t="str">
        <f>""</f>
        <v/>
      </c>
      <c r="DS5" t="str">
        <f>""</f>
        <v/>
      </c>
      <c r="DT5" t="str">
        <f>""</f>
        <v/>
      </c>
      <c r="DU5" t="str">
        <f>""</f>
        <v/>
      </c>
    </row>
    <row r="6" spans="1:125" x14ac:dyDescent="0.25">
      <c r="A6" t="str">
        <f>"    Banco de Sabadell SA"</f>
        <v xml:space="preserve">    Banco de Sabadell SA</v>
      </c>
      <c r="B6" t="str">
        <f>"SAB SM Equity"</f>
        <v>SAB SM Equity</v>
      </c>
      <c r="C6" t="str">
        <f t="shared" si="0"/>
        <v>BM105</v>
      </c>
      <c r="D6" t="str">
        <f t="shared" si="1"/>
        <v>BS_TRADING_ASSETS</v>
      </c>
      <c r="E6" t="str">
        <f t="shared" si="2"/>
        <v>Dynamic</v>
      </c>
      <c r="F6">
        <f ca="1">IF(AND(ISNUMBER($F$212),$B$208=1),$F$212,HLOOKUP(INDIRECT(ADDRESS(2,COLUMN())),OFFSET($BN$2,0,0,ROW()-1,60),ROW()-1,FALSE))</f>
        <v>1420.9559999999999</v>
      </c>
      <c r="G6">
        <f ca="1">IF(AND(ISNUMBER($G$212),$B$208=1),$G$212,HLOOKUP(INDIRECT(ADDRESS(2,COLUMN())),OFFSET($BN$2,0,0,ROW()-1,60),ROW()-1,FALSE))</f>
        <v>2846</v>
      </c>
      <c r="H6">
        <f ca="1">IF(AND(ISNUMBER($H$212),$B$208=1),$H$212,HLOOKUP(INDIRECT(ADDRESS(2,COLUMN())),OFFSET($BN$2,0,0,ROW()-1,60),ROW()-1,FALSE))</f>
        <v>3110</v>
      </c>
      <c r="I6">
        <f ca="1">IF(AND(ISNUMBER($I$212),$B$208=1),$I$212,HLOOKUP(INDIRECT(ADDRESS(2,COLUMN())),OFFSET($BN$2,0,0,ROW()-1,60),ROW()-1,FALSE))</f>
        <v>3042</v>
      </c>
      <c r="J6">
        <f ca="1">IF(AND(ISNUMBER($J$212),$B$208=1),$J$212,HLOOKUP(INDIRECT(ADDRESS(2,COLUMN())),OFFSET($BN$2,0,0,ROW()-1,60),ROW()-1,FALSE))</f>
        <v>142.495</v>
      </c>
      <c r="K6">
        <f ca="1">IF(AND(ISNUMBER($K$212),$B$208=1),$K$212,HLOOKUP(INDIRECT(ADDRESS(2,COLUMN())),OFFSET($BN$2,0,0,ROW()-1,60),ROW()-1,FALSE))</f>
        <v>3802</v>
      </c>
      <c r="L6">
        <f ca="1">IF(AND(ISNUMBER($L$212),$B$208=1),$L$212,HLOOKUP(INDIRECT(ADDRESS(2,COLUMN())),OFFSET($BN$2,0,0,ROW()-1,60),ROW()-1,FALSE))</f>
        <v>532.60599999999999</v>
      </c>
      <c r="M6">
        <f ca="1">IF(AND(ISNUMBER($M$212),$B$208=1),$M$212,HLOOKUP(INDIRECT(ADDRESS(2,COLUMN())),OFFSET($BN$2,0,0,ROW()-1,60),ROW()-1,FALSE))</f>
        <v>3769</v>
      </c>
      <c r="N6">
        <f ca="1">IF(AND(ISNUMBER($N$212),$B$208=1),$N$212,HLOOKUP(INDIRECT(ADDRESS(2,COLUMN())),OFFSET($BN$2,0,0,ROW()-1,60),ROW()-1,FALSE))</f>
        <v>417.13099999999997</v>
      </c>
      <c r="O6">
        <f ca="1">IF(AND(ISNUMBER($O$212),$B$208=1),$O$212,HLOOKUP(INDIRECT(ADDRESS(2,COLUMN())),OFFSET($BN$2,0,0,ROW()-1,60),ROW()-1,FALSE))</f>
        <v>5953</v>
      </c>
      <c r="P6">
        <f ca="1">IF(AND(ISNUMBER($P$212),$B$208=1),$P$212,HLOOKUP(INDIRECT(ADDRESS(2,COLUMN())),OFFSET($BN$2,0,0,ROW()-1,60),ROW()-1,FALSE))</f>
        <v>1632.0709999999999</v>
      </c>
      <c r="Q6">
        <f ca="1">IF(AND(ISNUMBER($Q$212),$B$208=1),$Q$212,HLOOKUP(INDIRECT(ADDRESS(2,COLUMN())),OFFSET($BN$2,0,0,ROW()-1,60),ROW()-1,FALSE))</f>
        <v>2509</v>
      </c>
      <c r="R6">
        <f ca="1">IF(AND(ISNUMBER($R$212),$B$208=1),$R$212,HLOOKUP(INDIRECT(ADDRESS(2,COLUMN())),OFFSET($BN$2,0,0,ROW()-1,60),ROW()-1,FALSE))</f>
        <v>592.63099999999997</v>
      </c>
      <c r="S6">
        <f ca="1">IF(AND(ISNUMBER($S$212),$B$208=1),$S$212,HLOOKUP(INDIRECT(ADDRESS(2,COLUMN())),OFFSET($BN$2,0,0,ROW()-1,60),ROW()-1,FALSE))</f>
        <v>1969</v>
      </c>
      <c r="T6">
        <f ca="1">IF(AND(ISNUMBER($T$212),$B$208=1),$T$212,HLOOKUP(INDIRECT(ADDRESS(2,COLUMN())),OFFSET($BN$2,0,0,ROW()-1,60),ROW()-1,FALSE))</f>
        <v>542.58100000000002</v>
      </c>
      <c r="U6">
        <f ca="1">IF(AND(ISNUMBER($U$212),$B$208=1),$U$212,HLOOKUP(INDIRECT(ADDRESS(2,COLUMN())),OFFSET($BN$2,0,0,ROW()-1,60),ROW()-1,FALSE))</f>
        <v>3059</v>
      </c>
      <c r="V6">
        <f ca="1">IF(AND(ISNUMBER($V$212),$B$208=1),$V$212,HLOOKUP(INDIRECT(ADDRESS(2,COLUMN())),OFFSET($BN$2,0,0,ROW()-1,60),ROW()-1,FALSE))</f>
        <v>314.24099999999999</v>
      </c>
      <c r="W6">
        <f ca="1">IF(AND(ISNUMBER($W$212),$B$208=1),$W$212,HLOOKUP(INDIRECT(ADDRESS(2,COLUMN())),OFFSET($BN$2,0,0,ROW()-1,60),ROW()-1,FALSE))</f>
        <v>3352</v>
      </c>
      <c r="X6">
        <f ca="1">IF(AND(ISNUMBER($X$212),$B$208=1),$X$212,HLOOKUP(INDIRECT(ADDRESS(2,COLUMN())),OFFSET($BN$2,0,0,ROW()-1,60),ROW()-1,FALSE))</f>
        <v>824.45799999999997</v>
      </c>
      <c r="Y6">
        <f ca="1">IF(AND(ISNUMBER($Y$212),$B$208=1),$Y$212,HLOOKUP(INDIRECT(ADDRESS(2,COLUMN())),OFFSET($BN$2,0,0,ROW()-1,60),ROW()-1,FALSE))</f>
        <v>3459</v>
      </c>
      <c r="Z6">
        <f ca="1">IF(AND(ISNUMBER($Z$212),$B$208=1),$Z$212,HLOOKUP(INDIRECT(ADDRESS(2,COLUMN())),OFFSET($BN$2,0,0,ROW()-1,60),ROW()-1,FALSE))</f>
        <v>600.62099999999998</v>
      </c>
      <c r="AA6">
        <f ca="1">IF(AND(ISNUMBER($AA$212),$B$208=1),$AA$212,HLOOKUP(INDIRECT(ADDRESS(2,COLUMN())),OFFSET($BN$2,0,0,ROW()-1,60),ROW()-1,FALSE))</f>
        <v>3177</v>
      </c>
      <c r="AB6">
        <f ca="1">IF(AND(ISNUMBER($AB$212),$B$208=1),$AB$212,HLOOKUP(INDIRECT(ADDRESS(2,COLUMN())),OFFSET($BN$2,0,0,ROW()-1,60),ROW()-1,FALSE))</f>
        <v>438.98599999999999</v>
      </c>
      <c r="AC6">
        <f ca="1">IF(AND(ISNUMBER($AC$212),$B$208=1),$AC$212,HLOOKUP(INDIRECT(ADDRESS(2,COLUMN())),OFFSET($BN$2,0,0,ROW()-1,60),ROW()-1,FALSE))</f>
        <v>2418</v>
      </c>
      <c r="AD6">
        <f ca="1">IF(AND(ISNUMBER($AD$212),$B$208=1),$AD$212,HLOOKUP(INDIRECT(ADDRESS(2,COLUMN())),OFFSET($BN$2,0,0,ROW()-1,60),ROW()-1,FALSE))</f>
        <v>324.69099999999997</v>
      </c>
      <c r="AE6">
        <f ca="1">IF(AND(ISNUMBER($AE$212),$B$208=1),$AE$212,HLOOKUP(INDIRECT(ADDRESS(2,COLUMN())),OFFSET($BN$2,0,0,ROW()-1,60),ROW()-1,FALSE))</f>
        <v>1937</v>
      </c>
      <c r="AF6">
        <f ca="1">IF(AND(ISNUMBER($AF$212),$B$208=1),$AF$212,HLOOKUP(INDIRECT(ADDRESS(2,COLUMN())),OFFSET($BN$2,0,0,ROW()-1,60),ROW()-1,FALSE))</f>
        <v>295.66199999999998</v>
      </c>
      <c r="AG6">
        <f ca="1">IF(AND(ISNUMBER($AG$212),$B$208=1),$AG$212,HLOOKUP(INDIRECT(ADDRESS(2,COLUMN())),OFFSET($BN$2,0,0,ROW()-1,60),ROW()-1,FALSE))</f>
        <v>1906</v>
      </c>
      <c r="AH6">
        <f ca="1">IF(AND(ISNUMBER($AH$212),$B$208=1),$AH$212,HLOOKUP(INDIRECT(ADDRESS(2,COLUMN())),OFFSET($BN$2,0,0,ROW()-1,60),ROW()-1,FALSE))</f>
        <v>131.761</v>
      </c>
      <c r="AI6">
        <f ca="1">IF(AND(ISNUMBER($AI$212),$B$208=1),$AI$212,HLOOKUP(INDIRECT(ADDRESS(2,COLUMN())),OFFSET($BN$2,0,0,ROW()-1,60),ROW()-1,FALSE))</f>
        <v>2352</v>
      </c>
      <c r="AJ6">
        <f ca="1">IF(AND(ISNUMBER($AJ$212),$B$208=1),$AJ$212,HLOOKUP(INDIRECT(ADDRESS(2,COLUMN())),OFFSET($BN$2,0,0,ROW()-1,60),ROW()-1,FALSE))</f>
        <v>319.96600000000001</v>
      </c>
      <c r="AK6">
        <f ca="1">IF(AND(ISNUMBER($AK$212),$B$208=1),$AK$212,HLOOKUP(INDIRECT(ADDRESS(2,COLUMN())),OFFSET($BN$2,0,0,ROW()-1,60),ROW()-1,FALSE))</f>
        <v>2639</v>
      </c>
      <c r="AL6">
        <f ca="1">IF(AND(ISNUMBER($AL$212),$B$208=1),$AL$212,HLOOKUP(INDIRECT(ADDRESS(2,COLUMN())),OFFSET($BN$2,0,0,ROW()-1,60),ROW()-1,FALSE))</f>
        <v>1649.7260000000001</v>
      </c>
      <c r="AM6">
        <f ca="1">IF(AND(ISNUMBER($AM$212),$B$208=1),$AM$212,HLOOKUP(INDIRECT(ADDRESS(2,COLUMN())),OFFSET($BN$2,0,0,ROW()-1,60),ROW()-1,FALSE))</f>
        <v>4841</v>
      </c>
      <c r="AN6">
        <f ca="1">IF(AND(ISNUMBER($AN$212),$B$208=1),$AN$212,HLOOKUP(INDIRECT(ADDRESS(2,COLUMN())),OFFSET($BN$2,0,0,ROW()-1,60),ROW()-1,FALSE))</f>
        <v>1229.693</v>
      </c>
      <c r="AO6">
        <f ca="1">IF(AND(ISNUMBER($AO$212),$B$208=1),$AO$212,HLOOKUP(INDIRECT(ADDRESS(2,COLUMN())),OFFSET($BN$2,0,0,ROW()-1,60),ROW()-1,FALSE))</f>
        <v>4146</v>
      </c>
      <c r="AP6">
        <f ca="1">IF(AND(ISNUMBER($AP$212),$B$208=1),$AP$212,HLOOKUP(INDIRECT(ADDRESS(2,COLUMN())),OFFSET($BN$2,0,0,ROW()-1,60),ROW()-1,FALSE))</f>
        <v>803.67200000000003</v>
      </c>
      <c r="AQ6">
        <f ca="1">IF(AND(ISNUMBER($AQ$212),$B$208=1),$AQ$212,HLOOKUP(INDIRECT(ADDRESS(2,COLUMN())),OFFSET($BN$2,0,0,ROW()-1,60),ROW()-1,FALSE))</f>
        <v>3258</v>
      </c>
      <c r="AR6">
        <f ca="1">IF(AND(ISNUMBER($AR$212),$B$208=1),$AR$212,HLOOKUP(INDIRECT(ADDRESS(2,COLUMN())),OFFSET($BN$2,0,0,ROW()-1,60),ROW()-1,FALSE))</f>
        <v>2254.739</v>
      </c>
      <c r="AS6">
        <f ca="1">IF(AND(ISNUMBER($AS$212),$B$208=1),$AS$212,HLOOKUP(INDIRECT(ADDRESS(2,COLUMN())),OFFSET($BN$2,0,0,ROW()-1,60),ROW()-1,FALSE))</f>
        <v>3785.27</v>
      </c>
      <c r="AT6">
        <f ca="1">IF(AND(ISNUMBER($AT$212),$B$208=1),$AT$212,HLOOKUP(INDIRECT(ADDRESS(2,COLUMN())),OFFSET($BN$2,0,0,ROW()-1,60),ROW()-1,FALSE))</f>
        <v>623.86500000000001</v>
      </c>
      <c r="AU6">
        <f ca="1">IF(AND(ISNUMBER($AU$212),$B$208=1),$AU$212,HLOOKUP(INDIRECT(ADDRESS(2,COLUMN())),OFFSET($BN$2,0,0,ROW()-1,60),ROW()-1,FALSE))</f>
        <v>3113</v>
      </c>
      <c r="AV6">
        <f ca="1">IF(AND(ISNUMBER($AV$212),$B$208=1),$AV$212,HLOOKUP(INDIRECT(ADDRESS(2,COLUMN())),OFFSET($BN$2,0,0,ROW()-1,60),ROW()-1,FALSE))</f>
        <v>712.577</v>
      </c>
      <c r="AW6">
        <f ca="1">IF(AND(ISNUMBER($AW$212),$B$208=1),$AW$212,HLOOKUP(INDIRECT(ADDRESS(2,COLUMN())),OFFSET($BN$2,0,0,ROW()-1,60),ROW()-1,FALSE))</f>
        <v>2438.346</v>
      </c>
      <c r="AX6">
        <f ca="1">IF(AND(ISNUMBER($AX$212),$B$208=1),$AX$212,HLOOKUP(INDIRECT(ADDRESS(2,COLUMN())),OFFSET($BN$2,0,0,ROW()-1,60),ROW()-1,FALSE))</f>
        <v>601.01</v>
      </c>
      <c r="AY6">
        <f ca="1">IF(AND(ISNUMBER($AY$212),$B$208=1),$AY$212,HLOOKUP(INDIRECT(ADDRESS(2,COLUMN())),OFFSET($BN$2,0,0,ROW()-1,60),ROW()-1,FALSE))</f>
        <v>6959.9430000000002</v>
      </c>
      <c r="AZ6">
        <f ca="1">IF(AND(ISNUMBER($AZ$212),$B$208=1),$AZ$212,HLOOKUP(INDIRECT(ADDRESS(2,COLUMN())),OFFSET($BN$2,0,0,ROW()-1,60),ROW()-1,FALSE))</f>
        <v>373.505</v>
      </c>
      <c r="BA6">
        <f ca="1">IF(AND(ISNUMBER($BA$212),$B$208=1),$BA$212,HLOOKUP(INDIRECT(ADDRESS(2,COLUMN())),OFFSET($BN$2,0,0,ROW()-1,60),ROW()-1,FALSE))</f>
        <v>7133.5739999999996</v>
      </c>
      <c r="BB6">
        <f ca="1">IF(AND(ISNUMBER($BB$212),$B$208=1),$BB$212,HLOOKUP(INDIRECT(ADDRESS(2,COLUMN())),OFFSET($BN$2,0,0,ROW()-1,60),ROW()-1,FALSE))</f>
        <v>339.142</v>
      </c>
      <c r="BC6">
        <f ca="1">IF(AND(ISNUMBER($BC$212),$B$208=1),$BC$212,HLOOKUP(INDIRECT(ADDRESS(2,COLUMN())),OFFSET($BN$2,0,0,ROW()-1,60),ROW()-1,FALSE))</f>
        <v>9955.4240000000009</v>
      </c>
      <c r="BD6">
        <f ca="1">IF(AND(ISNUMBER($BD$212),$B$208=1),$BD$212,HLOOKUP(INDIRECT(ADDRESS(2,COLUMN())),OFFSET($BN$2,0,0,ROW()-1,60),ROW()-1,FALSE))</f>
        <v>213.22</v>
      </c>
      <c r="BE6">
        <f ca="1">IF(AND(ISNUMBER($BE$212),$B$208=1),$BE$212,HLOOKUP(INDIRECT(ADDRESS(2,COLUMN())),OFFSET($BN$2,0,0,ROW()-1,60),ROW()-1,FALSE))</f>
        <v>2308.509</v>
      </c>
      <c r="BF6">
        <f ca="1">IF(AND(ISNUMBER($BF$212),$B$208=1),$BF$212,HLOOKUP(INDIRECT(ADDRESS(2,COLUMN())),OFFSET($BN$2,0,0,ROW()-1,60),ROW()-1,FALSE))</f>
        <v>1682.12</v>
      </c>
      <c r="BG6">
        <f ca="1">IF(AND(ISNUMBER($BG$212),$B$208=1),$BG$212,HLOOKUP(INDIRECT(ADDRESS(2,COLUMN())),OFFSET($BN$2,0,0,ROW()-1,60),ROW()-1,FALSE))</f>
        <v>2330.4549999999999</v>
      </c>
      <c r="BH6">
        <f ca="1">IF(AND(ISNUMBER($BH$212),$B$208=1),$BH$212,HLOOKUP(INDIRECT(ADDRESS(2,COLUMN())),OFFSET($BN$2,0,0,ROW()-1,60),ROW()-1,FALSE))</f>
        <v>1317.3720000000001</v>
      </c>
      <c r="BI6">
        <f ca="1">IF(AND(ISNUMBER($BI$212),$B$208=1),$BI$212,HLOOKUP(INDIRECT(ADDRESS(2,COLUMN())),OFFSET($BN$2,0,0,ROW()-1,60),ROW()-1,FALSE))</f>
        <v>1494.5920000000001</v>
      </c>
      <c r="BJ6" t="str">
        <f ca="1">IF(AND(ISNUMBER($BJ$212),$B$208=1),$BJ$212,HLOOKUP(INDIRECT(ADDRESS(2,COLUMN())),OFFSET($BN$2,0,0,ROW()-1,60),ROW()-1,FALSE))</f>
        <v/>
      </c>
      <c r="BK6">
        <f ca="1">IF(AND(ISNUMBER($BK$212),$B$208=1),$BK$212,HLOOKUP(INDIRECT(ADDRESS(2,COLUMN())),OFFSET($BN$2,0,0,ROW()-1,60),ROW()-1,FALSE))</f>
        <v>2216.3809999999999</v>
      </c>
      <c r="BL6">
        <f ca="1">IF(AND(ISNUMBER($BL$212),$B$208=1),$BL$212,HLOOKUP(INDIRECT(ADDRESS(2,COLUMN())),OFFSET($BN$2,0,0,ROW()-1,60),ROW()-1,FALSE))</f>
        <v>2324.3339999999998</v>
      </c>
      <c r="BM6" t="str">
        <f ca="1">IF(AND(ISNUMBER($BM$212),$B$208=1),$BM$212,HLOOKUP(INDIRECT(ADDRESS(2,COLUMN())),OFFSET($BN$2,0,0,ROW()-1,60),ROW()-1,FALSE))</f>
        <v/>
      </c>
      <c r="BN6">
        <f>1420.956</f>
        <v>1420.9559999999999</v>
      </c>
      <c r="BO6">
        <f>2846</f>
        <v>2846</v>
      </c>
      <c r="BP6">
        <f>3110</f>
        <v>3110</v>
      </c>
      <c r="BQ6">
        <f>3042</f>
        <v>3042</v>
      </c>
      <c r="BR6">
        <f>142.495</f>
        <v>142.495</v>
      </c>
      <c r="BS6">
        <f>3802</f>
        <v>3802</v>
      </c>
      <c r="BT6">
        <f>532.606</f>
        <v>532.60599999999999</v>
      </c>
      <c r="BU6">
        <f>3769</f>
        <v>3769</v>
      </c>
      <c r="BV6">
        <f>417.131</f>
        <v>417.13099999999997</v>
      </c>
      <c r="BW6">
        <f>5953</f>
        <v>5953</v>
      </c>
      <c r="BX6">
        <f>1632.071</f>
        <v>1632.0709999999999</v>
      </c>
      <c r="BY6">
        <f>2509</f>
        <v>2509</v>
      </c>
      <c r="BZ6">
        <f>592.631</f>
        <v>592.63099999999997</v>
      </c>
      <c r="CA6">
        <f>1969</f>
        <v>1969</v>
      </c>
      <c r="CB6">
        <f>542.581</f>
        <v>542.58100000000002</v>
      </c>
      <c r="CC6">
        <f>3059</f>
        <v>3059</v>
      </c>
      <c r="CD6">
        <f>314.241</f>
        <v>314.24099999999999</v>
      </c>
      <c r="CE6">
        <f>3352</f>
        <v>3352</v>
      </c>
      <c r="CF6">
        <f>824.458</f>
        <v>824.45799999999997</v>
      </c>
      <c r="CG6">
        <f>3459</f>
        <v>3459</v>
      </c>
      <c r="CH6">
        <f>600.621</f>
        <v>600.62099999999998</v>
      </c>
      <c r="CI6">
        <f>3177</f>
        <v>3177</v>
      </c>
      <c r="CJ6">
        <f>438.986</f>
        <v>438.98599999999999</v>
      </c>
      <c r="CK6">
        <f>2418</f>
        <v>2418</v>
      </c>
      <c r="CL6">
        <f>324.691</f>
        <v>324.69099999999997</v>
      </c>
      <c r="CM6">
        <f>1937</f>
        <v>1937</v>
      </c>
      <c r="CN6">
        <f>295.662</f>
        <v>295.66199999999998</v>
      </c>
      <c r="CO6">
        <f>1906</f>
        <v>1906</v>
      </c>
      <c r="CP6">
        <f>131.761</f>
        <v>131.761</v>
      </c>
      <c r="CQ6">
        <f>2352</f>
        <v>2352</v>
      </c>
      <c r="CR6">
        <f>319.966</f>
        <v>319.96600000000001</v>
      </c>
      <c r="CS6">
        <f>2639</f>
        <v>2639</v>
      </c>
      <c r="CT6">
        <f>1649.726</f>
        <v>1649.7260000000001</v>
      </c>
      <c r="CU6">
        <f>4841</f>
        <v>4841</v>
      </c>
      <c r="CV6">
        <f>1229.693</f>
        <v>1229.693</v>
      </c>
      <c r="CW6">
        <f>4146</f>
        <v>4146</v>
      </c>
      <c r="CX6">
        <f>803.672</f>
        <v>803.67200000000003</v>
      </c>
      <c r="CY6">
        <f>3258</f>
        <v>3258</v>
      </c>
      <c r="CZ6">
        <f>2254.739</f>
        <v>2254.739</v>
      </c>
      <c r="DA6">
        <f>3785.27</f>
        <v>3785.27</v>
      </c>
      <c r="DB6">
        <f>623.865</f>
        <v>623.86500000000001</v>
      </c>
      <c r="DC6">
        <f>3113</f>
        <v>3113</v>
      </c>
      <c r="DD6">
        <f>712.577</f>
        <v>712.577</v>
      </c>
      <c r="DE6">
        <f>2438.346</f>
        <v>2438.346</v>
      </c>
      <c r="DF6">
        <f>601.01</f>
        <v>601.01</v>
      </c>
      <c r="DG6">
        <f>6959.943</f>
        <v>6959.9430000000002</v>
      </c>
      <c r="DH6">
        <f>373.505</f>
        <v>373.505</v>
      </c>
      <c r="DI6">
        <f>7133.574</f>
        <v>7133.5739999999996</v>
      </c>
      <c r="DJ6">
        <f>339.142</f>
        <v>339.142</v>
      </c>
      <c r="DK6">
        <f>9955.424</f>
        <v>9955.4240000000009</v>
      </c>
      <c r="DL6">
        <f>213.22</f>
        <v>213.22</v>
      </c>
      <c r="DM6">
        <f>2308.509</f>
        <v>2308.509</v>
      </c>
      <c r="DN6">
        <f>1682.12</f>
        <v>1682.12</v>
      </c>
      <c r="DO6">
        <f>2330.455</f>
        <v>2330.4549999999999</v>
      </c>
      <c r="DP6">
        <f>1317.372</f>
        <v>1317.3720000000001</v>
      </c>
      <c r="DQ6">
        <f>1494.592</f>
        <v>1494.5920000000001</v>
      </c>
      <c r="DR6" t="str">
        <f>""</f>
        <v/>
      </c>
      <c r="DS6">
        <f>2216.381</f>
        <v>2216.3809999999999</v>
      </c>
      <c r="DT6">
        <f>2324.334</f>
        <v>2324.3339999999998</v>
      </c>
      <c r="DU6" t="str">
        <f>""</f>
        <v/>
      </c>
    </row>
    <row r="7" spans="1:125" x14ac:dyDescent="0.25">
      <c r="A7" t="str">
        <f>"    Banco Santander SA"</f>
        <v xml:space="preserve">    Banco Santander SA</v>
      </c>
      <c r="B7" t="str">
        <f>"SAN SM Equity"</f>
        <v>SAN SM Equity</v>
      </c>
      <c r="C7" t="str">
        <f t="shared" si="0"/>
        <v>BM105</v>
      </c>
      <c r="D7" t="str">
        <f t="shared" si="1"/>
        <v>BS_TRADING_ASSETS</v>
      </c>
      <c r="E7" t="str">
        <f t="shared" si="2"/>
        <v>Dynamic</v>
      </c>
      <c r="F7">
        <f ca="1">IF(AND(ISNUMBER($F$213),$B$208=1),$F$213,HLOOKUP(INDIRECT(ADDRESS(2,COLUMN())),OFFSET($BN$2,0,0,ROW()-1,60),ROW()-1,FALSE))</f>
        <v>189973</v>
      </c>
      <c r="G7">
        <f ca="1">IF(AND(ISNUMBER($G$213),$B$208=1),$G$213,HLOOKUP(INDIRECT(ADDRESS(2,COLUMN())),OFFSET($BN$2,0,0,ROW()-1,60),ROW()-1,FALSE))</f>
        <v>232039</v>
      </c>
      <c r="H7">
        <f ca="1">IF(AND(ISNUMBER($H$213),$B$208=1),$H$213,HLOOKUP(INDIRECT(ADDRESS(2,COLUMN())),OFFSET($BN$2,0,0,ROW()-1,60),ROW()-1,FALSE))</f>
        <v>206874</v>
      </c>
      <c r="I7">
        <f ca="1">IF(AND(ISNUMBER($I$213),$B$208=1),$I$213,HLOOKUP(INDIRECT(ADDRESS(2,COLUMN())),OFFSET($BN$2,0,0,ROW()-1,60),ROW()-1,FALSE))</f>
        <v>209589</v>
      </c>
      <c r="J7">
        <f ca="1">IF(AND(ISNUMBER($J$213),$B$208=1),$J$213,HLOOKUP(INDIRECT(ADDRESS(2,COLUMN())),OFFSET($BN$2,0,0,ROW()-1,60),ROW()-1,FALSE))</f>
        <v>176921</v>
      </c>
      <c r="K7">
        <f ca="1">IF(AND(ISNUMBER($K$213),$B$208=1),$K$213,HLOOKUP(INDIRECT(ADDRESS(2,COLUMN())),OFFSET($BN$2,0,0,ROW()-1,60),ROW()-1,FALSE))</f>
        <v>201226</v>
      </c>
      <c r="L7">
        <f ca="1">IF(AND(ISNUMBER($L$213),$B$208=1),$L$213,HLOOKUP(INDIRECT(ADDRESS(2,COLUMN())),OFFSET($BN$2,0,0,ROW()-1,60),ROW()-1,FALSE))</f>
        <v>183834</v>
      </c>
      <c r="M7">
        <f ca="1">IF(AND(ISNUMBER($M$213),$B$208=1),$M$213,HLOOKUP(INDIRECT(ADDRESS(2,COLUMN())),OFFSET($BN$2,0,0,ROW()-1,60),ROW()-1,FALSE))</f>
        <v>172889</v>
      </c>
      <c r="N7">
        <f ca="1">IF(AND(ISNUMBER($N$213),$B$208=1),$N$213,HLOOKUP(INDIRECT(ADDRESS(2,COLUMN())),OFFSET($BN$2,0,0,ROW()-1,60),ROW()-1,FALSE))</f>
        <v>156118</v>
      </c>
      <c r="O7">
        <f ca="1">IF(AND(ISNUMBER($O$213),$B$208=1),$O$213,HLOOKUP(INDIRECT(ADDRESS(2,COLUMN())),OFFSET($BN$2,0,0,ROW()-1,60),ROW()-1,FALSE))</f>
        <v>179775</v>
      </c>
      <c r="P7">
        <f ca="1">IF(AND(ISNUMBER($P$213),$B$208=1),$P$213,HLOOKUP(INDIRECT(ADDRESS(2,COLUMN())),OFFSET($BN$2,0,0,ROW()-1,60),ROW()-1,FALSE))</f>
        <v>163235</v>
      </c>
      <c r="Q7">
        <f ca="1">IF(AND(ISNUMBER($Q$213),$B$208=1),$Q$213,HLOOKUP(INDIRECT(ADDRESS(2,COLUMN())),OFFSET($BN$2,0,0,ROW()-1,60),ROW()-1,FALSE))</f>
        <v>148472</v>
      </c>
      <c r="R7">
        <f ca="1">IF(AND(ISNUMBER($R$213),$B$208=1),$R$213,HLOOKUP(INDIRECT(ADDRESS(2,COLUMN())),OFFSET($BN$2,0,0,ROW()-1,60),ROW()-1,FALSE))</f>
        <v>116953</v>
      </c>
      <c r="S7">
        <f ca="1">IF(AND(ISNUMBER($S$213),$B$208=1),$S$213,HLOOKUP(INDIRECT(ADDRESS(2,COLUMN())),OFFSET($BN$2,0,0,ROW()-1,60),ROW()-1,FALSE))</f>
        <v>122967</v>
      </c>
      <c r="T7">
        <f ca="1">IF(AND(ISNUMBER($T$213),$B$208=1),$T$213,HLOOKUP(INDIRECT(ADDRESS(2,COLUMN())),OFFSET($BN$2,0,0,ROW()-1,60),ROW()-1,FALSE))</f>
        <v>102792</v>
      </c>
      <c r="U7">
        <f ca="1">IF(AND(ISNUMBER($U$213),$B$208=1),$U$213,HLOOKUP(INDIRECT(ADDRESS(2,COLUMN())),OFFSET($BN$2,0,0,ROW()-1,60),ROW()-1,FALSE))</f>
        <v>109643</v>
      </c>
      <c r="V7">
        <f ca="1">IF(AND(ISNUMBER($V$213),$B$208=1),$V$213,HLOOKUP(INDIRECT(ADDRESS(2,COLUMN())),OFFSET($BN$2,0,0,ROW()-1,60),ROW()-1,FALSE))</f>
        <v>114945</v>
      </c>
      <c r="W7">
        <f ca="1">IF(AND(ISNUMBER($W$213),$B$208=1),$W$213,HLOOKUP(INDIRECT(ADDRESS(2,COLUMN())),OFFSET($BN$2,0,0,ROW()-1,60),ROW()-1,FALSE))</f>
        <v>117654</v>
      </c>
      <c r="X7">
        <f ca="1">IF(AND(ISNUMBER($X$213),$B$208=1),$X$213,HLOOKUP(INDIRECT(ADDRESS(2,COLUMN())),OFFSET($BN$2,0,0,ROW()-1,60),ROW()-1,FALSE))</f>
        <v>124145</v>
      </c>
      <c r="Y7">
        <f ca="1">IF(AND(ISNUMBER($Y$213),$B$208=1),$Y$213,HLOOKUP(INDIRECT(ADDRESS(2,COLUMN())),OFFSET($BN$2,0,0,ROW()-1,60),ROW()-1,FALSE))</f>
        <v>125846</v>
      </c>
      <c r="Z7">
        <f ca="1">IF(AND(ISNUMBER($Z$213),$B$208=1),$Z$213,HLOOKUP(INDIRECT(ADDRESS(2,COLUMN())),OFFSET($BN$2,0,0,ROW()-1,60),ROW()-1,FALSE))</f>
        <v>44478</v>
      </c>
      <c r="AA7">
        <f ca="1">IF(AND(ISNUMBER($AA$213),$B$208=1),$AA$213,HLOOKUP(INDIRECT(ADDRESS(2,COLUMN())),OFFSET($BN$2,0,0,ROW()-1,60),ROW()-1,FALSE))</f>
        <v>46731</v>
      </c>
      <c r="AB7">
        <f ca="1">IF(AND(ISNUMBER($AB$213),$B$208=1),$AB$213,HLOOKUP(INDIRECT(ADDRESS(2,COLUMN())),OFFSET($BN$2,0,0,ROW()-1,60),ROW()-1,FALSE))</f>
        <v>44476</v>
      </c>
      <c r="AC7">
        <f ca="1">IF(AND(ISNUMBER($AC$213),$B$208=1),$AC$213,HLOOKUP(INDIRECT(ADDRESS(2,COLUMN())),OFFSET($BN$2,0,0,ROW()-1,60),ROW()-1,FALSE))</f>
        <v>42144</v>
      </c>
      <c r="AD7">
        <f ca="1">IF(AND(ISNUMBER($AD$213),$B$208=1),$AD$213,HLOOKUP(INDIRECT(ADDRESS(2,COLUMN())),OFFSET($BN$2,0,0,ROW()-1,60),ROW()-1,FALSE))</f>
        <v>36738</v>
      </c>
      <c r="AE7">
        <f ca="1">IF(AND(ISNUMBER($AE$213),$B$208=1),$AE$213,HLOOKUP(INDIRECT(ADDRESS(2,COLUMN())),OFFSET($BN$2,0,0,ROW()-1,60),ROW()-1,FALSE))</f>
        <v>45469</v>
      </c>
      <c r="AF7">
        <f ca="1">IF(AND(ISNUMBER($AF$213),$B$208=1),$AF$213,HLOOKUP(INDIRECT(ADDRESS(2,COLUMN())),OFFSET($BN$2,0,0,ROW()-1,60),ROW()-1,FALSE))</f>
        <v>44675</v>
      </c>
      <c r="AG7">
        <f ca="1">IF(AND(ISNUMBER($AG$213),$B$208=1),$AG$213,HLOOKUP(INDIRECT(ADDRESS(2,COLUMN())),OFFSET($BN$2,0,0,ROW()-1,60),ROW()-1,FALSE))</f>
        <v>50000</v>
      </c>
      <c r="AH7" t="str">
        <f ca="1">IF(AND(ISNUMBER($AH$213),$B$208=1),$AH$213,HLOOKUP(INDIRECT(ADDRESS(2,COLUMN())),OFFSET($BN$2,0,0,ROW()-1,60),ROW()-1,FALSE))</f>
        <v/>
      </c>
      <c r="AI7">
        <f ca="1">IF(AND(ISNUMBER($AI$213),$B$208=1),$AI$213,HLOOKUP(INDIRECT(ADDRESS(2,COLUMN())),OFFSET($BN$2,0,0,ROW()-1,60),ROW()-1,FALSE))</f>
        <v>126649</v>
      </c>
      <c r="AJ7">
        <f ca="1">IF(AND(ISNUMBER($AJ$213),$B$208=1),$AJ$213,HLOOKUP(INDIRECT(ADDRESS(2,COLUMN())),OFFSET($BN$2,0,0,ROW()-1,60),ROW()-1,FALSE))</f>
        <v>55969</v>
      </c>
      <c r="AK7">
        <f ca="1">IF(AND(ISNUMBER($AK$213),$B$208=1),$AK$213,HLOOKUP(INDIRECT(ADDRESS(2,COLUMN())),OFFSET($BN$2,0,0,ROW()-1,60),ROW()-1,FALSE))</f>
        <v>63118</v>
      </c>
      <c r="AL7">
        <f ca="1">IF(AND(ISNUMBER($AL$213),$B$208=1),$AL$213,HLOOKUP(INDIRECT(ADDRESS(2,COLUMN())),OFFSET($BN$2,0,0,ROW()-1,60),ROW()-1,FALSE))</f>
        <v>63419</v>
      </c>
      <c r="AM7">
        <f ca="1">IF(AND(ISNUMBER($AM$213),$B$208=1),$AM$213,HLOOKUP(INDIRECT(ADDRESS(2,COLUMN())),OFFSET($BN$2,0,0,ROW()-1,60),ROW()-1,FALSE))</f>
        <v>55997</v>
      </c>
      <c r="AN7">
        <f ca="1">IF(AND(ISNUMBER($AN$213),$B$208=1),$AN$213,HLOOKUP(INDIRECT(ADDRESS(2,COLUMN())),OFFSET($BN$2,0,0,ROW()-1,60),ROW()-1,FALSE))</f>
        <v>59314</v>
      </c>
      <c r="AO7">
        <f ca="1">IF(AND(ISNUMBER($AO$213),$B$208=1),$AO$213,HLOOKUP(INDIRECT(ADDRESS(2,COLUMN())),OFFSET($BN$2,0,0,ROW()-1,60),ROW()-1,FALSE))</f>
        <v>64644</v>
      </c>
      <c r="AP7">
        <f ca="1">IF(AND(ISNUMBER($AP$213),$B$208=1),$AP$213,HLOOKUP(INDIRECT(ADDRESS(2,COLUMN())),OFFSET($BN$2,0,0,ROW()-1,60),ROW()-1,FALSE))</f>
        <v>62189</v>
      </c>
      <c r="AQ7">
        <f ca="1">IF(AND(ISNUMBER($AQ$213),$B$208=1),$AQ$213,HLOOKUP(INDIRECT(ADDRESS(2,COLUMN())),OFFSET($BN$2,0,0,ROW()-1,60),ROW()-1,FALSE))</f>
        <v>59139</v>
      </c>
      <c r="AR7">
        <f ca="1">IF(AND(ISNUMBER($AR$213),$B$208=1),$AR$213,HLOOKUP(INDIRECT(ADDRESS(2,COLUMN())),OFFSET($BN$2,0,0,ROW()-1,60),ROW()-1,FALSE))</f>
        <v>69424</v>
      </c>
      <c r="AS7">
        <f ca="1">IF(AND(ISNUMBER($AS$213),$B$208=1),$AS$213,HLOOKUP(INDIRECT(ADDRESS(2,COLUMN())),OFFSET($BN$2,0,0,ROW()-1,60),ROW()-1,FALSE))</f>
        <v>68976</v>
      </c>
      <c r="AT7">
        <f ca="1">IF(AND(ISNUMBER($AT$213),$B$208=1),$AT$213,HLOOKUP(INDIRECT(ADDRESS(2,COLUMN())),OFFSET($BN$2,0,0,ROW()-1,60),ROW()-1,FALSE))</f>
        <v>67294</v>
      </c>
      <c r="AU7">
        <f ca="1">IF(AND(ISNUMBER($AU$213),$B$208=1),$AU$213,HLOOKUP(INDIRECT(ADDRESS(2,COLUMN())),OFFSET($BN$2,0,0,ROW()-1,60),ROW()-1,FALSE))</f>
        <v>68095</v>
      </c>
      <c r="AV7">
        <f ca="1">IF(AND(ISNUMBER($AV$213),$B$208=1),$AV$213,HLOOKUP(INDIRECT(ADDRESS(2,COLUMN())),OFFSET($BN$2,0,0,ROW()-1,60),ROW()-1,FALSE))</f>
        <v>63514</v>
      </c>
      <c r="AW7">
        <f ca="1">IF(AND(ISNUMBER($AW$213),$B$208=1),$AW$213,HLOOKUP(INDIRECT(ADDRESS(2,COLUMN())),OFFSET($BN$2,0,0,ROW()-1,60),ROW()-1,FALSE))</f>
        <v>56965</v>
      </c>
      <c r="AX7">
        <f ca="1">IF(AND(ISNUMBER($AX$213),$B$208=1),$AX$213,HLOOKUP(INDIRECT(ADDRESS(2,COLUMN())),OFFSET($BN$2,0,0,ROW()-1,60),ROW()-1,FALSE))</f>
        <v>45808</v>
      </c>
      <c r="AY7">
        <f ca="1">IF(AND(ISNUMBER($AY$213),$B$208=1),$AY$213,HLOOKUP(INDIRECT(ADDRESS(2,COLUMN())),OFFSET($BN$2,0,0,ROW()-1,60),ROW()-1,FALSE))</f>
        <v>49259</v>
      </c>
      <c r="AZ7">
        <f ca="1">IF(AND(ISNUMBER($AZ$213),$B$208=1),$AZ$213,HLOOKUP(INDIRECT(ADDRESS(2,COLUMN())),OFFSET($BN$2,0,0,ROW()-1,60),ROW()-1,FALSE))</f>
        <v>56365</v>
      </c>
      <c r="BA7">
        <f ca="1">IF(AND(ISNUMBER($BA$213),$B$208=1),$BA$213,HLOOKUP(INDIRECT(ADDRESS(2,COLUMN())),OFFSET($BN$2,0,0,ROW()-1,60),ROW()-1,FALSE))</f>
        <v>54997</v>
      </c>
      <c r="BB7">
        <f ca="1">IF(AND(ISNUMBER($BB$213),$B$208=1),$BB$213,HLOOKUP(INDIRECT(ADDRESS(2,COLUMN())),OFFSET($BN$2,0,0,ROW()-1,60),ROW()-1,FALSE))</f>
        <v>48593</v>
      </c>
      <c r="BC7">
        <f ca="1">IF(AND(ISNUMBER($BC$213),$B$208=1),$BC$213,HLOOKUP(INDIRECT(ADDRESS(2,COLUMN())),OFFSET($BN$2,0,0,ROW()-1,60),ROW()-1,FALSE))</f>
        <v>46618</v>
      </c>
      <c r="BD7">
        <f ca="1">IF(AND(ISNUMBER($BD$213),$B$208=1),$BD$213,HLOOKUP(INDIRECT(ADDRESS(2,COLUMN())),OFFSET($BN$2,0,0,ROW()-1,60),ROW()-1,FALSE))</f>
        <v>53246</v>
      </c>
      <c r="BE7">
        <f ca="1">IF(AND(ISNUMBER($BE$213),$B$208=1),$BE$213,HLOOKUP(INDIRECT(ADDRESS(2,COLUMN())),OFFSET($BN$2,0,0,ROW()-1,60),ROW()-1,FALSE))</f>
        <v>58539</v>
      </c>
      <c r="BF7">
        <f ca="1">IF(AND(ISNUMBER($BF$213),$B$208=1),$BF$213,HLOOKUP(INDIRECT(ADDRESS(2,COLUMN())),OFFSET($BN$2,0,0,ROW()-1,60),ROW()-1,FALSE))</f>
        <v>57448</v>
      </c>
      <c r="BG7">
        <f ca="1">IF(AND(ISNUMBER($BG$213),$B$208=1),$BG$213,HLOOKUP(INDIRECT(ADDRESS(2,COLUMN())),OFFSET($BN$2,0,0,ROW()-1,60),ROW()-1,FALSE))</f>
        <v>66465</v>
      </c>
      <c r="BH7">
        <f ca="1">IF(AND(ISNUMBER($BH$213),$B$208=1),$BH$213,HLOOKUP(INDIRECT(ADDRESS(2,COLUMN())),OFFSET($BN$2,0,0,ROW()-1,60),ROW()-1,FALSE))</f>
        <v>163607</v>
      </c>
      <c r="BI7">
        <f ca="1">IF(AND(ISNUMBER($BI$213),$B$208=1),$BI$213,HLOOKUP(INDIRECT(ADDRESS(2,COLUMN())),OFFSET($BN$2,0,0,ROW()-1,60),ROW()-1,FALSE))</f>
        <v>148138</v>
      </c>
      <c r="BJ7">
        <f ca="1">IF(AND(ISNUMBER($BJ$213),$B$208=1),$BJ$213,HLOOKUP(INDIRECT(ADDRESS(2,COLUMN())),OFFSET($BN$2,0,0,ROW()-1,60),ROW()-1,FALSE))</f>
        <v>139790.41899999999</v>
      </c>
      <c r="BK7">
        <f ca="1">IF(AND(ISNUMBER($BK$213),$B$208=1),$BK$213,HLOOKUP(INDIRECT(ADDRESS(2,COLUMN())),OFFSET($BN$2,0,0,ROW()-1,60),ROW()-1,FALSE))</f>
        <v>179953</v>
      </c>
      <c r="BL7">
        <f ca="1">IF(AND(ISNUMBER($BL$213),$B$208=1),$BL$213,HLOOKUP(INDIRECT(ADDRESS(2,COLUMN())),OFFSET($BN$2,0,0,ROW()-1,60),ROW()-1,FALSE))</f>
        <v>162540</v>
      </c>
      <c r="BM7" t="str">
        <f ca="1">IF(AND(ISNUMBER($BM$213),$B$208=1),$BM$213,HLOOKUP(INDIRECT(ADDRESS(2,COLUMN())),OFFSET($BN$2,0,0,ROW()-1,60),ROW()-1,FALSE))</f>
        <v/>
      </c>
      <c r="BN7">
        <f>189973</f>
        <v>189973</v>
      </c>
      <c r="BO7">
        <f>232039</f>
        <v>232039</v>
      </c>
      <c r="BP7">
        <f>206874</f>
        <v>206874</v>
      </c>
      <c r="BQ7">
        <f>209589</f>
        <v>209589</v>
      </c>
      <c r="BR7">
        <f>176921</f>
        <v>176921</v>
      </c>
      <c r="BS7">
        <f>201226</f>
        <v>201226</v>
      </c>
      <c r="BT7">
        <f>183834</f>
        <v>183834</v>
      </c>
      <c r="BU7">
        <f>172889</f>
        <v>172889</v>
      </c>
      <c r="BV7">
        <f>156118</f>
        <v>156118</v>
      </c>
      <c r="BW7">
        <f>179775</f>
        <v>179775</v>
      </c>
      <c r="BX7">
        <f>163235</f>
        <v>163235</v>
      </c>
      <c r="BY7">
        <f>148472</f>
        <v>148472</v>
      </c>
      <c r="BZ7">
        <f>116953</f>
        <v>116953</v>
      </c>
      <c r="CA7">
        <f>122967</f>
        <v>122967</v>
      </c>
      <c r="CB7">
        <f>102792</f>
        <v>102792</v>
      </c>
      <c r="CC7">
        <f>109643</f>
        <v>109643</v>
      </c>
      <c r="CD7">
        <f>114945</f>
        <v>114945</v>
      </c>
      <c r="CE7">
        <f>117654</f>
        <v>117654</v>
      </c>
      <c r="CF7">
        <f>124145</f>
        <v>124145</v>
      </c>
      <c r="CG7">
        <f>125846</f>
        <v>125846</v>
      </c>
      <c r="CH7">
        <f>44478</f>
        <v>44478</v>
      </c>
      <c r="CI7">
        <f>46731</f>
        <v>46731</v>
      </c>
      <c r="CJ7">
        <f>44476</f>
        <v>44476</v>
      </c>
      <c r="CK7">
        <f>42144</f>
        <v>42144</v>
      </c>
      <c r="CL7">
        <f>36738</f>
        <v>36738</v>
      </c>
      <c r="CM7">
        <f>45469</f>
        <v>45469</v>
      </c>
      <c r="CN7">
        <f>44675</f>
        <v>44675</v>
      </c>
      <c r="CO7">
        <f>50000</f>
        <v>50000</v>
      </c>
      <c r="CP7" t="str">
        <f>""</f>
        <v/>
      </c>
      <c r="CQ7">
        <f>126649</f>
        <v>126649</v>
      </c>
      <c r="CR7">
        <f>55969</f>
        <v>55969</v>
      </c>
      <c r="CS7">
        <f>63118</f>
        <v>63118</v>
      </c>
      <c r="CT7">
        <f>63419</f>
        <v>63419</v>
      </c>
      <c r="CU7">
        <f>55997</f>
        <v>55997</v>
      </c>
      <c r="CV7">
        <f>59314</f>
        <v>59314</v>
      </c>
      <c r="CW7">
        <f>64644</f>
        <v>64644</v>
      </c>
      <c r="CX7">
        <f>62189</f>
        <v>62189</v>
      </c>
      <c r="CY7">
        <f>59139</f>
        <v>59139</v>
      </c>
      <c r="CZ7">
        <f>69424</f>
        <v>69424</v>
      </c>
      <c r="DA7">
        <f>68976</f>
        <v>68976</v>
      </c>
      <c r="DB7">
        <f>67294</f>
        <v>67294</v>
      </c>
      <c r="DC7">
        <f>68095</f>
        <v>68095</v>
      </c>
      <c r="DD7">
        <f>63514</f>
        <v>63514</v>
      </c>
      <c r="DE7">
        <f>56965</f>
        <v>56965</v>
      </c>
      <c r="DF7">
        <f>45808</f>
        <v>45808</v>
      </c>
      <c r="DG7">
        <f>49259</f>
        <v>49259</v>
      </c>
      <c r="DH7">
        <f>56365</f>
        <v>56365</v>
      </c>
      <c r="DI7">
        <f>54997</f>
        <v>54997</v>
      </c>
      <c r="DJ7">
        <f>48593</f>
        <v>48593</v>
      </c>
      <c r="DK7">
        <f>46618</f>
        <v>46618</v>
      </c>
      <c r="DL7">
        <f>53246</f>
        <v>53246</v>
      </c>
      <c r="DM7">
        <f>58539</f>
        <v>58539</v>
      </c>
      <c r="DN7">
        <f>57448</f>
        <v>57448</v>
      </c>
      <c r="DO7">
        <f>66465</f>
        <v>66465</v>
      </c>
      <c r="DP7">
        <f>163607</f>
        <v>163607</v>
      </c>
      <c r="DQ7">
        <f>148138</f>
        <v>148138</v>
      </c>
      <c r="DR7">
        <f>139790.419</f>
        <v>139790.41899999999</v>
      </c>
      <c r="DS7">
        <f>179953</f>
        <v>179953</v>
      </c>
      <c r="DT7">
        <f>162540</f>
        <v>162540</v>
      </c>
      <c r="DU7" t="str">
        <f>""</f>
        <v/>
      </c>
    </row>
    <row r="8" spans="1:125" x14ac:dyDescent="0.25">
      <c r="A8" t="str">
        <f>"    Barclays PLC"</f>
        <v xml:space="preserve">    Barclays PLC</v>
      </c>
      <c r="B8" t="str">
        <f>"BARC LN Equity"</f>
        <v>BARC LN Equity</v>
      </c>
      <c r="C8" t="str">
        <f t="shared" si="0"/>
        <v>BM105</v>
      </c>
      <c r="D8" t="str">
        <f t="shared" si="1"/>
        <v>BS_TRADING_ASSETS</v>
      </c>
      <c r="E8" t="str">
        <f t="shared" si="2"/>
        <v>Dynamic</v>
      </c>
      <c r="F8">
        <f ca="1">IF(AND(ISNUMBER($F$214),$B$208=1),$F$214,HLOOKUP(INDIRECT(ADDRESS(2,COLUMN())),OFFSET($BN$2,0,0,ROW()-1,60),ROW()-1,FALSE))</f>
        <v>201355.21369999999</v>
      </c>
      <c r="G8">
        <f ca="1">IF(AND(ISNUMBER($G$214),$B$208=1),$G$214,HLOOKUP(INDIRECT(ADDRESS(2,COLUMN())),OFFSET($BN$2,0,0,ROW()-1,60),ROW()-1,FALSE))</f>
        <v>225290.1686</v>
      </c>
      <c r="H8">
        <f ca="1">IF(AND(ISNUMBER($H$214),$B$208=1),$H$214,HLOOKUP(INDIRECT(ADDRESS(2,COLUMN())),OFFSET($BN$2,0,0,ROW()-1,60),ROW()-1,FALSE))</f>
        <v>232768.0526</v>
      </c>
      <c r="I8">
        <f ca="1">IF(AND(ISNUMBER($I$214),$B$208=1),$I$214,HLOOKUP(INDIRECT(ADDRESS(2,COLUMN())),OFFSET($BN$2,0,0,ROW()-1,60),ROW()-1,FALSE))</f>
        <v>228727.41130000001</v>
      </c>
      <c r="J8">
        <f ca="1">IF(AND(ISNUMBER($J$214),$B$208=1),$J$214,HLOOKUP(INDIRECT(ADDRESS(2,COLUMN())),OFFSET($BN$2,0,0,ROW()-1,60),ROW()-1,FALSE))</f>
        <v>201417.53570000001</v>
      </c>
      <c r="K8">
        <f ca="1">IF(AND(ISNUMBER($K$214),$B$208=1),$K$214,HLOOKUP(INDIRECT(ADDRESS(2,COLUMN())),OFFSET($BN$2,0,0,ROW()-1,60),ROW()-1,FALSE))</f>
        <v>179286.73130000001</v>
      </c>
      <c r="L8">
        <f ca="1">IF(AND(ISNUMBER($L$214),$B$208=1),$L$214,HLOOKUP(INDIRECT(ADDRESS(2,COLUMN())),OFFSET($BN$2,0,0,ROW()-1,60),ROW()-1,FALSE))</f>
        <v>193143.90400000001</v>
      </c>
      <c r="M8">
        <f ca="1">IF(AND(ISNUMBER($M$214),$B$208=1),$M$214,HLOOKUP(INDIRECT(ADDRESS(2,COLUMN())),OFFSET($BN$2,0,0,ROW()-1,60),ROW()-1,FALSE))</f>
        <v>156615.90169999999</v>
      </c>
      <c r="N8">
        <f ca="1">IF(AND(ISNUMBER($N$214),$B$208=1),$N$214,HLOOKUP(INDIRECT(ADDRESS(2,COLUMN())),OFFSET($BN$2,0,0,ROW()-1,60),ROW()-1,FALSE))</f>
        <v>151140.85279999999</v>
      </c>
      <c r="O8">
        <f ca="1">IF(AND(ISNUMBER($O$214),$B$208=1),$O$214,HLOOKUP(INDIRECT(ADDRESS(2,COLUMN())),OFFSET($BN$2,0,0,ROW()-1,60),ROW()-1,FALSE))</f>
        <v>143671.36060000001</v>
      </c>
      <c r="P8">
        <f ca="1">IF(AND(ISNUMBER($P$214),$B$208=1),$P$214,HLOOKUP(INDIRECT(ADDRESS(2,COLUMN())),OFFSET($BN$2,0,0,ROW()-1,60),ROW()-1,FALSE))</f>
        <v>147527.20670000001</v>
      </c>
      <c r="Q8">
        <f ca="1">IF(AND(ISNUMBER($Q$214),$B$208=1),$Q$214,HLOOKUP(INDIRECT(ADDRESS(2,COLUMN())),OFFSET($BN$2,0,0,ROW()-1,60),ROW()-1,FALSE))</f>
        <v>159119.19440000001</v>
      </c>
      <c r="R8">
        <f ca="1">IF(AND(ISNUMBER($R$214),$B$208=1),$R$214,HLOOKUP(INDIRECT(ADDRESS(2,COLUMN())),OFFSET($BN$2,0,0,ROW()-1,60),ROW()-1,FALSE))</f>
        <v>174786.46799999999</v>
      </c>
      <c r="S8">
        <f ca="1">IF(AND(ISNUMBER($S$214),$B$208=1),$S$214,HLOOKUP(INDIRECT(ADDRESS(2,COLUMN())),OFFSET($BN$2,0,0,ROW()-1,60),ROW()-1,FALSE))</f>
        <v>168621.39019999999</v>
      </c>
      <c r="T8">
        <f ca="1">IF(AND(ISNUMBER($T$214),$B$208=1),$T$214,HLOOKUP(INDIRECT(ADDRESS(2,COLUMN())),OFFSET($BN$2,0,0,ROW()-1,60),ROW()-1,FALSE))</f>
        <v>171482.67360000001</v>
      </c>
      <c r="U8">
        <f ca="1">IF(AND(ISNUMBER($U$214),$B$208=1),$U$214,HLOOKUP(INDIRECT(ADDRESS(2,COLUMN())),OFFSET($BN$2,0,0,ROW()-1,60),ROW()-1,FALSE))</f>
        <v>154120.74890000001</v>
      </c>
      <c r="V8">
        <f ca="1">IF(AND(ISNUMBER($V$214),$B$208=1),$V$214,HLOOKUP(INDIRECT(ADDRESS(2,COLUMN())),OFFSET($BN$2,0,0,ROW()-1,60),ROW()-1,FALSE))</f>
        <v>142874.88339999999</v>
      </c>
      <c r="W8">
        <f ca="1">IF(AND(ISNUMBER($W$214),$B$208=1),$W$214,HLOOKUP(INDIRECT(ADDRESS(2,COLUMN())),OFFSET($BN$2,0,0,ROW()-1,60),ROW()-1,FALSE))</f>
        <v>135191.01269999999</v>
      </c>
      <c r="X8">
        <f ca="1">IF(AND(ISNUMBER($X$214),$B$208=1),$X$214,HLOOKUP(INDIRECT(ADDRESS(2,COLUMN())),OFFSET($BN$2,0,0,ROW()-1,60),ROW()-1,FALSE))</f>
        <v>121182.7357</v>
      </c>
      <c r="Y8">
        <f ca="1">IF(AND(ISNUMBER($Y$214),$B$208=1),$Y$214,HLOOKUP(INDIRECT(ADDRESS(2,COLUMN())),OFFSET($BN$2,0,0,ROW()-1,60),ROW()-1,FALSE))</f>
        <v>115267.15889999999</v>
      </c>
      <c r="Z8">
        <f ca="1">IF(AND(ISNUMBER($Z$214),$B$208=1),$Z$214,HLOOKUP(INDIRECT(ADDRESS(2,COLUMN())),OFFSET($BN$2,0,0,ROW()-1,60),ROW()-1,FALSE))</f>
        <v>134880.0681</v>
      </c>
      <c r="AA8">
        <f ca="1">IF(AND(ISNUMBER($AA$214),$B$208=1),$AA$214,HLOOKUP(INDIRECT(ADDRESS(2,COLUMN())),OFFSET($BN$2,0,0,ROW()-1,60),ROW()-1,FALSE))</f>
        <v>135818.9847</v>
      </c>
      <c r="AB8">
        <f ca="1">IF(AND(ISNUMBER($AB$214),$B$208=1),$AB$214,HLOOKUP(INDIRECT(ADDRESS(2,COLUMN())),OFFSET($BN$2,0,0,ROW()-1,60),ROW()-1,FALSE))</f>
        <v>134539.73019999999</v>
      </c>
      <c r="AC8">
        <f ca="1">IF(AND(ISNUMBER($AC$214),$B$208=1),$AC$214,HLOOKUP(INDIRECT(ADDRESS(2,COLUMN())),OFFSET($BN$2,0,0,ROW()-1,60),ROW()-1,FALSE))</f>
        <v>136043.80799999999</v>
      </c>
      <c r="AD8">
        <f ca="1">IF(AND(ISNUMBER($AD$214),$B$208=1),$AD$214,HLOOKUP(INDIRECT(ADDRESS(2,COLUMN())),OFFSET($BN$2,0,0,ROW()-1,60),ROW()-1,FALSE))</f>
        <v>115959.4396</v>
      </c>
      <c r="AE8">
        <f ca="1">IF(AND(ISNUMBER($AE$214),$B$208=1),$AE$214,HLOOKUP(INDIRECT(ADDRESS(2,COLUMN())),OFFSET($BN$2,0,0,ROW()-1,60),ROW()-1,FALSE))</f>
        <v>139917.95379999999</v>
      </c>
      <c r="AF8">
        <f ca="1">IF(AND(ISNUMBER($AF$214),$B$208=1),$AF$214,HLOOKUP(INDIRECT(ADDRESS(2,COLUMN())),OFFSET($BN$2,0,0,ROW()-1,60),ROW()-1,FALSE))</f>
        <v>131675.60019999999</v>
      </c>
      <c r="AG8">
        <f ca="1">IF(AND(ISNUMBER($AG$214),$B$208=1),$AG$214,HLOOKUP(INDIRECT(ADDRESS(2,COLUMN())),OFFSET($BN$2,0,0,ROW()-1,60),ROW()-1,FALSE))</f>
        <v>131857.2115</v>
      </c>
      <c r="AH8">
        <f ca="1">IF(AND(ISNUMBER($AH$214),$B$208=1),$AH$214,HLOOKUP(INDIRECT(ADDRESS(2,COLUMN())),OFFSET($BN$2,0,0,ROW()-1,60),ROW()-1,FALSE))</f>
        <v>127972.90300000001</v>
      </c>
      <c r="AI8">
        <f ca="1">IF(AND(ISNUMBER($AI$214),$B$208=1),$AI$214,HLOOKUP(INDIRECT(ADDRESS(2,COLUMN())),OFFSET($BN$2,0,0,ROW()-1,60),ROW()-1,FALSE))</f>
        <v>104926.5543</v>
      </c>
      <c r="AJ8">
        <f ca="1">IF(AND(ISNUMBER($AJ$214),$B$208=1),$AJ$214,HLOOKUP(INDIRECT(ADDRESS(2,COLUMN())),OFFSET($BN$2,0,0,ROW()-1,60),ROW()-1,FALSE))</f>
        <v>103373.3097</v>
      </c>
      <c r="AK8">
        <f ca="1">IF(AND(ISNUMBER($AK$214),$B$208=1),$AK$214,HLOOKUP(INDIRECT(ADDRESS(2,COLUMN())),OFFSET($BN$2,0,0,ROW()-1,60),ROW()-1,FALSE))</f>
        <v>105956.86079999999</v>
      </c>
      <c r="AL8">
        <f ca="1">IF(AND(ISNUMBER($AL$214),$B$208=1),$AL$214,HLOOKUP(INDIRECT(ADDRESS(2,COLUMN())),OFFSET($BN$2,0,0,ROW()-1,60),ROW()-1,FALSE))</f>
        <v>93918.915330000003</v>
      </c>
      <c r="AM8">
        <f ca="1">IF(AND(ISNUMBER($AM$214),$B$208=1),$AM$214,HLOOKUP(INDIRECT(ADDRESS(2,COLUMN())),OFFSET($BN$2,0,0,ROW()-1,60),ROW()-1,FALSE))</f>
        <v>93014.814750000005</v>
      </c>
      <c r="AN8">
        <f ca="1">IF(AND(ISNUMBER($AN$214),$B$208=1),$AN$214,HLOOKUP(INDIRECT(ADDRESS(2,COLUMN())),OFFSET($BN$2,0,0,ROW()-1,60),ROW()-1,FALSE))</f>
        <v>91716.113429999998</v>
      </c>
      <c r="AO8">
        <f ca="1">IF(AND(ISNUMBER($AO$214),$B$208=1),$AO$214,HLOOKUP(INDIRECT(ADDRESS(2,COLUMN())),OFFSET($BN$2,0,0,ROW()-1,60),ROW()-1,FALSE))</f>
        <v>95551.067569999999</v>
      </c>
      <c r="AP8">
        <f ca="1">IF(AND(ISNUMBER($AP$214),$B$208=1),$AP$214,HLOOKUP(INDIRECT(ADDRESS(2,COLUMN())),OFFSET($BN$2,0,0,ROW()-1,60),ROW()-1,FALSE))</f>
        <v>104881.781</v>
      </c>
      <c r="AQ8">
        <f ca="1">IF(AND(ISNUMBER($AQ$214),$B$208=1),$AQ$214,HLOOKUP(INDIRECT(ADDRESS(2,COLUMN())),OFFSET($BN$2,0,0,ROW()-1,60),ROW()-1,FALSE))</f>
        <v>129040.1531</v>
      </c>
      <c r="AR8">
        <f ca="1">IF(AND(ISNUMBER($AR$214),$B$208=1),$AR$214,HLOOKUP(INDIRECT(ADDRESS(2,COLUMN())),OFFSET($BN$2,0,0,ROW()-1,60),ROW()-1,FALSE))</f>
        <v>138241.26240000001</v>
      </c>
      <c r="AS8">
        <f ca="1">IF(AND(ISNUMBER($AS$214),$B$208=1),$AS$214,HLOOKUP(INDIRECT(ADDRESS(2,COLUMN())),OFFSET($BN$2,0,0,ROW()-1,60),ROW()-1,FALSE))</f>
        <v>164093.46040000001</v>
      </c>
      <c r="AT8">
        <f ca="1">IF(AND(ISNUMBER($AT$214),$B$208=1),$AT$214,HLOOKUP(INDIRECT(ADDRESS(2,COLUMN())),OFFSET($BN$2,0,0,ROW()-1,60),ROW()-1,FALSE))</f>
        <v>147719.46919999999</v>
      </c>
      <c r="AU8">
        <f ca="1">IF(AND(ISNUMBER($AU$214),$B$208=1),$AU$214,HLOOKUP(INDIRECT(ADDRESS(2,COLUMN())),OFFSET($BN$2,0,0,ROW()-1,60),ROW()-1,FALSE))</f>
        <v>157077.33559999999</v>
      </c>
      <c r="AV8">
        <f ca="1">IF(AND(ISNUMBER($AV$214),$B$208=1),$AV$214,HLOOKUP(INDIRECT(ADDRESS(2,COLUMN())),OFFSET($BN$2,0,0,ROW()-1,60),ROW()-1,FALSE))</f>
        <v>160916.2034</v>
      </c>
      <c r="AW8">
        <f ca="1">IF(AND(ISNUMBER($AW$214),$B$208=1),$AW$214,HLOOKUP(INDIRECT(ADDRESS(2,COLUMN())),OFFSET($BN$2,0,0,ROW()-1,60),ROW()-1,FALSE))</f>
        <v>162702.73370000001</v>
      </c>
      <c r="AX8">
        <f ca="1">IF(AND(ISNUMBER($AX$214),$B$208=1),$AX$214,HLOOKUP(INDIRECT(ADDRESS(2,COLUMN())),OFFSET($BN$2,0,0,ROW()-1,60),ROW()-1,FALSE))</f>
        <v>159868.08720000001</v>
      </c>
      <c r="AY8">
        <f ca="1">IF(AND(ISNUMBER($AY$214),$B$208=1),$AY$214,HLOOKUP(INDIRECT(ADDRESS(2,COLUMN())),OFFSET($BN$2,0,0,ROW()-1,60),ROW()-1,FALSE))</f>
        <v>174417.84090000001</v>
      </c>
      <c r="AZ8">
        <f ca="1">IF(AND(ISNUMBER($AZ$214),$B$208=1),$AZ$214,HLOOKUP(INDIRECT(ADDRESS(2,COLUMN())),OFFSET($BN$2,0,0,ROW()-1,60),ROW()-1,FALSE))</f>
        <v>177457.24609999999</v>
      </c>
      <c r="BA8">
        <f ca="1">IF(AND(ISNUMBER($BA$214),$B$208=1),$BA$214,HLOOKUP(INDIRECT(ADDRESS(2,COLUMN())),OFFSET($BN$2,0,0,ROW()-1,60),ROW()-1,FALSE))</f>
        <v>199482.52979999999</v>
      </c>
      <c r="BB8">
        <f ca="1">IF(AND(ISNUMBER($BB$214),$B$208=1),$BB$214,HLOOKUP(INDIRECT(ADDRESS(2,COLUMN())),OFFSET($BN$2,0,0,ROW()-1,60),ROW()-1,FALSE))</f>
        <v>180120.42009999999</v>
      </c>
      <c r="BC8">
        <f ca="1">IF(AND(ISNUMBER($BC$214),$B$208=1),$BC$214,HLOOKUP(INDIRECT(ADDRESS(2,COLUMN())),OFFSET($BN$2,0,0,ROW()-1,60),ROW()-1,FALSE))</f>
        <v>201876.1194</v>
      </c>
      <c r="BD8">
        <f ca="1">IF(AND(ISNUMBER($BD$214),$B$208=1),$BD$214,HLOOKUP(INDIRECT(ADDRESS(2,COLUMN())),OFFSET($BN$2,0,0,ROW()-1,60),ROW()-1,FALSE))</f>
        <v>207571.122</v>
      </c>
      <c r="BE8" t="str">
        <f ca="1">IF(AND(ISNUMBER($BE$214),$B$208=1),$BE$214,HLOOKUP(INDIRECT(ADDRESS(2,COLUMN())),OFFSET($BN$2,0,0,ROW()-1,60),ROW()-1,FALSE))</f>
        <v/>
      </c>
      <c r="BF8">
        <f ca="1">IF(AND(ISNUMBER($BF$214),$B$208=1),$BF$214,HLOOKUP(INDIRECT(ADDRESS(2,COLUMN())),OFFSET($BN$2,0,0,ROW()-1,60),ROW()-1,FALSE))</f>
        <v>179022.44529999999</v>
      </c>
      <c r="BG8" t="str">
        <f ca="1">IF(AND(ISNUMBER($BG$214),$B$208=1),$BG$214,HLOOKUP(INDIRECT(ADDRESS(2,COLUMN())),OFFSET($BN$2,0,0,ROW()-1,60),ROW()-1,FALSE))</f>
        <v/>
      </c>
      <c r="BH8" t="str">
        <f ca="1">IF(AND(ISNUMBER($BH$214),$B$208=1),$BH$214,HLOOKUP(INDIRECT(ADDRESS(2,COLUMN())),OFFSET($BN$2,0,0,ROW()-1,60),ROW()-1,FALSE))</f>
        <v/>
      </c>
      <c r="BI8" t="str">
        <f ca="1">IF(AND(ISNUMBER($BI$214),$B$208=1),$BI$214,HLOOKUP(INDIRECT(ADDRESS(2,COLUMN())),OFFSET($BN$2,0,0,ROW()-1,60),ROW()-1,FALSE))</f>
        <v/>
      </c>
      <c r="BJ8">
        <f ca="1">IF(AND(ISNUMBER($BJ$214),$B$208=1),$BJ$214,HLOOKUP(INDIRECT(ADDRESS(2,COLUMN())),OFFSET($BN$2,0,0,ROW()-1,60),ROW()-1,FALSE))</f>
        <v>196977.80910000001</v>
      </c>
      <c r="BK8" t="str">
        <f ca="1">IF(AND(ISNUMBER($BK$214),$B$208=1),$BK$214,HLOOKUP(INDIRECT(ADDRESS(2,COLUMN())),OFFSET($BN$2,0,0,ROW()-1,60),ROW()-1,FALSE))</f>
        <v/>
      </c>
      <c r="BL8">
        <f ca="1">IF(AND(ISNUMBER($BL$214),$B$208=1),$BL$214,HLOOKUP(INDIRECT(ADDRESS(2,COLUMN())),OFFSET($BN$2,0,0,ROW()-1,60),ROW()-1,FALSE))</f>
        <v>203904.2936</v>
      </c>
      <c r="BM8" t="str">
        <f ca="1">IF(AND(ISNUMBER($BM$214),$B$208=1),$BM$214,HLOOKUP(INDIRECT(ADDRESS(2,COLUMN())),OFFSET($BN$2,0,0,ROW()-1,60),ROW()-1,FALSE))</f>
        <v/>
      </c>
      <c r="BN8">
        <f>201355.2137</f>
        <v>201355.21369999999</v>
      </c>
      <c r="BO8">
        <f>225290.1686</f>
        <v>225290.1686</v>
      </c>
      <c r="BP8">
        <f>232768.0526</f>
        <v>232768.0526</v>
      </c>
      <c r="BQ8">
        <f>228727.4113</f>
        <v>228727.41130000001</v>
      </c>
      <c r="BR8">
        <f>201417.5357</f>
        <v>201417.53570000001</v>
      </c>
      <c r="BS8">
        <f>179286.7313</f>
        <v>179286.73130000001</v>
      </c>
      <c r="BT8">
        <f>193143.904</f>
        <v>193143.90400000001</v>
      </c>
      <c r="BU8">
        <f>156615.9017</f>
        <v>156615.90169999999</v>
      </c>
      <c r="BV8">
        <f>151140.8528</f>
        <v>151140.85279999999</v>
      </c>
      <c r="BW8">
        <f>143671.3606</f>
        <v>143671.36060000001</v>
      </c>
      <c r="BX8">
        <f>147527.2067</f>
        <v>147527.20670000001</v>
      </c>
      <c r="BY8">
        <f>159119.1944</f>
        <v>159119.19440000001</v>
      </c>
      <c r="BZ8">
        <f>174786.468</f>
        <v>174786.46799999999</v>
      </c>
      <c r="CA8">
        <f>168621.3902</f>
        <v>168621.39019999999</v>
      </c>
      <c r="CB8">
        <f>171482.6736</f>
        <v>171482.67360000001</v>
      </c>
      <c r="CC8">
        <f>154120.7489</f>
        <v>154120.74890000001</v>
      </c>
      <c r="CD8">
        <f>142874.8834</f>
        <v>142874.88339999999</v>
      </c>
      <c r="CE8">
        <f>135191.0127</f>
        <v>135191.01269999999</v>
      </c>
      <c r="CF8">
        <f>121182.7357</f>
        <v>121182.7357</v>
      </c>
      <c r="CG8">
        <f>115267.1589</f>
        <v>115267.15889999999</v>
      </c>
      <c r="CH8">
        <f>134880.0681</f>
        <v>134880.0681</v>
      </c>
      <c r="CI8">
        <f>135818.9847</f>
        <v>135818.9847</v>
      </c>
      <c r="CJ8">
        <f>134539.7302</f>
        <v>134539.73019999999</v>
      </c>
      <c r="CK8">
        <f>136043.808</f>
        <v>136043.80799999999</v>
      </c>
      <c r="CL8">
        <f>115959.4396</f>
        <v>115959.4396</v>
      </c>
      <c r="CM8">
        <f>139917.9538</f>
        <v>139917.95379999999</v>
      </c>
      <c r="CN8">
        <f>131675.6002</f>
        <v>131675.60019999999</v>
      </c>
      <c r="CO8">
        <f>131857.2115</f>
        <v>131857.2115</v>
      </c>
      <c r="CP8">
        <f>127972.903</f>
        <v>127972.90300000001</v>
      </c>
      <c r="CQ8">
        <f>104926.5543</f>
        <v>104926.5543</v>
      </c>
      <c r="CR8">
        <f>103373.3097</f>
        <v>103373.3097</v>
      </c>
      <c r="CS8">
        <f>105956.8608</f>
        <v>105956.86079999999</v>
      </c>
      <c r="CT8">
        <f>93918.91533</f>
        <v>93918.915330000003</v>
      </c>
      <c r="CU8">
        <f>93014.81475</f>
        <v>93014.814750000005</v>
      </c>
      <c r="CV8">
        <f>91716.11343</f>
        <v>91716.113429999998</v>
      </c>
      <c r="CW8">
        <f>95551.06757</f>
        <v>95551.067569999999</v>
      </c>
      <c r="CX8">
        <f>104881.781</f>
        <v>104881.781</v>
      </c>
      <c r="CY8">
        <f>129040.1531</f>
        <v>129040.1531</v>
      </c>
      <c r="CZ8">
        <f>138241.2624</f>
        <v>138241.26240000001</v>
      </c>
      <c r="DA8">
        <f>164093.4604</f>
        <v>164093.46040000001</v>
      </c>
      <c r="DB8">
        <f>147719.4692</f>
        <v>147719.46919999999</v>
      </c>
      <c r="DC8">
        <f>157077.3356</f>
        <v>157077.33559999999</v>
      </c>
      <c r="DD8">
        <f>160916.2034</f>
        <v>160916.2034</v>
      </c>
      <c r="DE8">
        <f>162702.7337</f>
        <v>162702.73370000001</v>
      </c>
      <c r="DF8">
        <f>159868.0872</f>
        <v>159868.08720000001</v>
      </c>
      <c r="DG8">
        <f>174417.8409</f>
        <v>174417.84090000001</v>
      </c>
      <c r="DH8">
        <f>177457.2461</f>
        <v>177457.24609999999</v>
      </c>
      <c r="DI8">
        <f>199482.5298</f>
        <v>199482.52979999999</v>
      </c>
      <c r="DJ8">
        <f>180120.4201</f>
        <v>180120.42009999999</v>
      </c>
      <c r="DK8">
        <f>201876.1194</f>
        <v>201876.1194</v>
      </c>
      <c r="DL8">
        <f>207571.122</f>
        <v>207571.122</v>
      </c>
      <c r="DM8" t="str">
        <f>""</f>
        <v/>
      </c>
      <c r="DN8">
        <f>179022.4453</f>
        <v>179022.44529999999</v>
      </c>
      <c r="DO8" t="str">
        <f>""</f>
        <v/>
      </c>
      <c r="DP8" t="str">
        <f>""</f>
        <v/>
      </c>
      <c r="DQ8" t="str">
        <f>""</f>
        <v/>
      </c>
      <c r="DR8">
        <f>196977.8091</f>
        <v>196977.80910000001</v>
      </c>
      <c r="DS8" t="str">
        <f>""</f>
        <v/>
      </c>
      <c r="DT8">
        <f>203904.2936</f>
        <v>203904.2936</v>
      </c>
      <c r="DU8" t="str">
        <f>""</f>
        <v/>
      </c>
    </row>
    <row r="9" spans="1:125" x14ac:dyDescent="0.25">
      <c r="A9" t="str">
        <f>"    BAWAG Group AG"</f>
        <v xml:space="preserve">    BAWAG Group AG</v>
      </c>
      <c r="B9" t="str">
        <f>"BG AV Equity"</f>
        <v>BG AV Equity</v>
      </c>
      <c r="C9" t="str">
        <f t="shared" si="0"/>
        <v>BM105</v>
      </c>
      <c r="D9" t="str">
        <f t="shared" si="1"/>
        <v>BS_TRADING_ASSETS</v>
      </c>
      <c r="E9" t="str">
        <f t="shared" si="2"/>
        <v>Dynamic</v>
      </c>
      <c r="F9" t="str">
        <f ca="1">IF(AND(ISNUMBER($F$215),$B$208=1),$F$215,HLOOKUP(INDIRECT(ADDRESS(2,COLUMN())),OFFSET($BN$2,0,0,ROW()-1,60),ROW()-1,FALSE))</f>
        <v/>
      </c>
      <c r="G9" t="str">
        <f ca="1">IF(AND(ISNUMBER($G$215),$B$208=1),$G$215,HLOOKUP(INDIRECT(ADDRESS(2,COLUMN())),OFFSET($BN$2,0,0,ROW()-1,60),ROW()-1,FALSE))</f>
        <v/>
      </c>
      <c r="H9">
        <f ca="1">IF(AND(ISNUMBER($H$215),$B$208=1),$H$215,HLOOKUP(INDIRECT(ADDRESS(2,COLUMN())),OFFSET($BN$2,0,0,ROW()-1,60),ROW()-1,FALSE))</f>
        <v>58</v>
      </c>
      <c r="I9" t="str">
        <f ca="1">IF(AND(ISNUMBER($I$215),$B$208=1),$I$215,HLOOKUP(INDIRECT(ADDRESS(2,COLUMN())),OFFSET($BN$2,0,0,ROW()-1,60),ROW()-1,FALSE))</f>
        <v/>
      </c>
      <c r="J9" t="str">
        <f ca="1">IF(AND(ISNUMBER($J$215),$B$208=1),$J$215,HLOOKUP(INDIRECT(ADDRESS(2,COLUMN())),OFFSET($BN$2,0,0,ROW()-1,60),ROW()-1,FALSE))</f>
        <v/>
      </c>
      <c r="K9" t="str">
        <f ca="1">IF(AND(ISNUMBER($K$215),$B$208=1),$K$215,HLOOKUP(INDIRECT(ADDRESS(2,COLUMN())),OFFSET($BN$2,0,0,ROW()-1,60),ROW()-1,FALSE))</f>
        <v/>
      </c>
      <c r="L9">
        <f ca="1">IF(AND(ISNUMBER($L$215),$B$208=1),$L$215,HLOOKUP(INDIRECT(ADDRESS(2,COLUMN())),OFFSET($BN$2,0,0,ROW()-1,60),ROW()-1,FALSE))</f>
        <v>123</v>
      </c>
      <c r="M9" t="str">
        <f ca="1">IF(AND(ISNUMBER($M$215),$B$208=1),$M$215,HLOOKUP(INDIRECT(ADDRESS(2,COLUMN())),OFFSET($BN$2,0,0,ROW()-1,60),ROW()-1,FALSE))</f>
        <v/>
      </c>
      <c r="N9" t="str">
        <f ca="1">IF(AND(ISNUMBER($N$215),$B$208=1),$N$215,HLOOKUP(INDIRECT(ADDRESS(2,COLUMN())),OFFSET($BN$2,0,0,ROW()-1,60),ROW()-1,FALSE))</f>
        <v/>
      </c>
      <c r="O9">
        <f ca="1">IF(AND(ISNUMBER($O$215),$B$208=1),$O$215,HLOOKUP(INDIRECT(ADDRESS(2,COLUMN())),OFFSET($BN$2,0,0,ROW()-1,60),ROW()-1,FALSE))</f>
        <v>156</v>
      </c>
      <c r="P9" t="str">
        <f ca="1">IF(AND(ISNUMBER($P$215),$B$208=1),$P$215,HLOOKUP(INDIRECT(ADDRESS(2,COLUMN())),OFFSET($BN$2,0,0,ROW()-1,60),ROW()-1,FALSE))</f>
        <v/>
      </c>
      <c r="Q9">
        <f ca="1">IF(AND(ISNUMBER($Q$215),$B$208=1),$Q$215,HLOOKUP(INDIRECT(ADDRESS(2,COLUMN())),OFFSET($BN$2,0,0,ROW()-1,60),ROW()-1,FALSE))</f>
        <v>184</v>
      </c>
      <c r="R9">
        <f ca="1">IF(AND(ISNUMBER($R$215),$B$208=1),$R$215,HLOOKUP(INDIRECT(ADDRESS(2,COLUMN())),OFFSET($BN$2,0,0,ROW()-1,60),ROW()-1,FALSE))</f>
        <v>257</v>
      </c>
      <c r="S9">
        <f ca="1">IF(AND(ISNUMBER($S$215),$B$208=1),$S$215,HLOOKUP(INDIRECT(ADDRESS(2,COLUMN())),OFFSET($BN$2,0,0,ROW()-1,60),ROW()-1,FALSE))</f>
        <v>296</v>
      </c>
      <c r="T9">
        <f ca="1">IF(AND(ISNUMBER($T$215),$B$208=1),$T$215,HLOOKUP(INDIRECT(ADDRESS(2,COLUMN())),OFFSET($BN$2,0,0,ROW()-1,60),ROW()-1,FALSE))</f>
        <v>284</v>
      </c>
      <c r="U9">
        <f ca="1">IF(AND(ISNUMBER($U$215),$B$208=1),$U$215,HLOOKUP(INDIRECT(ADDRESS(2,COLUMN())),OFFSET($BN$2,0,0,ROW()-1,60),ROW()-1,FALSE))</f>
        <v>322</v>
      </c>
      <c r="V9">
        <f ca="1">IF(AND(ISNUMBER($V$215),$B$208=1),$V$215,HLOOKUP(INDIRECT(ADDRESS(2,COLUMN())),OFFSET($BN$2,0,0,ROW()-1,60),ROW()-1,FALSE))</f>
        <v>441</v>
      </c>
      <c r="W9" t="str">
        <f ca="1">IF(AND(ISNUMBER($W$215),$B$208=1),$W$215,HLOOKUP(INDIRECT(ADDRESS(2,COLUMN())),OFFSET($BN$2,0,0,ROW()-1,60),ROW()-1,FALSE))</f>
        <v/>
      </c>
      <c r="X9" t="str">
        <f ca="1">IF(AND(ISNUMBER($X$215),$B$208=1),$X$215,HLOOKUP(INDIRECT(ADDRESS(2,COLUMN())),OFFSET($BN$2,0,0,ROW()-1,60),ROW()-1,FALSE))</f>
        <v/>
      </c>
      <c r="Y9" t="str">
        <f ca="1">IF(AND(ISNUMBER($Y$215),$B$208=1),$Y$215,HLOOKUP(INDIRECT(ADDRESS(2,COLUMN())),OFFSET($BN$2,0,0,ROW()-1,60),ROW()-1,FALSE))</f>
        <v/>
      </c>
      <c r="Z9" t="str">
        <f ca="1">IF(AND(ISNUMBER($Z$215),$B$208=1),$Z$215,HLOOKUP(INDIRECT(ADDRESS(2,COLUMN())),OFFSET($BN$2,0,0,ROW()-1,60),ROW()-1,FALSE))</f>
        <v/>
      </c>
      <c r="AA9">
        <f ca="1">IF(AND(ISNUMBER($AA$215),$B$208=1),$AA$215,HLOOKUP(INDIRECT(ADDRESS(2,COLUMN())),OFFSET($BN$2,0,0,ROW()-1,60),ROW()-1,FALSE))</f>
        <v>451</v>
      </c>
      <c r="AB9" t="str">
        <f ca="1">IF(AND(ISNUMBER($AB$215),$B$208=1),$AB$215,HLOOKUP(INDIRECT(ADDRESS(2,COLUMN())),OFFSET($BN$2,0,0,ROW()-1,60),ROW()-1,FALSE))</f>
        <v/>
      </c>
      <c r="AC9" t="str">
        <f ca="1">IF(AND(ISNUMBER($AC$215),$B$208=1),$AC$215,HLOOKUP(INDIRECT(ADDRESS(2,COLUMN())),OFFSET($BN$2,0,0,ROW()-1,60),ROW()-1,FALSE))</f>
        <v/>
      </c>
      <c r="AD9" t="str">
        <f ca="1">IF(AND(ISNUMBER($AD$215),$B$208=1),$AD$215,HLOOKUP(INDIRECT(ADDRESS(2,COLUMN())),OFFSET($BN$2,0,0,ROW()-1,60),ROW()-1,FALSE))</f>
        <v/>
      </c>
      <c r="AE9">
        <f ca="1">IF(AND(ISNUMBER($AE$215),$B$208=1),$AE$215,HLOOKUP(INDIRECT(ADDRESS(2,COLUMN())),OFFSET($BN$2,0,0,ROW()-1,60),ROW()-1,FALSE))</f>
        <v>360</v>
      </c>
      <c r="AF9">
        <f ca="1">IF(AND(ISNUMBER($AF$215),$B$208=1),$AF$215,HLOOKUP(INDIRECT(ADDRESS(2,COLUMN())),OFFSET($BN$2,0,0,ROW()-1,60),ROW()-1,FALSE))</f>
        <v>393</v>
      </c>
      <c r="AG9">
        <f ca="1">IF(AND(ISNUMBER($AG$215),$B$208=1),$AG$215,HLOOKUP(INDIRECT(ADDRESS(2,COLUMN())),OFFSET($BN$2,0,0,ROW()-1,60),ROW()-1,FALSE))</f>
        <v>409</v>
      </c>
      <c r="AH9">
        <f ca="1">IF(AND(ISNUMBER($AH$215),$B$208=1),$AH$215,HLOOKUP(INDIRECT(ADDRESS(2,COLUMN())),OFFSET($BN$2,0,0,ROW()-1,60),ROW()-1,FALSE))</f>
        <v>458</v>
      </c>
      <c r="AI9">
        <f ca="1">IF(AND(ISNUMBER($AI$215),$B$208=1),$AI$215,HLOOKUP(INDIRECT(ADDRESS(2,COLUMN())),OFFSET($BN$2,0,0,ROW()-1,60),ROW()-1,FALSE))</f>
        <v>434</v>
      </c>
      <c r="AJ9">
        <f ca="1">IF(AND(ISNUMBER($AJ$215),$B$208=1),$AJ$215,HLOOKUP(INDIRECT(ADDRESS(2,COLUMN())),OFFSET($BN$2,0,0,ROW()-1,60),ROW()-1,FALSE))</f>
        <v>510</v>
      </c>
      <c r="AK9">
        <f ca="1">IF(AND(ISNUMBER($AK$215),$B$208=1),$AK$215,HLOOKUP(INDIRECT(ADDRESS(2,COLUMN())),OFFSET($BN$2,0,0,ROW()-1,60),ROW()-1,FALSE))</f>
        <v>546</v>
      </c>
      <c r="AL9">
        <f ca="1">IF(AND(ISNUMBER($AL$215),$B$208=1),$AL$215,HLOOKUP(INDIRECT(ADDRESS(2,COLUMN())),OFFSET($BN$2,0,0,ROW()-1,60),ROW()-1,FALSE))</f>
        <v>652</v>
      </c>
      <c r="AM9" t="str">
        <f ca="1">IF(AND(ISNUMBER($AM$215),$B$208=1),$AM$215,HLOOKUP(INDIRECT(ADDRESS(2,COLUMN())),OFFSET($BN$2,0,0,ROW()-1,60),ROW()-1,FALSE))</f>
        <v/>
      </c>
      <c r="AN9">
        <f ca="1">IF(AND(ISNUMBER($AN$215),$B$208=1),$AN$215,HLOOKUP(INDIRECT(ADDRESS(2,COLUMN())),OFFSET($BN$2,0,0,ROW()-1,60),ROW()-1,FALSE))</f>
        <v>1036</v>
      </c>
      <c r="AO9">
        <f ca="1">IF(AND(ISNUMBER($AO$215),$B$208=1),$AO$215,HLOOKUP(INDIRECT(ADDRESS(2,COLUMN())),OFFSET($BN$2,0,0,ROW()-1,60),ROW()-1,FALSE))</f>
        <v>1119</v>
      </c>
      <c r="AP9" t="str">
        <f ca="1">IF(AND(ISNUMBER($AP$215),$B$208=1),$AP$215,HLOOKUP(INDIRECT(ADDRESS(2,COLUMN())),OFFSET($BN$2,0,0,ROW()-1,60),ROW()-1,FALSE))</f>
        <v/>
      </c>
      <c r="AQ9" t="str">
        <f ca="1">IF(AND(ISNUMBER($AQ$215),$B$208=1),$AQ$215,HLOOKUP(INDIRECT(ADDRESS(2,COLUMN())),OFFSET($BN$2,0,0,ROW()-1,60),ROW()-1,FALSE))</f>
        <v/>
      </c>
      <c r="AR9" t="str">
        <f ca="1">IF(AND(ISNUMBER($AR$215),$B$208=1),$AR$215,HLOOKUP(INDIRECT(ADDRESS(2,COLUMN())),OFFSET($BN$2,0,0,ROW()-1,60),ROW()-1,FALSE))</f>
        <v/>
      </c>
      <c r="AS9" t="str">
        <f ca="1">IF(AND(ISNUMBER($AS$215),$B$208=1),$AS$215,HLOOKUP(INDIRECT(ADDRESS(2,COLUMN())),OFFSET($BN$2,0,0,ROW()-1,60),ROW()-1,FALSE))</f>
        <v/>
      </c>
      <c r="AT9" t="str">
        <f ca="1">IF(AND(ISNUMBER($AT$215),$B$208=1),$AT$215,HLOOKUP(INDIRECT(ADDRESS(2,COLUMN())),OFFSET($BN$2,0,0,ROW()-1,60),ROW()-1,FALSE))</f>
        <v/>
      </c>
      <c r="AU9" t="str">
        <f ca="1">IF(AND(ISNUMBER($AU$215),$B$208=1),$AU$215,HLOOKUP(INDIRECT(ADDRESS(2,COLUMN())),OFFSET($BN$2,0,0,ROW()-1,60),ROW()-1,FALSE))</f>
        <v/>
      </c>
      <c r="AV9" t="str">
        <f ca="1">IF(AND(ISNUMBER($AV$215),$B$208=1),$AV$215,HLOOKUP(INDIRECT(ADDRESS(2,COLUMN())),OFFSET($BN$2,0,0,ROW()-1,60),ROW()-1,FALSE))</f>
        <v/>
      </c>
      <c r="AW9" t="str">
        <f ca="1">IF(AND(ISNUMBER($AW$215),$B$208=1),$AW$215,HLOOKUP(INDIRECT(ADDRESS(2,COLUMN())),OFFSET($BN$2,0,0,ROW()-1,60),ROW()-1,FALSE))</f>
        <v/>
      </c>
      <c r="AX9" t="str">
        <f ca="1">IF(AND(ISNUMBER($AX$215),$B$208=1),$AX$215,HLOOKUP(INDIRECT(ADDRESS(2,COLUMN())),OFFSET($BN$2,0,0,ROW()-1,60),ROW()-1,FALSE))</f>
        <v/>
      </c>
      <c r="AY9" t="str">
        <f ca="1">IF(AND(ISNUMBER($AY$215),$B$208=1),$AY$215,HLOOKUP(INDIRECT(ADDRESS(2,COLUMN())),OFFSET($BN$2,0,0,ROW()-1,60),ROW()-1,FALSE))</f>
        <v/>
      </c>
      <c r="AZ9" t="str">
        <f ca="1">IF(AND(ISNUMBER($AZ$215),$B$208=1),$AZ$215,HLOOKUP(INDIRECT(ADDRESS(2,COLUMN())),OFFSET($BN$2,0,0,ROW()-1,60),ROW()-1,FALSE))</f>
        <v/>
      </c>
      <c r="BA9" t="str">
        <f ca="1">IF(AND(ISNUMBER($BA$215),$B$208=1),$BA$215,HLOOKUP(INDIRECT(ADDRESS(2,COLUMN())),OFFSET($BN$2,0,0,ROW()-1,60),ROW()-1,FALSE))</f>
        <v/>
      </c>
      <c r="BB9" t="str">
        <f ca="1">IF(AND(ISNUMBER($BB$215),$B$208=1),$BB$215,HLOOKUP(INDIRECT(ADDRESS(2,COLUMN())),OFFSET($BN$2,0,0,ROW()-1,60),ROW()-1,FALSE))</f>
        <v/>
      </c>
      <c r="BC9" t="str">
        <f ca="1">IF(AND(ISNUMBER($BC$215),$B$208=1),$BC$215,HLOOKUP(INDIRECT(ADDRESS(2,COLUMN())),OFFSET($BN$2,0,0,ROW()-1,60),ROW()-1,FALSE))</f>
        <v/>
      </c>
      <c r="BD9" t="str">
        <f ca="1">IF(AND(ISNUMBER($BD$215),$B$208=1),$BD$215,HLOOKUP(INDIRECT(ADDRESS(2,COLUMN())),OFFSET($BN$2,0,0,ROW()-1,60),ROW()-1,FALSE))</f>
        <v/>
      </c>
      <c r="BE9" t="str">
        <f ca="1">IF(AND(ISNUMBER($BE$215),$B$208=1),$BE$215,HLOOKUP(INDIRECT(ADDRESS(2,COLUMN())),OFFSET($BN$2,0,0,ROW()-1,60),ROW()-1,FALSE))</f>
        <v/>
      </c>
      <c r="BF9" t="str">
        <f ca="1">IF(AND(ISNUMBER($BF$215),$B$208=1),$BF$215,HLOOKUP(INDIRECT(ADDRESS(2,COLUMN())),OFFSET($BN$2,0,0,ROW()-1,60),ROW()-1,FALSE))</f>
        <v/>
      </c>
      <c r="BG9" t="str">
        <f ca="1">IF(AND(ISNUMBER($BG$215),$B$208=1),$BG$215,HLOOKUP(INDIRECT(ADDRESS(2,COLUMN())),OFFSET($BN$2,0,0,ROW()-1,60),ROW()-1,FALSE))</f>
        <v/>
      </c>
      <c r="BH9" t="str">
        <f ca="1">IF(AND(ISNUMBER($BH$215),$B$208=1),$BH$215,HLOOKUP(INDIRECT(ADDRESS(2,COLUMN())),OFFSET($BN$2,0,0,ROW()-1,60),ROW()-1,FALSE))</f>
        <v/>
      </c>
      <c r="BI9" t="str">
        <f ca="1">IF(AND(ISNUMBER($BI$215),$B$208=1),$BI$215,HLOOKUP(INDIRECT(ADDRESS(2,COLUMN())),OFFSET($BN$2,0,0,ROW()-1,60),ROW()-1,FALSE))</f>
        <v/>
      </c>
      <c r="BJ9" t="str">
        <f ca="1">IF(AND(ISNUMBER($BJ$215),$B$208=1),$BJ$215,HLOOKUP(INDIRECT(ADDRESS(2,COLUMN())),OFFSET($BN$2,0,0,ROW()-1,60),ROW()-1,FALSE))</f>
        <v/>
      </c>
      <c r="BK9" t="str">
        <f ca="1">IF(AND(ISNUMBER($BK$215),$B$208=1),$BK$215,HLOOKUP(INDIRECT(ADDRESS(2,COLUMN())),OFFSET($BN$2,0,0,ROW()-1,60),ROW()-1,FALSE))</f>
        <v/>
      </c>
      <c r="BL9" t="str">
        <f ca="1">IF(AND(ISNUMBER($BL$215),$B$208=1),$BL$215,HLOOKUP(INDIRECT(ADDRESS(2,COLUMN())),OFFSET($BN$2,0,0,ROW()-1,60),ROW()-1,FALSE))</f>
        <v/>
      </c>
      <c r="BM9" t="str">
        <f ca="1">IF(AND(ISNUMBER($BM$215),$B$208=1),$BM$215,HLOOKUP(INDIRECT(ADDRESS(2,COLUMN())),OFFSET($BN$2,0,0,ROW()-1,60),ROW()-1,FALSE))</f>
        <v/>
      </c>
      <c r="BN9" t="str">
        <f>""</f>
        <v/>
      </c>
      <c r="BO9" t="str">
        <f>""</f>
        <v/>
      </c>
      <c r="BP9">
        <f>58</f>
        <v>58</v>
      </c>
      <c r="BQ9" t="str">
        <f>""</f>
        <v/>
      </c>
      <c r="BR9" t="str">
        <f>""</f>
        <v/>
      </c>
      <c r="BS9" t="str">
        <f>""</f>
        <v/>
      </c>
      <c r="BT9">
        <f>123</f>
        <v>123</v>
      </c>
      <c r="BU9" t="str">
        <f>""</f>
        <v/>
      </c>
      <c r="BV9" t="str">
        <f>""</f>
        <v/>
      </c>
      <c r="BW9">
        <f>156</f>
        <v>156</v>
      </c>
      <c r="BX9" t="str">
        <f>""</f>
        <v/>
      </c>
      <c r="BY9">
        <f>184</f>
        <v>184</v>
      </c>
      <c r="BZ9">
        <f>257</f>
        <v>257</v>
      </c>
      <c r="CA9">
        <f>296</f>
        <v>296</v>
      </c>
      <c r="CB9">
        <f>284</f>
        <v>284</v>
      </c>
      <c r="CC9">
        <f>322</f>
        <v>322</v>
      </c>
      <c r="CD9">
        <f>441</f>
        <v>441</v>
      </c>
      <c r="CE9" t="str">
        <f>""</f>
        <v/>
      </c>
      <c r="CF9" t="str">
        <f>""</f>
        <v/>
      </c>
      <c r="CG9" t="str">
        <f>""</f>
        <v/>
      </c>
      <c r="CH9" t="str">
        <f>""</f>
        <v/>
      </c>
      <c r="CI9">
        <f>451</f>
        <v>451</v>
      </c>
      <c r="CJ9" t="str">
        <f>""</f>
        <v/>
      </c>
      <c r="CK9" t="str">
        <f>""</f>
        <v/>
      </c>
      <c r="CL9" t="str">
        <f>""</f>
        <v/>
      </c>
      <c r="CM9">
        <f>360</f>
        <v>360</v>
      </c>
      <c r="CN9">
        <f>393</f>
        <v>393</v>
      </c>
      <c r="CO9">
        <f>409</f>
        <v>409</v>
      </c>
      <c r="CP9">
        <f>458</f>
        <v>458</v>
      </c>
      <c r="CQ9">
        <f>434</f>
        <v>434</v>
      </c>
      <c r="CR9">
        <f>510</f>
        <v>510</v>
      </c>
      <c r="CS9">
        <f>546</f>
        <v>546</v>
      </c>
      <c r="CT9">
        <f>652</f>
        <v>652</v>
      </c>
      <c r="CU9" t="str">
        <f>""</f>
        <v/>
      </c>
      <c r="CV9">
        <f>1036</f>
        <v>1036</v>
      </c>
      <c r="CW9">
        <f>1119</f>
        <v>1119</v>
      </c>
      <c r="CX9" t="str">
        <f>""</f>
        <v/>
      </c>
      <c r="CY9" t="str">
        <f>""</f>
        <v/>
      </c>
      <c r="CZ9" t="str">
        <f>""</f>
        <v/>
      </c>
      <c r="DA9" t="str">
        <f>""</f>
        <v/>
      </c>
      <c r="DB9" t="str">
        <f>""</f>
        <v/>
      </c>
      <c r="DC9" t="str">
        <f>""</f>
        <v/>
      </c>
      <c r="DD9" t="str">
        <f>""</f>
        <v/>
      </c>
      <c r="DE9" t="str">
        <f>""</f>
        <v/>
      </c>
      <c r="DF9" t="str">
        <f>""</f>
        <v/>
      </c>
      <c r="DG9" t="str">
        <f>""</f>
        <v/>
      </c>
      <c r="DH9" t="str">
        <f>""</f>
        <v/>
      </c>
      <c r="DI9" t="str">
        <f>""</f>
        <v/>
      </c>
      <c r="DJ9" t="str">
        <f>""</f>
        <v/>
      </c>
      <c r="DK9" t="str">
        <f>""</f>
        <v/>
      </c>
      <c r="DL9" t="str">
        <f>""</f>
        <v/>
      </c>
      <c r="DM9" t="str">
        <f>""</f>
        <v/>
      </c>
      <c r="DN9" t="str">
        <f>""</f>
        <v/>
      </c>
      <c r="DO9" t="str">
        <f>""</f>
        <v/>
      </c>
      <c r="DP9" t="str">
        <f>""</f>
        <v/>
      </c>
      <c r="DQ9" t="str">
        <f>""</f>
        <v/>
      </c>
      <c r="DR9" t="str">
        <f>""</f>
        <v/>
      </c>
      <c r="DS9" t="str">
        <f>""</f>
        <v/>
      </c>
      <c r="DT9" t="str">
        <f>""</f>
        <v/>
      </c>
      <c r="DU9" t="str">
        <f>""</f>
        <v/>
      </c>
    </row>
    <row r="10" spans="1:125" x14ac:dyDescent="0.25">
      <c r="A10" t="str">
        <f>"    BNP Paribas SA"</f>
        <v xml:space="preserve">    BNP Paribas SA</v>
      </c>
      <c r="B10" t="str">
        <f>"BNP FP Equity"</f>
        <v>BNP FP Equity</v>
      </c>
      <c r="C10" t="str">
        <f t="shared" si="0"/>
        <v>BM105</v>
      </c>
      <c r="D10" t="str">
        <f t="shared" si="1"/>
        <v>BS_TRADING_ASSETS</v>
      </c>
      <c r="E10" t="str">
        <f t="shared" si="2"/>
        <v>Dynamic</v>
      </c>
      <c r="F10">
        <f ca="1">IF(AND(ISNUMBER($F$216),$B$208=1),$F$216,HLOOKUP(INDIRECT(ADDRESS(2,COLUMN())),OFFSET($BN$2,0,0,ROW()-1,60),ROW()-1,FALSE))</f>
        <v>493056</v>
      </c>
      <c r="G10">
        <f ca="1">IF(AND(ISNUMBER($G$216),$B$208=1),$G$216,HLOOKUP(INDIRECT(ADDRESS(2,COLUMN())),OFFSET($BN$2,0,0,ROW()-1,60),ROW()-1,FALSE))</f>
        <v>597597</v>
      </c>
      <c r="H10">
        <f ca="1">IF(AND(ISNUMBER($H$216),$B$208=1),$H$216,HLOOKUP(INDIRECT(ADDRESS(2,COLUMN())),OFFSET($BN$2,0,0,ROW()-1,60),ROW()-1,FALSE))</f>
        <v>583461</v>
      </c>
      <c r="I10">
        <f ca="1">IF(AND(ISNUMBER($I$216),$B$208=1),$I$216,HLOOKUP(INDIRECT(ADDRESS(2,COLUMN())),OFFSET($BN$2,0,0,ROW()-1,60),ROW()-1,FALSE))</f>
        <v>596149</v>
      </c>
      <c r="J10">
        <f ca="1">IF(AND(ISNUMBER($J$216),$B$208=1),$J$216,HLOOKUP(INDIRECT(ADDRESS(2,COLUMN())),OFFSET($BN$2,0,0,ROW()-1,60),ROW()-1,FALSE))</f>
        <v>438809</v>
      </c>
      <c r="K10">
        <f ca="1">IF(AND(ISNUMBER($K$216),$B$208=1),$K$216,HLOOKUP(INDIRECT(ADDRESS(2,COLUMN())),OFFSET($BN$2,0,0,ROW()-1,60),ROW()-1,FALSE))</f>
        <v>540161</v>
      </c>
      <c r="L10">
        <f ca="1">IF(AND(ISNUMBER($L$216),$B$208=1),$L$216,HLOOKUP(INDIRECT(ADDRESS(2,COLUMN())),OFFSET($BN$2,0,0,ROW()-1,60),ROW()-1,FALSE))</f>
        <v>506693</v>
      </c>
      <c r="M10">
        <f ca="1">IF(AND(ISNUMBER($M$216),$B$208=1),$M$216,HLOOKUP(INDIRECT(ADDRESS(2,COLUMN())),OFFSET($BN$2,0,0,ROW()-1,60),ROW()-1,FALSE))</f>
        <v>518945</v>
      </c>
      <c r="N10">
        <f ca="1">IF(AND(ISNUMBER($N$216),$B$208=1),$N$216,HLOOKUP(INDIRECT(ADDRESS(2,COLUMN())),OFFSET($BN$2,0,0,ROW()-1,60),ROW()-1,FALSE))</f>
        <v>357202</v>
      </c>
      <c r="O10">
        <f ca="1">IF(AND(ISNUMBER($O$216),$B$208=1),$O$216,HLOOKUP(INDIRECT(ADDRESS(2,COLUMN())),OFFSET($BN$2,0,0,ROW()-1,60),ROW()-1,FALSE))</f>
        <v>463252</v>
      </c>
      <c r="P10">
        <f ca="1">IF(AND(ISNUMBER($P$216),$B$208=1),$P$216,HLOOKUP(INDIRECT(ADDRESS(2,COLUMN())),OFFSET($BN$2,0,0,ROW()-1,60),ROW()-1,FALSE))</f>
        <v>507413</v>
      </c>
      <c r="Q10">
        <f ca="1">IF(AND(ISNUMBER($Q$216),$B$208=1),$Q$216,HLOOKUP(INDIRECT(ADDRESS(2,COLUMN())),OFFSET($BN$2,0,0,ROW()-1,60),ROW()-1,FALSE))</f>
        <v>543475</v>
      </c>
      <c r="R10">
        <f ca="1">IF(AND(ISNUMBER($R$216),$B$208=1),$R$216,HLOOKUP(INDIRECT(ADDRESS(2,COLUMN())),OFFSET($BN$2,0,0,ROW()-1,60),ROW()-1,FALSE))</f>
        <v>441315</v>
      </c>
      <c r="S10">
        <f ca="1">IF(AND(ISNUMBER($S$216),$B$208=1),$S$216,HLOOKUP(INDIRECT(ADDRESS(2,COLUMN())),OFFSET($BN$2,0,0,ROW()-1,60),ROW()-1,FALSE))</f>
        <v>563099</v>
      </c>
      <c r="T10">
        <f ca="1">IF(AND(ISNUMBER($T$216),$B$208=1),$T$216,HLOOKUP(INDIRECT(ADDRESS(2,COLUMN())),OFFSET($BN$2,0,0,ROW()-1,60),ROW()-1,FALSE))</f>
        <v>550736</v>
      </c>
      <c r="U10">
        <f ca="1">IF(AND(ISNUMBER($U$216),$B$208=1),$U$216,HLOOKUP(INDIRECT(ADDRESS(2,COLUMN())),OFFSET($BN$2,0,0,ROW()-1,60),ROW()-1,FALSE))</f>
        <v>574676</v>
      </c>
      <c r="V10">
        <f ca="1">IF(AND(ISNUMBER($V$216),$B$208=1),$V$216,HLOOKUP(INDIRECT(ADDRESS(2,COLUMN())),OFFSET($BN$2,0,0,ROW()-1,60),ROW()-1,FALSE))</f>
        <v>412805</v>
      </c>
      <c r="W10">
        <f ca="1">IF(AND(ISNUMBER($W$216),$B$208=1),$W$216,HLOOKUP(INDIRECT(ADDRESS(2,COLUMN())),OFFSET($BN$2,0,0,ROW()-1,60),ROW()-1,FALSE))</f>
        <v>508052</v>
      </c>
      <c r="X10">
        <f ca="1">IF(AND(ISNUMBER($X$216),$B$208=1),$X$216,HLOOKUP(INDIRECT(ADDRESS(2,COLUMN())),OFFSET($BN$2,0,0,ROW()-1,60),ROW()-1,FALSE))</f>
        <v>513544</v>
      </c>
      <c r="Y10">
        <f ca="1">IF(AND(ISNUMBER($Y$216),$B$208=1),$Y$216,HLOOKUP(INDIRECT(ADDRESS(2,COLUMN())),OFFSET($BN$2,0,0,ROW()-1,60),ROW()-1,FALSE))</f>
        <v>569545</v>
      </c>
      <c r="Z10">
        <f ca="1">IF(AND(ISNUMBER($Z$216),$B$208=1),$Z$216,HLOOKUP(INDIRECT(ADDRESS(2,COLUMN())),OFFSET($BN$2,0,0,ROW()-1,60),ROW()-1,FALSE))</f>
        <v>328862</v>
      </c>
      <c r="AA10">
        <f ca="1">IF(AND(ISNUMBER($AA$216),$B$208=1),$AA$216,HLOOKUP(INDIRECT(ADDRESS(2,COLUMN())),OFFSET($BN$2,0,0,ROW()-1,60),ROW()-1,FALSE))</f>
        <v>582018</v>
      </c>
      <c r="AB10">
        <f ca="1">IF(AND(ISNUMBER($AB$216),$B$208=1),$AB$216,HLOOKUP(INDIRECT(ADDRESS(2,COLUMN())),OFFSET($BN$2,0,0,ROW()-1,60),ROW()-1,FALSE))</f>
        <v>514640</v>
      </c>
      <c r="AC10">
        <f ca="1">IF(AND(ISNUMBER($AC$216),$B$208=1),$AC$216,HLOOKUP(INDIRECT(ADDRESS(2,COLUMN())),OFFSET($BN$2,0,0,ROW()-1,60),ROW()-1,FALSE))</f>
        <v>477241</v>
      </c>
      <c r="AD10">
        <f ca="1">IF(AND(ISNUMBER($AD$216),$B$208=1),$AD$216,HLOOKUP(INDIRECT(ADDRESS(2,COLUMN())),OFFSET($BN$2,0,0,ROW()-1,60),ROW()-1,FALSE))</f>
        <v>305670</v>
      </c>
      <c r="AE10">
        <f ca="1">IF(AND(ISNUMBER($AE$216),$B$208=1),$AE$216,HLOOKUP(INDIRECT(ADDRESS(2,COLUMN())),OFFSET($BN$2,0,0,ROW()-1,60),ROW()-1,FALSE))</f>
        <v>193411</v>
      </c>
      <c r="AF10">
        <f ca="1">IF(AND(ISNUMBER($AF$216),$B$208=1),$AF$216,HLOOKUP(INDIRECT(ADDRESS(2,COLUMN())),OFFSET($BN$2,0,0,ROW()-1,60),ROW()-1,FALSE))</f>
        <v>468461</v>
      </c>
      <c r="AG10">
        <f ca="1">IF(AND(ISNUMBER($AG$216),$B$208=1),$AG$216,HLOOKUP(INDIRECT(ADDRESS(2,COLUMN())),OFFSET($BN$2,0,0,ROW()-1,60),ROW()-1,FALSE))</f>
        <v>434705</v>
      </c>
      <c r="AH10">
        <f ca="1">IF(AND(ISNUMBER($AH$216),$B$208=1),$AH$216,HLOOKUP(INDIRECT(ADDRESS(2,COLUMN())),OFFSET($BN$2,0,0,ROW()-1,60),ROW()-1,FALSE))</f>
        <v>275274</v>
      </c>
      <c r="AI10">
        <f ca="1">IF(AND(ISNUMBER($AI$216),$B$208=1),$AI$216,HLOOKUP(INDIRECT(ADDRESS(2,COLUMN())),OFFSET($BN$2,0,0,ROW()-1,60),ROW()-1,FALSE))</f>
        <v>178034</v>
      </c>
      <c r="AJ10">
        <f ca="1">IF(AND(ISNUMBER($AJ$216),$B$208=1),$AJ$216,HLOOKUP(INDIRECT(ADDRESS(2,COLUMN())),OFFSET($BN$2,0,0,ROW()-1,60),ROW()-1,FALSE))</f>
        <v>340930</v>
      </c>
      <c r="AK10">
        <f ca="1">IF(AND(ISNUMBER($AK$216),$B$208=1),$AK$216,HLOOKUP(INDIRECT(ADDRESS(2,COLUMN())),OFFSET($BN$2,0,0,ROW()-1,60),ROW()-1,FALSE))</f>
        <v>365766</v>
      </c>
      <c r="AL10">
        <f ca="1">IF(AND(ISNUMBER($AL$216),$B$208=1),$AL$216,HLOOKUP(INDIRECT(ADDRESS(2,COLUMN())),OFFSET($BN$2,0,0,ROW()-1,60),ROW()-1,FALSE))</f>
        <v>275921</v>
      </c>
      <c r="AM10">
        <f ca="1">IF(AND(ISNUMBER($AM$216),$B$208=1),$AM$216,HLOOKUP(INDIRECT(ADDRESS(2,COLUMN())),OFFSET($BN$2,0,0,ROW()-1,60),ROW()-1,FALSE))</f>
        <v>348477</v>
      </c>
      <c r="AN10">
        <f ca="1">IF(AND(ISNUMBER($AN$216),$B$208=1),$AN$216,HLOOKUP(INDIRECT(ADDRESS(2,COLUMN())),OFFSET($BN$2,0,0,ROW()-1,60),ROW()-1,FALSE))</f>
        <v>323431</v>
      </c>
      <c r="AO10">
        <f ca="1">IF(AND(ISNUMBER($AO$216),$B$208=1),$AO$216,HLOOKUP(INDIRECT(ADDRESS(2,COLUMN())),OFFSET($BN$2,0,0,ROW()-1,60),ROW()-1,FALSE))</f>
        <v>324040</v>
      </c>
      <c r="AP10">
        <f ca="1">IF(AND(ISNUMBER($AP$216),$B$208=1),$AP$216,HLOOKUP(INDIRECT(ADDRESS(2,COLUMN())),OFFSET($BN$2,0,0,ROW()-1,60),ROW()-1,FALSE))</f>
        <v>265283</v>
      </c>
      <c r="AQ10">
        <f ca="1">IF(AND(ISNUMBER($AQ$216),$B$208=1),$AQ$216,HLOOKUP(INDIRECT(ADDRESS(2,COLUMN())),OFFSET($BN$2,0,0,ROW()-1,60),ROW()-1,FALSE))</f>
        <v>384634</v>
      </c>
      <c r="AR10">
        <f ca="1">IF(AND(ISNUMBER($AR$216),$B$208=1),$AR$216,HLOOKUP(INDIRECT(ADDRESS(2,COLUMN())),OFFSET($BN$2,0,0,ROW()-1,60),ROW()-1,FALSE))</f>
        <v>386079</v>
      </c>
      <c r="AS10">
        <f ca="1">IF(AND(ISNUMBER($AS$216),$B$208=1),$AS$216,HLOOKUP(INDIRECT(ADDRESS(2,COLUMN())),OFFSET($BN$2,0,0,ROW()-1,60),ROW()-1,FALSE))</f>
        <v>478708</v>
      </c>
      <c r="AT10">
        <f ca="1">IF(AND(ISNUMBER($AT$216),$B$208=1),$AT$216,HLOOKUP(INDIRECT(ADDRESS(2,COLUMN())),OFFSET($BN$2,0,0,ROW()-1,60),ROW()-1,FALSE))</f>
        <v>322322</v>
      </c>
      <c r="AU10">
        <f ca="1">IF(AND(ISNUMBER($AU$216),$B$208=1),$AU$216,HLOOKUP(INDIRECT(ADDRESS(2,COLUMN())),OFFSET($BN$2,0,0,ROW()-1,60),ROW()-1,FALSE))</f>
        <v>395001</v>
      </c>
      <c r="AV10">
        <f ca="1">IF(AND(ISNUMBER($AV$216),$B$208=1),$AV$216,HLOOKUP(INDIRECT(ADDRESS(2,COLUMN())),OFFSET($BN$2,0,0,ROW()-1,60),ROW()-1,FALSE))</f>
        <v>361777</v>
      </c>
      <c r="AW10">
        <f ca="1">IF(AND(ISNUMBER($AW$216),$B$208=1),$AW$216,HLOOKUP(INDIRECT(ADDRESS(2,COLUMN())),OFFSET($BN$2,0,0,ROW()-1,60),ROW()-1,FALSE))</f>
        <v>354316</v>
      </c>
      <c r="AX10">
        <f ca="1">IF(AND(ISNUMBER($AX$216),$B$208=1),$AX$216,HLOOKUP(INDIRECT(ADDRESS(2,COLUMN())),OFFSET($BN$2,0,0,ROW()-1,60),ROW()-1,FALSE))</f>
        <v>683711</v>
      </c>
      <c r="AY10">
        <f ca="1">IF(AND(ISNUMBER($AY$216),$B$208=1),$AY$216,HLOOKUP(INDIRECT(ADDRESS(2,COLUMN())),OFFSET($BN$2,0,0,ROW()-1,60),ROW()-1,FALSE))</f>
        <v>341107</v>
      </c>
      <c r="AZ10" t="str">
        <f ca="1">IF(AND(ISNUMBER($AZ$216),$B$208=1),$AZ$216,HLOOKUP(INDIRECT(ADDRESS(2,COLUMN())),OFFSET($BN$2,0,0,ROW()-1,60),ROW()-1,FALSE))</f>
        <v/>
      </c>
      <c r="BA10">
        <f ca="1">IF(AND(ISNUMBER($BA$216),$B$208=1),$BA$216,HLOOKUP(INDIRECT(ADDRESS(2,COLUMN())),OFFSET($BN$2,0,0,ROW()-1,60),ROW()-1,FALSE))</f>
        <v>336931</v>
      </c>
      <c r="BB10">
        <f ca="1">IF(AND(ISNUMBER($BB$216),$B$208=1),$BB$216,HLOOKUP(INDIRECT(ADDRESS(2,COLUMN())),OFFSET($BN$2,0,0,ROW()-1,60),ROW()-1,FALSE))</f>
        <v>763799</v>
      </c>
      <c r="BC10">
        <f ca="1">IF(AND(ISNUMBER($BC$216),$B$208=1),$BC$216,HLOOKUP(INDIRECT(ADDRESS(2,COLUMN())),OFFSET($BN$2,0,0,ROW()-1,60),ROW()-1,FALSE))</f>
        <v>797284</v>
      </c>
      <c r="BD10" t="str">
        <f ca="1">IF(AND(ISNUMBER($BD$216),$B$208=1),$BD$216,HLOOKUP(INDIRECT(ADDRESS(2,COLUMN())),OFFSET($BN$2,0,0,ROW()-1,60),ROW()-1,FALSE))</f>
        <v/>
      </c>
      <c r="BE10" t="str">
        <f ca="1">IF(AND(ISNUMBER($BE$216),$B$208=1),$BE$216,HLOOKUP(INDIRECT(ADDRESS(2,COLUMN())),OFFSET($BN$2,0,0,ROW()-1,60),ROW()-1,FALSE))</f>
        <v/>
      </c>
      <c r="BF10" t="str">
        <f ca="1">IF(AND(ISNUMBER($BF$216),$B$208=1),$BF$216,HLOOKUP(INDIRECT(ADDRESS(2,COLUMN())),OFFSET($BN$2,0,0,ROW()-1,60),ROW()-1,FALSE))</f>
        <v/>
      </c>
      <c r="BG10" t="str">
        <f ca="1">IF(AND(ISNUMBER($BG$216),$B$208=1),$BG$216,HLOOKUP(INDIRECT(ADDRESS(2,COLUMN())),OFFSET($BN$2,0,0,ROW()-1,60),ROW()-1,FALSE))</f>
        <v/>
      </c>
      <c r="BH10" t="str">
        <f ca="1">IF(AND(ISNUMBER($BH$216),$B$208=1),$BH$216,HLOOKUP(INDIRECT(ADDRESS(2,COLUMN())),OFFSET($BN$2,0,0,ROW()-1,60),ROW()-1,FALSE))</f>
        <v/>
      </c>
      <c r="BI10" t="str">
        <f ca="1">IF(AND(ISNUMBER($BI$216),$B$208=1),$BI$216,HLOOKUP(INDIRECT(ADDRESS(2,COLUMN())),OFFSET($BN$2,0,0,ROW()-1,60),ROW()-1,FALSE))</f>
        <v/>
      </c>
      <c r="BJ10">
        <f ca="1">IF(AND(ISNUMBER($BJ$216),$B$208=1),$BJ$216,HLOOKUP(INDIRECT(ADDRESS(2,COLUMN())),OFFSET($BN$2,0,0,ROW()-1,60),ROW()-1,FALSE))</f>
        <v>832945</v>
      </c>
      <c r="BK10" t="str">
        <f ca="1">IF(AND(ISNUMBER($BK$216),$B$208=1),$BK$216,HLOOKUP(INDIRECT(ADDRESS(2,COLUMN())),OFFSET($BN$2,0,0,ROW()-1,60),ROW()-1,FALSE))</f>
        <v/>
      </c>
      <c r="BL10" t="str">
        <f ca="1">IF(AND(ISNUMBER($BL$216),$B$208=1),$BL$216,HLOOKUP(INDIRECT(ADDRESS(2,COLUMN())),OFFSET($BN$2,0,0,ROW()-1,60),ROW()-1,FALSE))</f>
        <v/>
      </c>
      <c r="BM10" t="str">
        <f ca="1">IF(AND(ISNUMBER($BM$216),$B$208=1),$BM$216,HLOOKUP(INDIRECT(ADDRESS(2,COLUMN())),OFFSET($BN$2,0,0,ROW()-1,60),ROW()-1,FALSE))</f>
        <v/>
      </c>
      <c r="BN10">
        <f>493056</f>
        <v>493056</v>
      </c>
      <c r="BO10">
        <f>597597</f>
        <v>597597</v>
      </c>
      <c r="BP10">
        <f>583461</f>
        <v>583461</v>
      </c>
      <c r="BQ10">
        <f>596149</f>
        <v>596149</v>
      </c>
      <c r="BR10">
        <f>438809</f>
        <v>438809</v>
      </c>
      <c r="BS10">
        <f>540161</f>
        <v>540161</v>
      </c>
      <c r="BT10">
        <f>506693</f>
        <v>506693</v>
      </c>
      <c r="BU10">
        <f>518945</f>
        <v>518945</v>
      </c>
      <c r="BV10">
        <f>357202</f>
        <v>357202</v>
      </c>
      <c r="BW10">
        <f>463252</f>
        <v>463252</v>
      </c>
      <c r="BX10">
        <f>507413</f>
        <v>507413</v>
      </c>
      <c r="BY10">
        <f>543475</f>
        <v>543475</v>
      </c>
      <c r="BZ10">
        <f>441315</f>
        <v>441315</v>
      </c>
      <c r="CA10">
        <f>563099</f>
        <v>563099</v>
      </c>
      <c r="CB10">
        <f>550736</f>
        <v>550736</v>
      </c>
      <c r="CC10">
        <f>574676</f>
        <v>574676</v>
      </c>
      <c r="CD10">
        <f>412805</f>
        <v>412805</v>
      </c>
      <c r="CE10">
        <f>508052</f>
        <v>508052</v>
      </c>
      <c r="CF10">
        <f>513544</f>
        <v>513544</v>
      </c>
      <c r="CG10">
        <f>569545</f>
        <v>569545</v>
      </c>
      <c r="CH10">
        <f>328862</f>
        <v>328862</v>
      </c>
      <c r="CI10">
        <f>582018</f>
        <v>582018</v>
      </c>
      <c r="CJ10">
        <f>514640</f>
        <v>514640</v>
      </c>
      <c r="CK10">
        <f>477241</f>
        <v>477241</v>
      </c>
      <c r="CL10">
        <f>305670</f>
        <v>305670</v>
      </c>
      <c r="CM10">
        <f>193411</f>
        <v>193411</v>
      </c>
      <c r="CN10">
        <f>468461</f>
        <v>468461</v>
      </c>
      <c r="CO10">
        <f>434705</f>
        <v>434705</v>
      </c>
      <c r="CP10">
        <f>275274</f>
        <v>275274</v>
      </c>
      <c r="CQ10">
        <f>178034</f>
        <v>178034</v>
      </c>
      <c r="CR10">
        <f>340930</f>
        <v>340930</v>
      </c>
      <c r="CS10">
        <f>365766</f>
        <v>365766</v>
      </c>
      <c r="CT10">
        <f>275921</f>
        <v>275921</v>
      </c>
      <c r="CU10">
        <f>348477</f>
        <v>348477</v>
      </c>
      <c r="CV10">
        <f>323431</f>
        <v>323431</v>
      </c>
      <c r="CW10">
        <f>324040</f>
        <v>324040</v>
      </c>
      <c r="CX10">
        <f>265283</f>
        <v>265283</v>
      </c>
      <c r="CY10">
        <f>384634</f>
        <v>384634</v>
      </c>
      <c r="CZ10">
        <f>386079</f>
        <v>386079</v>
      </c>
      <c r="DA10">
        <f>478708</f>
        <v>478708</v>
      </c>
      <c r="DB10">
        <f>322322</f>
        <v>322322</v>
      </c>
      <c r="DC10">
        <f>395001</f>
        <v>395001</v>
      </c>
      <c r="DD10">
        <f>361777</f>
        <v>361777</v>
      </c>
      <c r="DE10">
        <f>354316</f>
        <v>354316</v>
      </c>
      <c r="DF10">
        <f>683711</f>
        <v>683711</v>
      </c>
      <c r="DG10">
        <f>341107</f>
        <v>341107</v>
      </c>
      <c r="DH10" t="str">
        <f>""</f>
        <v/>
      </c>
      <c r="DI10">
        <f>336931</f>
        <v>336931</v>
      </c>
      <c r="DJ10">
        <f>763799</f>
        <v>763799</v>
      </c>
      <c r="DK10">
        <f>797284</f>
        <v>797284</v>
      </c>
      <c r="DL10" t="str">
        <f>""</f>
        <v/>
      </c>
      <c r="DM10" t="str">
        <f>""</f>
        <v/>
      </c>
      <c r="DN10" t="str">
        <f>""</f>
        <v/>
      </c>
      <c r="DO10" t="str">
        <f>""</f>
        <v/>
      </c>
      <c r="DP10" t="str">
        <f>""</f>
        <v/>
      </c>
      <c r="DQ10" t="str">
        <f>""</f>
        <v/>
      </c>
      <c r="DR10">
        <f>832945</f>
        <v>832945</v>
      </c>
      <c r="DS10" t="str">
        <f>""</f>
        <v/>
      </c>
      <c r="DT10" t="str">
        <f>""</f>
        <v/>
      </c>
      <c r="DU10" t="str">
        <f>""</f>
        <v/>
      </c>
    </row>
    <row r="11" spans="1:125" x14ac:dyDescent="0.25">
      <c r="A11" t="str">
        <f>"    Banco BPM SpA"</f>
        <v xml:space="preserve">    Banco BPM SpA</v>
      </c>
      <c r="B11" t="str">
        <f>"BAMI IM Equity"</f>
        <v>BAMI IM Equity</v>
      </c>
      <c r="C11" t="str">
        <f t="shared" si="0"/>
        <v>BM105</v>
      </c>
      <c r="D11" t="str">
        <f t="shared" si="1"/>
        <v>BS_TRADING_ASSETS</v>
      </c>
      <c r="E11" t="str">
        <f t="shared" si="2"/>
        <v>Dynamic</v>
      </c>
      <c r="F11" t="str">
        <f ca="1">IF(AND(ISNUMBER($F$217),$B$208=1),$F$217,HLOOKUP(INDIRECT(ADDRESS(2,COLUMN())),OFFSET($BN$2,0,0,ROW()-1,60),ROW()-1,FALSE))</f>
        <v/>
      </c>
      <c r="G11" t="str">
        <f ca="1">IF(AND(ISNUMBER($G$217),$B$208=1),$G$217,HLOOKUP(INDIRECT(ADDRESS(2,COLUMN())),OFFSET($BN$2,0,0,ROW()-1,60),ROW()-1,FALSE))</f>
        <v/>
      </c>
      <c r="H11">
        <f ca="1">IF(AND(ISNUMBER($H$217),$B$208=1),$H$217,HLOOKUP(INDIRECT(ADDRESS(2,COLUMN())),OFFSET($BN$2,0,0,ROW()-1,60),ROW()-1,FALSE))</f>
        <v>5554.9579999999996</v>
      </c>
      <c r="I11" t="str">
        <f ca="1">IF(AND(ISNUMBER($I$217),$B$208=1),$I$217,HLOOKUP(INDIRECT(ADDRESS(2,COLUMN())),OFFSET($BN$2,0,0,ROW()-1,60),ROW()-1,FALSE))</f>
        <v/>
      </c>
      <c r="J11">
        <f ca="1">IF(AND(ISNUMBER($J$217),$B$208=1),$J$217,HLOOKUP(INDIRECT(ADDRESS(2,COLUMN())),OFFSET($BN$2,0,0,ROW()-1,60),ROW()-1,FALSE))</f>
        <v>4354.0029999999997</v>
      </c>
      <c r="K11" t="str">
        <f ca="1">IF(AND(ISNUMBER($K$217),$B$208=1),$K$217,HLOOKUP(INDIRECT(ADDRESS(2,COLUMN())),OFFSET($BN$2,0,0,ROW()-1,60),ROW()-1,FALSE))</f>
        <v/>
      </c>
      <c r="L11">
        <f ca="1">IF(AND(ISNUMBER($L$217),$B$208=1),$L$217,HLOOKUP(INDIRECT(ADDRESS(2,COLUMN())),OFFSET($BN$2,0,0,ROW()-1,60),ROW()-1,FALSE))</f>
        <v>4707.152</v>
      </c>
      <c r="M11" t="str">
        <f ca="1">IF(AND(ISNUMBER($M$217),$B$208=1),$M$217,HLOOKUP(INDIRECT(ADDRESS(2,COLUMN())),OFFSET($BN$2,0,0,ROW()-1,60),ROW()-1,FALSE))</f>
        <v/>
      </c>
      <c r="N11">
        <f ca="1">IF(AND(ISNUMBER($N$217),$B$208=1),$N$217,HLOOKUP(INDIRECT(ADDRESS(2,COLUMN())),OFFSET($BN$2,0,0,ROW()-1,60),ROW()-1,FALSE))</f>
        <v>4508.4970000000003</v>
      </c>
      <c r="O11" t="str">
        <f ca="1">IF(AND(ISNUMBER($O$217),$B$208=1),$O$217,HLOOKUP(INDIRECT(ADDRESS(2,COLUMN())),OFFSET($BN$2,0,0,ROW()-1,60),ROW()-1,FALSE))</f>
        <v/>
      </c>
      <c r="P11">
        <f ca="1">IF(AND(ISNUMBER($P$217),$B$208=1),$P$217,HLOOKUP(INDIRECT(ADDRESS(2,COLUMN())),OFFSET($BN$2,0,0,ROW()-1,60),ROW()-1,FALSE))</f>
        <v>5771.4290000000001</v>
      </c>
      <c r="Q11" t="str">
        <f ca="1">IF(AND(ISNUMBER($Q$217),$B$208=1),$Q$217,HLOOKUP(INDIRECT(ADDRESS(2,COLUMN())),OFFSET($BN$2,0,0,ROW()-1,60),ROW()-1,FALSE))</f>
        <v/>
      </c>
      <c r="R11">
        <f ca="1">IF(AND(ISNUMBER($R$217),$B$208=1),$R$217,HLOOKUP(INDIRECT(ADDRESS(2,COLUMN())),OFFSET($BN$2,0,0,ROW()-1,60),ROW()-1,FALSE))</f>
        <v>4538.625</v>
      </c>
      <c r="S11" t="str">
        <f ca="1">IF(AND(ISNUMBER($S$217),$B$208=1),$S$217,HLOOKUP(INDIRECT(ADDRESS(2,COLUMN())),OFFSET($BN$2,0,0,ROW()-1,60),ROW()-1,FALSE))</f>
        <v/>
      </c>
      <c r="T11">
        <f ca="1">IF(AND(ISNUMBER($T$217),$B$208=1),$T$217,HLOOKUP(INDIRECT(ADDRESS(2,COLUMN())),OFFSET($BN$2,0,0,ROW()-1,60),ROW()-1,FALSE))</f>
        <v>6650.3459999999995</v>
      </c>
      <c r="U11" t="str">
        <f ca="1">IF(AND(ISNUMBER($U$217),$B$208=1),$U$217,HLOOKUP(INDIRECT(ADDRESS(2,COLUMN())),OFFSET($BN$2,0,0,ROW()-1,60),ROW()-1,FALSE))</f>
        <v/>
      </c>
      <c r="V11">
        <f ca="1">IF(AND(ISNUMBER($V$217),$B$208=1),$V$217,HLOOKUP(INDIRECT(ADDRESS(2,COLUMN())),OFFSET($BN$2,0,0,ROW()-1,60),ROW()-1,FALSE))</f>
        <v>7248.348</v>
      </c>
      <c r="W11" t="str">
        <f ca="1">IF(AND(ISNUMBER($W$217),$B$208=1),$W$217,HLOOKUP(INDIRECT(ADDRESS(2,COLUMN())),OFFSET($BN$2,0,0,ROW()-1,60),ROW()-1,FALSE))</f>
        <v/>
      </c>
      <c r="X11">
        <f ca="1">IF(AND(ISNUMBER($X$217),$B$208=1),$X$217,HLOOKUP(INDIRECT(ADDRESS(2,COLUMN())),OFFSET($BN$2,0,0,ROW()-1,60),ROW()-1,FALSE))</f>
        <v>7537.8069999999998</v>
      </c>
      <c r="Y11" t="str">
        <f ca="1">IF(AND(ISNUMBER($Y$217),$B$208=1),$Y$217,HLOOKUP(INDIRECT(ADDRESS(2,COLUMN())),OFFSET($BN$2,0,0,ROW()-1,60),ROW()-1,FALSE))</f>
        <v/>
      </c>
      <c r="Z11">
        <f ca="1">IF(AND(ISNUMBER($Z$217),$B$208=1),$Z$217,HLOOKUP(INDIRECT(ADDRESS(2,COLUMN())),OFFSET($BN$2,0,0,ROW()-1,60),ROW()-1,FALSE))</f>
        <v>5726.8140000000003</v>
      </c>
      <c r="AA11" t="str">
        <f ca="1">IF(AND(ISNUMBER($AA$217),$B$208=1),$AA$217,HLOOKUP(INDIRECT(ADDRESS(2,COLUMN())),OFFSET($BN$2,0,0,ROW()-1,60),ROW()-1,FALSE))</f>
        <v/>
      </c>
      <c r="AB11">
        <f ca="1">IF(AND(ISNUMBER($AB$217),$B$208=1),$AB$217,HLOOKUP(INDIRECT(ADDRESS(2,COLUMN())),OFFSET($BN$2,0,0,ROW()-1,60),ROW()-1,FALSE))</f>
        <v>6046.5420000000004</v>
      </c>
      <c r="AC11" t="str">
        <f ca="1">IF(AND(ISNUMBER($AC$217),$B$208=1),$AC$217,HLOOKUP(INDIRECT(ADDRESS(2,COLUMN())),OFFSET($BN$2,0,0,ROW()-1,60),ROW()-1,FALSE))</f>
        <v/>
      </c>
      <c r="AD11">
        <f ca="1">IF(AND(ISNUMBER($AD$217),$B$208=1),$AD$217,HLOOKUP(INDIRECT(ADDRESS(2,COLUMN())),OFFSET($BN$2,0,0,ROW()-1,60),ROW()-1,FALSE))</f>
        <v>4522.5290000000005</v>
      </c>
      <c r="AE11" t="str">
        <f ca="1">IF(AND(ISNUMBER($AE$217),$B$208=1),$AE$217,HLOOKUP(INDIRECT(ADDRESS(2,COLUMN())),OFFSET($BN$2,0,0,ROW()-1,60),ROW()-1,FALSE))</f>
        <v/>
      </c>
      <c r="AF11">
        <f ca="1">IF(AND(ISNUMBER($AF$217),$B$208=1),$AF$217,HLOOKUP(INDIRECT(ADDRESS(2,COLUMN())),OFFSET($BN$2,0,0,ROW()-1,60),ROW()-1,FALSE))</f>
        <v>6522.9219999999996</v>
      </c>
      <c r="AG11" t="str">
        <f ca="1">IF(AND(ISNUMBER($AG$217),$B$208=1),$AG$217,HLOOKUP(INDIRECT(ADDRESS(2,COLUMN())),OFFSET($BN$2,0,0,ROW()-1,60),ROW()-1,FALSE))</f>
        <v/>
      </c>
      <c r="AH11">
        <f ca="1">IF(AND(ISNUMBER($AH$217),$B$208=1),$AH$217,HLOOKUP(INDIRECT(ADDRESS(2,COLUMN())),OFFSET($BN$2,0,0,ROW()-1,60),ROW()-1,FALSE))</f>
        <v>4911.8239999999996</v>
      </c>
      <c r="AI11" t="str">
        <f ca="1">IF(AND(ISNUMBER($AI$217),$B$208=1),$AI$217,HLOOKUP(INDIRECT(ADDRESS(2,COLUMN())),OFFSET($BN$2,0,0,ROW()-1,60),ROW()-1,FALSE))</f>
        <v/>
      </c>
      <c r="AJ11">
        <f ca="1">IF(AND(ISNUMBER($AJ$217),$B$208=1),$AJ$217,HLOOKUP(INDIRECT(ADDRESS(2,COLUMN())),OFFSET($BN$2,0,0,ROW()-1,60),ROW()-1,FALSE))</f>
        <v>6237.1170000000002</v>
      </c>
      <c r="AK11" t="str">
        <f ca="1">IF(AND(ISNUMBER($AK$217),$B$208=1),$AK$217,HLOOKUP(INDIRECT(ADDRESS(2,COLUMN())),OFFSET($BN$2,0,0,ROW()-1,60),ROW()-1,FALSE))</f>
        <v/>
      </c>
      <c r="AL11">
        <f ca="1">IF(AND(ISNUMBER($AL$217),$B$208=1),$AL$217,HLOOKUP(INDIRECT(ADDRESS(2,COLUMN())),OFFSET($BN$2,0,0,ROW()-1,60),ROW()-1,FALSE))</f>
        <v>4743.4250000000002</v>
      </c>
      <c r="AM11" t="str">
        <f ca="1">IF(AND(ISNUMBER($AM$217),$B$208=1),$AM$217,HLOOKUP(INDIRECT(ADDRESS(2,COLUMN())),OFFSET($BN$2,0,0,ROW()-1,60),ROW()-1,FALSE))</f>
        <v/>
      </c>
      <c r="AN11">
        <f ca="1">IF(AND(ISNUMBER($AN$217),$B$208=1),$AN$217,HLOOKUP(INDIRECT(ADDRESS(2,COLUMN())),OFFSET($BN$2,0,0,ROW()-1,60),ROW()-1,FALSE))</f>
        <v>7617.4030000000002</v>
      </c>
      <c r="AO11" t="str">
        <f ca="1">IF(AND(ISNUMBER($AO$217),$B$208=1),$AO$217,HLOOKUP(INDIRECT(ADDRESS(2,COLUMN())),OFFSET($BN$2,0,0,ROW()-1,60),ROW()-1,FALSE))</f>
        <v/>
      </c>
      <c r="AP11">
        <f ca="1">IF(AND(ISNUMBER($AP$217),$B$208=1),$AP$217,HLOOKUP(INDIRECT(ADDRESS(2,COLUMN())),OFFSET($BN$2,0,0,ROW()-1,60),ROW()-1,FALSE))</f>
        <v>6327.3869999999997</v>
      </c>
      <c r="AQ11" t="str">
        <f ca="1">IF(AND(ISNUMBER($AQ$217),$B$208=1),$AQ$217,HLOOKUP(INDIRECT(ADDRESS(2,COLUMN())),OFFSET($BN$2,0,0,ROW()-1,60),ROW()-1,FALSE))</f>
        <v/>
      </c>
      <c r="AR11">
        <f ca="1">IF(AND(ISNUMBER($AR$217),$B$208=1),$AR$217,HLOOKUP(INDIRECT(ADDRESS(2,COLUMN())),OFFSET($BN$2,0,0,ROW()-1,60),ROW()-1,FALSE))</f>
        <v>7791.3069999999998</v>
      </c>
      <c r="AS11" t="str">
        <f ca="1">IF(AND(ISNUMBER($AS$217),$B$208=1),$AS$217,HLOOKUP(INDIRECT(ADDRESS(2,COLUMN())),OFFSET($BN$2,0,0,ROW()-1,60),ROW()-1,FALSE))</f>
        <v/>
      </c>
      <c r="AT11">
        <f ca="1">IF(AND(ISNUMBER($AT$217),$B$208=1),$AT$217,HLOOKUP(INDIRECT(ADDRESS(2,COLUMN())),OFFSET($BN$2,0,0,ROW()-1,60),ROW()-1,FALSE))</f>
        <v>7077.9859999999999</v>
      </c>
      <c r="AU11" t="str">
        <f ca="1">IF(AND(ISNUMBER($AU$217),$B$208=1),$AU$217,HLOOKUP(INDIRECT(ADDRESS(2,COLUMN())),OFFSET($BN$2,0,0,ROW()-1,60),ROW()-1,FALSE))</f>
        <v/>
      </c>
      <c r="AV11">
        <f ca="1">IF(AND(ISNUMBER($AV$217),$B$208=1),$AV$217,HLOOKUP(INDIRECT(ADDRESS(2,COLUMN())),OFFSET($BN$2,0,0,ROW()-1,60),ROW()-1,FALSE))</f>
        <v>7493.1869999999999</v>
      </c>
      <c r="AW11">
        <f ca="1">IF(AND(ISNUMBER($AW$217),$B$208=1),$AW$217,HLOOKUP(INDIRECT(ADDRESS(2,COLUMN())),OFFSET($BN$2,0,0,ROW()-1,60),ROW()-1,FALSE))</f>
        <v>25511.052</v>
      </c>
      <c r="AX11">
        <f ca="1">IF(AND(ISNUMBER($AX$217),$B$208=1),$AX$217,HLOOKUP(INDIRECT(ADDRESS(2,COLUMN())),OFFSET($BN$2,0,0,ROW()-1,60),ROW()-1,FALSE))</f>
        <v>7264.8130000000001</v>
      </c>
      <c r="AY11" t="str">
        <f ca="1">IF(AND(ISNUMBER($AY$217),$B$208=1),$AY$217,HLOOKUP(INDIRECT(ADDRESS(2,COLUMN())),OFFSET($BN$2,0,0,ROW()-1,60),ROW()-1,FALSE))</f>
        <v/>
      </c>
      <c r="AZ11">
        <f ca="1">IF(AND(ISNUMBER($AZ$217),$B$208=1),$AZ$217,HLOOKUP(INDIRECT(ADDRESS(2,COLUMN())),OFFSET($BN$2,0,0,ROW()-1,60),ROW()-1,FALSE))</f>
        <v>8650.4650000000001</v>
      </c>
      <c r="BA11" t="str">
        <f ca="1">IF(AND(ISNUMBER($BA$217),$B$208=1),$BA$217,HLOOKUP(INDIRECT(ADDRESS(2,COLUMN())),OFFSET($BN$2,0,0,ROW()-1,60),ROW()-1,FALSE))</f>
        <v/>
      </c>
      <c r="BB11">
        <f ca="1">IF(AND(ISNUMBER($BB$217),$B$208=1),$BB$217,HLOOKUP(INDIRECT(ADDRESS(2,COLUMN())),OFFSET($BN$2,0,0,ROW()-1,60),ROW()-1,FALSE))</f>
        <v>10442.769</v>
      </c>
      <c r="BC11">
        <f ca="1">IF(AND(ISNUMBER($BC$217),$B$208=1),$BC$217,HLOOKUP(INDIRECT(ADDRESS(2,COLUMN())),OFFSET($BN$2,0,0,ROW()-1,60),ROW()-1,FALSE))</f>
        <v>23154.001</v>
      </c>
      <c r="BD11" t="str">
        <f ca="1">IF(AND(ISNUMBER($BD$217),$B$208=1),$BD$217,HLOOKUP(INDIRECT(ADDRESS(2,COLUMN())),OFFSET($BN$2,0,0,ROW()-1,60),ROW()-1,FALSE))</f>
        <v/>
      </c>
      <c r="BE11" t="str">
        <f ca="1">IF(AND(ISNUMBER($BE$217),$B$208=1),$BE$217,HLOOKUP(INDIRECT(ADDRESS(2,COLUMN())),OFFSET($BN$2,0,0,ROW()-1,60),ROW()-1,FALSE))</f>
        <v/>
      </c>
      <c r="BF11">
        <f ca="1">IF(AND(ISNUMBER($BF$217),$B$208=1),$BF$217,HLOOKUP(INDIRECT(ADDRESS(2,COLUMN())),OFFSET($BN$2,0,0,ROW()-1,60),ROW()-1,FALSE))</f>
        <v>8745.1440000000002</v>
      </c>
      <c r="BG11" t="str">
        <f ca="1">IF(AND(ISNUMBER($BG$217),$B$208=1),$BG$217,HLOOKUP(INDIRECT(ADDRESS(2,COLUMN())),OFFSET($BN$2,0,0,ROW()-1,60),ROW()-1,FALSE))</f>
        <v/>
      </c>
      <c r="BH11">
        <f ca="1">IF(AND(ISNUMBER($BH$217),$B$208=1),$BH$217,HLOOKUP(INDIRECT(ADDRESS(2,COLUMN())),OFFSET($BN$2,0,0,ROW()-1,60),ROW()-1,FALSE))</f>
        <v>10158.249</v>
      </c>
      <c r="BI11" t="str">
        <f ca="1">IF(AND(ISNUMBER($BI$217),$B$208=1),$BI$217,HLOOKUP(INDIRECT(ADDRESS(2,COLUMN())),OFFSET($BN$2,0,0,ROW()-1,60),ROW()-1,FALSE))</f>
        <v/>
      </c>
      <c r="BJ11">
        <f ca="1">IF(AND(ISNUMBER($BJ$217),$B$208=1),$BJ$217,HLOOKUP(INDIRECT(ADDRESS(2,COLUMN())),OFFSET($BN$2,0,0,ROW()-1,60),ROW()-1,FALSE))</f>
        <v>11613.306</v>
      </c>
      <c r="BK11">
        <f ca="1">IF(AND(ISNUMBER($BK$217),$B$208=1),$BK$217,HLOOKUP(INDIRECT(ADDRESS(2,COLUMN())),OFFSET($BN$2,0,0,ROW()-1,60),ROW()-1,FALSE))</f>
        <v>11870.857</v>
      </c>
      <c r="BL11">
        <f ca="1">IF(AND(ISNUMBER($BL$217),$B$208=1),$BL$217,HLOOKUP(INDIRECT(ADDRESS(2,COLUMN())),OFFSET($BN$2,0,0,ROW()-1,60),ROW()-1,FALSE))</f>
        <v>12694.938</v>
      </c>
      <c r="BM11" t="str">
        <f ca="1">IF(AND(ISNUMBER($BM$217),$B$208=1),$BM$217,HLOOKUP(INDIRECT(ADDRESS(2,COLUMN())),OFFSET($BN$2,0,0,ROW()-1,60),ROW()-1,FALSE))</f>
        <v/>
      </c>
      <c r="BN11" t="str">
        <f>""</f>
        <v/>
      </c>
      <c r="BO11" t="str">
        <f>""</f>
        <v/>
      </c>
      <c r="BP11">
        <f>5554.958</f>
        <v>5554.9579999999996</v>
      </c>
      <c r="BQ11" t="str">
        <f>""</f>
        <v/>
      </c>
      <c r="BR11">
        <f>4354.003</f>
        <v>4354.0029999999997</v>
      </c>
      <c r="BS11" t="str">
        <f>""</f>
        <v/>
      </c>
      <c r="BT11">
        <f>4707.152</f>
        <v>4707.152</v>
      </c>
      <c r="BU11" t="str">
        <f>""</f>
        <v/>
      </c>
      <c r="BV11">
        <f>4508.497</f>
        <v>4508.4970000000003</v>
      </c>
      <c r="BW11" t="str">
        <f>""</f>
        <v/>
      </c>
      <c r="BX11">
        <f>5771.429</f>
        <v>5771.4290000000001</v>
      </c>
      <c r="BY11" t="str">
        <f>""</f>
        <v/>
      </c>
      <c r="BZ11">
        <f>4538.625</f>
        <v>4538.625</v>
      </c>
      <c r="CA11" t="str">
        <f>""</f>
        <v/>
      </c>
      <c r="CB11">
        <f>6650.346</f>
        <v>6650.3459999999995</v>
      </c>
      <c r="CC11" t="str">
        <f>""</f>
        <v/>
      </c>
      <c r="CD11">
        <f>7248.348</f>
        <v>7248.348</v>
      </c>
      <c r="CE11" t="str">
        <f>""</f>
        <v/>
      </c>
      <c r="CF11">
        <f>7537.807</f>
        <v>7537.8069999999998</v>
      </c>
      <c r="CG11" t="str">
        <f>""</f>
        <v/>
      </c>
      <c r="CH11">
        <f>5726.814</f>
        <v>5726.8140000000003</v>
      </c>
      <c r="CI11" t="str">
        <f>""</f>
        <v/>
      </c>
      <c r="CJ11">
        <f>6046.542</f>
        <v>6046.5420000000004</v>
      </c>
      <c r="CK11" t="str">
        <f>""</f>
        <v/>
      </c>
      <c r="CL11">
        <f>4522.529</f>
        <v>4522.5290000000005</v>
      </c>
      <c r="CM11" t="str">
        <f>""</f>
        <v/>
      </c>
      <c r="CN11">
        <f>6522.922</f>
        <v>6522.9219999999996</v>
      </c>
      <c r="CO11" t="str">
        <f>""</f>
        <v/>
      </c>
      <c r="CP11">
        <f>4911.824</f>
        <v>4911.8239999999996</v>
      </c>
      <c r="CQ11" t="str">
        <f>""</f>
        <v/>
      </c>
      <c r="CR11">
        <f>6237.117</f>
        <v>6237.1170000000002</v>
      </c>
      <c r="CS11" t="str">
        <f>""</f>
        <v/>
      </c>
      <c r="CT11">
        <f>4743.425</f>
        <v>4743.4250000000002</v>
      </c>
      <c r="CU11" t="str">
        <f>""</f>
        <v/>
      </c>
      <c r="CV11">
        <f>7617.403</f>
        <v>7617.4030000000002</v>
      </c>
      <c r="CW11" t="str">
        <f>""</f>
        <v/>
      </c>
      <c r="CX11">
        <f>6327.387</f>
        <v>6327.3869999999997</v>
      </c>
      <c r="CY11" t="str">
        <f>""</f>
        <v/>
      </c>
      <c r="CZ11">
        <f>7791.307</f>
        <v>7791.3069999999998</v>
      </c>
      <c r="DA11" t="str">
        <f>""</f>
        <v/>
      </c>
      <c r="DB11">
        <f>7077.986</f>
        <v>7077.9859999999999</v>
      </c>
      <c r="DC11" t="str">
        <f>""</f>
        <v/>
      </c>
      <c r="DD11">
        <f>7493.187</f>
        <v>7493.1869999999999</v>
      </c>
      <c r="DE11">
        <f>25511.052</f>
        <v>25511.052</v>
      </c>
      <c r="DF11">
        <f>7264.813</f>
        <v>7264.8130000000001</v>
      </c>
      <c r="DG11" t="str">
        <f>""</f>
        <v/>
      </c>
      <c r="DH11">
        <f>8650.465</f>
        <v>8650.4650000000001</v>
      </c>
      <c r="DI11" t="str">
        <f>""</f>
        <v/>
      </c>
      <c r="DJ11">
        <f>10442.769</f>
        <v>10442.769</v>
      </c>
      <c r="DK11">
        <f>23154.001</f>
        <v>23154.001</v>
      </c>
      <c r="DL11" t="str">
        <f>""</f>
        <v/>
      </c>
      <c r="DM11" t="str">
        <f>""</f>
        <v/>
      </c>
      <c r="DN11">
        <f>8745.144</f>
        <v>8745.1440000000002</v>
      </c>
      <c r="DO11" t="str">
        <f>""</f>
        <v/>
      </c>
      <c r="DP11">
        <f>10158.249</f>
        <v>10158.249</v>
      </c>
      <c r="DQ11" t="str">
        <f>""</f>
        <v/>
      </c>
      <c r="DR11">
        <f>11613.306</f>
        <v>11613.306</v>
      </c>
      <c r="DS11">
        <f>11870.857</f>
        <v>11870.857</v>
      </c>
      <c r="DT11">
        <f>12694.938</f>
        <v>12694.938</v>
      </c>
      <c r="DU11" t="str">
        <f>""</f>
        <v/>
      </c>
    </row>
    <row r="12" spans="1:125" x14ac:dyDescent="0.25">
      <c r="A12" t="str">
        <f>"    Banco Bilbao Vizcaya Argentaria SA"</f>
        <v xml:space="preserve">    Banco Bilbao Vizcaya Argentaria SA</v>
      </c>
      <c r="B12" t="str">
        <f>"BBVA SM Equity"</f>
        <v>BBVA SM Equity</v>
      </c>
      <c r="C12" t="str">
        <f t="shared" si="0"/>
        <v>BM105</v>
      </c>
      <c r="D12" t="str">
        <f t="shared" si="1"/>
        <v>BS_TRADING_ASSETS</v>
      </c>
      <c r="E12" t="str">
        <f t="shared" si="2"/>
        <v>Dynamic</v>
      </c>
      <c r="F12">
        <f ca="1">IF(AND(ISNUMBER($F$218),$B$208=1),$F$218,HLOOKUP(INDIRECT(ADDRESS(2,COLUMN())),OFFSET($BN$2,0,0,ROW()-1,60),ROW()-1,FALSE))</f>
        <v>108948</v>
      </c>
      <c r="G12">
        <f ca="1">IF(AND(ISNUMBER($G$218),$B$208=1),$G$218,HLOOKUP(INDIRECT(ADDRESS(2,COLUMN())),OFFSET($BN$2,0,0,ROW()-1,60),ROW()-1,FALSE))</f>
        <v>127551</v>
      </c>
      <c r="H12">
        <f ca="1">IF(AND(ISNUMBER($H$218),$B$208=1),$H$218,HLOOKUP(INDIRECT(ADDRESS(2,COLUMN())),OFFSET($BN$2,0,0,ROW()-1,60),ROW()-1,FALSE))</f>
        <v>123821</v>
      </c>
      <c r="I12">
        <f ca="1">IF(AND(ISNUMBER($I$218),$B$208=1),$I$218,HLOOKUP(INDIRECT(ADDRESS(2,COLUMN())),OFFSET($BN$2,0,0,ROW()-1,60),ROW()-1,FALSE))</f>
        <v>144253</v>
      </c>
      <c r="J12">
        <f ca="1">IF(AND(ISNUMBER($J$218),$B$208=1),$J$218,HLOOKUP(INDIRECT(ADDRESS(2,COLUMN())),OFFSET($BN$2,0,0,ROW()-1,60),ROW()-1,FALSE))</f>
        <v>141042</v>
      </c>
      <c r="K12">
        <f ca="1">IF(AND(ISNUMBER($K$218),$B$208=1),$K$218,HLOOKUP(INDIRECT(ADDRESS(2,COLUMN())),OFFSET($BN$2,0,0,ROW()-1,60),ROW()-1,FALSE))</f>
        <v>134804</v>
      </c>
      <c r="L12">
        <f ca="1">IF(AND(ISNUMBER($L$218),$B$208=1),$L$218,HLOOKUP(INDIRECT(ADDRESS(2,COLUMN())),OFFSET($BN$2,0,0,ROW()-1,60),ROW()-1,FALSE))</f>
        <v>141721</v>
      </c>
      <c r="M12">
        <f ca="1">IF(AND(ISNUMBER($M$218),$B$208=1),$M$218,HLOOKUP(INDIRECT(ADDRESS(2,COLUMN())),OFFSET($BN$2,0,0,ROW()-1,60),ROW()-1,FALSE))</f>
        <v>119877</v>
      </c>
      <c r="N12">
        <f ca="1">IF(AND(ISNUMBER($N$218),$B$208=1),$N$218,HLOOKUP(INDIRECT(ADDRESS(2,COLUMN())),OFFSET($BN$2,0,0,ROW()-1,60),ROW()-1,FALSE))</f>
        <v>110671</v>
      </c>
      <c r="O12">
        <f ca="1">IF(AND(ISNUMBER($O$218),$B$208=1),$O$218,HLOOKUP(INDIRECT(ADDRESS(2,COLUMN())),OFFSET($BN$2,0,0,ROW()-1,60),ROW()-1,FALSE))</f>
        <v>119966</v>
      </c>
      <c r="P12">
        <f ca="1">IF(AND(ISNUMBER($P$218),$B$208=1),$P$218,HLOOKUP(INDIRECT(ADDRESS(2,COLUMN())),OFFSET($BN$2,0,0,ROW()-1,60),ROW()-1,FALSE))</f>
        <v>120823</v>
      </c>
      <c r="Q12">
        <f ca="1">IF(AND(ISNUMBER($Q$218),$B$208=1),$Q$218,HLOOKUP(INDIRECT(ADDRESS(2,COLUMN())),OFFSET($BN$2,0,0,ROW()-1,60),ROW()-1,FALSE))</f>
        <v>112131</v>
      </c>
      <c r="R12">
        <f ca="1">IF(AND(ISNUMBER($R$218),$B$208=1),$R$218,HLOOKUP(INDIRECT(ADDRESS(2,COLUMN())),OFFSET($BN$2,0,0,ROW()-1,60),ROW()-1,FALSE))</f>
        <v>123493</v>
      </c>
      <c r="S12">
        <f ca="1">IF(AND(ISNUMBER($S$218),$B$208=1),$S$218,HLOOKUP(INDIRECT(ADDRESS(2,COLUMN())),OFFSET($BN$2,0,0,ROW()-1,60),ROW()-1,FALSE))</f>
        <v>109078</v>
      </c>
      <c r="T12">
        <f ca="1">IF(AND(ISNUMBER($T$218),$B$208=1),$T$218,HLOOKUP(INDIRECT(ADDRESS(2,COLUMN())),OFFSET($BN$2,0,0,ROW()-1,60),ROW()-1,FALSE))</f>
        <v>105523</v>
      </c>
      <c r="U12">
        <f ca="1">IF(AND(ISNUMBER($U$218),$B$208=1),$U$218,HLOOKUP(INDIRECT(ADDRESS(2,COLUMN())),OFFSET($BN$2,0,0,ROW()-1,60),ROW()-1,FALSE))</f>
        <v>101050</v>
      </c>
      <c r="V12">
        <f ca="1">IF(AND(ISNUMBER($V$218),$B$208=1),$V$218,HLOOKUP(INDIRECT(ADDRESS(2,COLUMN())),OFFSET($BN$2,0,0,ROW()-1,60),ROW()-1,FALSE))</f>
        <v>108257</v>
      </c>
      <c r="W12">
        <f ca="1">IF(AND(ISNUMBER($W$218),$B$208=1),$W$218,HLOOKUP(INDIRECT(ADDRESS(2,COLUMN())),OFFSET($BN$2,0,0,ROW()-1,60),ROW()-1,FALSE))</f>
        <v>107468</v>
      </c>
      <c r="X12">
        <f ca="1">IF(AND(ISNUMBER($X$218),$B$208=1),$X$218,HLOOKUP(INDIRECT(ADDRESS(2,COLUMN())),OFFSET($BN$2,0,0,ROW()-1,60),ROW()-1,FALSE))</f>
        <v>119332</v>
      </c>
      <c r="Y12">
        <f ca="1">IF(AND(ISNUMBER($Y$218),$B$208=1),$Y$218,HLOOKUP(INDIRECT(ADDRESS(2,COLUMN())),OFFSET($BN$2,0,0,ROW()-1,60),ROW()-1,FALSE))</f>
        <v>125269</v>
      </c>
      <c r="Z12">
        <f ca="1">IF(AND(ISNUMBER($Z$218),$B$208=1),$Z$218,HLOOKUP(INDIRECT(ADDRESS(2,COLUMN())),OFFSET($BN$2,0,0,ROW()-1,60),ROW()-1,FALSE))</f>
        <v>101736</v>
      </c>
      <c r="AA12">
        <f ca="1">IF(AND(ISNUMBER($AA$218),$B$208=1),$AA$218,HLOOKUP(INDIRECT(ADDRESS(2,COLUMN())),OFFSET($BN$2,0,0,ROW()-1,60),ROW()-1,FALSE))</f>
        <v>110874</v>
      </c>
      <c r="AB12">
        <f ca="1">IF(AND(ISNUMBER($AB$218),$B$208=1),$AB$218,HLOOKUP(INDIRECT(ADDRESS(2,COLUMN())),OFFSET($BN$2,0,0,ROW()-1,60),ROW()-1,FALSE))</f>
        <v>105369</v>
      </c>
      <c r="AC12">
        <f ca="1">IF(AND(ISNUMBER($AC$218),$B$208=1),$AC$218,HLOOKUP(INDIRECT(ADDRESS(2,COLUMN())),OFFSET($BN$2,0,0,ROW()-1,60),ROW()-1,FALSE))</f>
        <v>92366</v>
      </c>
      <c r="AD12">
        <f ca="1">IF(AND(ISNUMBER($AD$218),$B$208=1),$AD$218,HLOOKUP(INDIRECT(ADDRESS(2,COLUMN())),OFFSET($BN$2,0,0,ROW()-1,60),ROW()-1,FALSE))</f>
        <v>90117</v>
      </c>
      <c r="AE12">
        <f ca="1">IF(AND(ISNUMBER($AE$218),$B$208=1),$AE$218,HLOOKUP(INDIRECT(ADDRESS(2,COLUMN())),OFFSET($BN$2,0,0,ROW()-1,60),ROW()-1,FALSE))</f>
        <v>90405</v>
      </c>
      <c r="AF12">
        <f ca="1">IF(AND(ISNUMBER($AF$218),$B$208=1),$AF$218,HLOOKUP(INDIRECT(ADDRESS(2,COLUMN())),OFFSET($BN$2,0,0,ROW()-1,60),ROW()-1,FALSE))</f>
        <v>91018</v>
      </c>
      <c r="AG12">
        <f ca="1">IF(AND(ISNUMBER($AG$218),$B$208=1),$AG$218,HLOOKUP(INDIRECT(ADDRESS(2,COLUMN())),OFFSET($BN$2,0,0,ROW()-1,60),ROW()-1,FALSE))</f>
        <v>94745</v>
      </c>
      <c r="AH12">
        <f ca="1">IF(AND(ISNUMBER($AH$218),$B$208=1),$AH$218,HLOOKUP(INDIRECT(ADDRESS(2,COLUMN())),OFFSET($BN$2,0,0,ROW()-1,60),ROW()-1,FALSE))</f>
        <v>64695</v>
      </c>
      <c r="AI12">
        <f ca="1">IF(AND(ISNUMBER($AI$218),$B$208=1),$AI$218,HLOOKUP(INDIRECT(ADDRESS(2,COLUMN())),OFFSET($BN$2,0,0,ROW()-1,60),ROW()-1,FALSE))</f>
        <v>65670</v>
      </c>
      <c r="AJ12">
        <f ca="1">IF(AND(ISNUMBER($AJ$218),$B$208=1),$AJ$218,HLOOKUP(INDIRECT(ADDRESS(2,COLUMN())),OFFSET($BN$2,0,0,ROW()-1,60),ROW()-1,FALSE))</f>
        <v>68885</v>
      </c>
      <c r="AK12">
        <f ca="1">IF(AND(ISNUMBER($AK$218),$B$208=1),$AK$218,HLOOKUP(INDIRECT(ADDRESS(2,COLUMN())),OFFSET($BN$2,0,0,ROW()-1,60),ROW()-1,FALSE))</f>
        <v>74898</v>
      </c>
      <c r="AL12">
        <f ca="1">IF(AND(ISNUMBER($AL$218),$B$208=1),$AL$218,HLOOKUP(INDIRECT(ADDRESS(2,COLUMN())),OFFSET($BN$2,0,0,ROW()-1,60),ROW()-1,FALSE))</f>
        <v>11390</v>
      </c>
      <c r="AM12">
        <f ca="1">IF(AND(ISNUMBER($AM$218),$B$208=1),$AM$218,HLOOKUP(INDIRECT(ADDRESS(2,COLUMN())),OFFSET($BN$2,0,0,ROW()-1,60),ROW()-1,FALSE))</f>
        <v>75569</v>
      </c>
      <c r="AN12">
        <f ca="1">IF(AND(ISNUMBER($AN$218),$B$208=1),$AN$218,HLOOKUP(INDIRECT(ADDRESS(2,COLUMN())),OFFSET($BN$2,0,0,ROW()-1,60),ROW()-1,FALSE))</f>
        <v>84532</v>
      </c>
      <c r="AO12">
        <f ca="1">IF(AND(ISNUMBER($AO$218),$B$208=1),$AO$218,HLOOKUP(INDIRECT(ADDRESS(2,COLUMN())),OFFSET($BN$2,0,0,ROW()-1,60),ROW()-1,FALSE))</f>
        <v>81706</v>
      </c>
      <c r="AP12">
        <f ca="1">IF(AND(ISNUMBER($AP$218),$B$208=1),$AP$218,HLOOKUP(INDIRECT(ADDRESS(2,COLUMN())),OFFSET($BN$2,0,0,ROW()-1,60),ROW()-1,FALSE))</f>
        <v>11790</v>
      </c>
      <c r="AQ12">
        <f ca="1">IF(AND(ISNUMBER($AQ$218),$B$208=1),$AQ$218,HLOOKUP(INDIRECT(ADDRESS(2,COLUMN())),OFFSET($BN$2,0,0,ROW()-1,60),ROW()-1,FALSE))</f>
        <v>83662</v>
      </c>
      <c r="AR12">
        <f ca="1">IF(AND(ISNUMBER($AR$218),$B$208=1),$AR$218,HLOOKUP(INDIRECT(ADDRESS(2,COLUMN())),OFFSET($BN$2,0,0,ROW()-1,60),ROW()-1,FALSE))</f>
        <v>82693</v>
      </c>
      <c r="AS12">
        <f ca="1">IF(AND(ISNUMBER($AS$218),$B$208=1),$AS$218,HLOOKUP(INDIRECT(ADDRESS(2,COLUMN())),OFFSET($BN$2,0,0,ROW()-1,60),ROW()-1,FALSE))</f>
        <v>94883</v>
      </c>
      <c r="AT12">
        <f ca="1">IF(AND(ISNUMBER($AT$218),$B$208=1),$AT$218,HLOOKUP(INDIRECT(ADDRESS(2,COLUMN())),OFFSET($BN$2,0,0,ROW()-1,60),ROW()-1,FALSE))</f>
        <v>14436</v>
      </c>
      <c r="AU12">
        <f ca="1">IF(AND(ISNUMBER($AU$218),$B$208=1),$AU$218,HLOOKUP(INDIRECT(ADDRESS(2,COLUMN())),OFFSET($BN$2,0,0,ROW()-1,60),ROW()-1,FALSE))</f>
        <v>88023</v>
      </c>
      <c r="AV12">
        <f ca="1">IF(AND(ISNUMBER($AV$218),$B$208=1),$AV$218,HLOOKUP(INDIRECT(ADDRESS(2,COLUMN())),OFFSET($BN$2,0,0,ROW()-1,60),ROW()-1,FALSE))</f>
        <v>79589</v>
      </c>
      <c r="AW12">
        <f ca="1">IF(AND(ISNUMBER($AW$218),$B$208=1),$AW$218,HLOOKUP(INDIRECT(ADDRESS(2,COLUMN())),OFFSET($BN$2,0,0,ROW()-1,60),ROW()-1,FALSE))</f>
        <v>76433</v>
      </c>
      <c r="AX12">
        <f ca="1">IF(AND(ISNUMBER($AX$218),$B$208=1),$AX$218,HLOOKUP(INDIRECT(ADDRESS(2,COLUMN())),OFFSET($BN$2,0,0,ROW()-1,60),ROW()-1,FALSE))</f>
        <v>12590</v>
      </c>
      <c r="AY12">
        <f ca="1">IF(AND(ISNUMBER($AY$218),$B$208=1),$AY$218,HLOOKUP(INDIRECT(ADDRESS(2,COLUMN())),OFFSET($BN$2,0,0,ROW()-1,60),ROW()-1,FALSE))</f>
        <v>71409</v>
      </c>
      <c r="AZ12">
        <f ca="1">IF(AND(ISNUMBER($AZ$218),$B$208=1),$AZ$218,HLOOKUP(INDIRECT(ADDRESS(2,COLUMN())),OFFSET($BN$2,0,0,ROW()-1,60),ROW()-1,FALSE))</f>
        <v>72833</v>
      </c>
      <c r="BA12">
        <f ca="1">IF(AND(ISNUMBER($BA$218),$B$208=1),$BA$218,HLOOKUP(INDIRECT(ADDRESS(2,COLUMN())),OFFSET($BN$2,0,0,ROW()-1,60),ROW()-1,FALSE))</f>
        <v>75750</v>
      </c>
      <c r="BB12">
        <f ca="1">IF(AND(ISNUMBER($BB$218),$B$208=1),$BB$218,HLOOKUP(INDIRECT(ADDRESS(2,COLUMN())),OFFSET($BN$2,0,0,ROW()-1,60),ROW()-1,FALSE))</f>
        <v>8888</v>
      </c>
      <c r="BC12">
        <f ca="1">IF(AND(ISNUMBER($BC$218),$B$208=1),$BC$218,HLOOKUP(INDIRECT(ADDRESS(2,COLUMN())),OFFSET($BN$2,0,0,ROW()-1,60),ROW()-1,FALSE))</f>
        <v>83449</v>
      </c>
      <c r="BD12">
        <f ca="1">IF(AND(ISNUMBER($BD$218),$B$208=1),$BD$218,HLOOKUP(INDIRECT(ADDRESS(2,COLUMN())),OFFSET($BN$2,0,0,ROW()-1,60),ROW()-1,FALSE))</f>
        <v>78792</v>
      </c>
      <c r="BE12">
        <f ca="1">IF(AND(ISNUMBER($BE$218),$B$208=1),$BE$218,HLOOKUP(INDIRECT(ADDRESS(2,COLUMN())),OFFSET($BN$2,0,0,ROW()-1,60),ROW()-1,FALSE))</f>
        <v>71208</v>
      </c>
      <c r="BF12">
        <f ca="1">IF(AND(ISNUMBER($BF$218),$B$208=1),$BF$218,HLOOKUP(INDIRECT(ADDRESS(2,COLUMN())),OFFSET($BN$2,0,0,ROW()-1,60),ROW()-1,FALSE))</f>
        <v>9697</v>
      </c>
      <c r="BG12">
        <f ca="1">IF(AND(ISNUMBER($BG$218),$B$208=1),$BG$218,HLOOKUP(INDIRECT(ADDRESS(2,COLUMN())),OFFSET($BN$2,0,0,ROW()-1,60),ROW()-1,FALSE))</f>
        <v>74859</v>
      </c>
      <c r="BH12">
        <f ca="1">IF(AND(ISNUMBER($BH$218),$B$208=1),$BH$218,HLOOKUP(INDIRECT(ADDRESS(2,COLUMN())),OFFSET($BN$2,0,0,ROW()-1,60),ROW()-1,FALSE))</f>
        <v>63421</v>
      </c>
      <c r="BI12">
        <f ca="1">IF(AND(ISNUMBER($BI$218),$B$208=1),$BI$218,HLOOKUP(INDIRECT(ADDRESS(2,COLUMN())),OFFSET($BN$2,0,0,ROW()-1,60),ROW()-1,FALSE))</f>
        <v>57801</v>
      </c>
      <c r="BJ12">
        <f ca="1">IF(AND(ISNUMBER($BJ$218),$B$208=1),$BJ$218,HLOOKUP(INDIRECT(ADDRESS(2,COLUMN())),OFFSET($BN$2,0,0,ROW()-1,60),ROW()-1,FALSE))</f>
        <v>29618</v>
      </c>
      <c r="BK12">
        <f ca="1">IF(AND(ISNUMBER($BK$218),$B$208=1),$BK$218,HLOOKUP(INDIRECT(ADDRESS(2,COLUMN())),OFFSET($BN$2,0,0,ROW()-1,60),ROW()-1,FALSE))</f>
        <v>69306</v>
      </c>
      <c r="BL12">
        <f ca="1">IF(AND(ISNUMBER($BL$218),$B$208=1),$BL$218,HLOOKUP(INDIRECT(ADDRESS(2,COLUMN())),OFFSET($BN$2,0,0,ROW()-1,60),ROW()-1,FALSE))</f>
        <v>73330</v>
      </c>
      <c r="BM12" t="str">
        <f ca="1">IF(AND(ISNUMBER($BM$218),$B$208=1),$BM$218,HLOOKUP(INDIRECT(ADDRESS(2,COLUMN())),OFFSET($BN$2,0,0,ROW()-1,60),ROW()-1,FALSE))</f>
        <v/>
      </c>
      <c r="BN12">
        <f>108948</f>
        <v>108948</v>
      </c>
      <c r="BO12">
        <f>127551</f>
        <v>127551</v>
      </c>
      <c r="BP12">
        <f>123821</f>
        <v>123821</v>
      </c>
      <c r="BQ12">
        <f>144253</f>
        <v>144253</v>
      </c>
      <c r="BR12">
        <f>141042</f>
        <v>141042</v>
      </c>
      <c r="BS12">
        <f>134804</f>
        <v>134804</v>
      </c>
      <c r="BT12">
        <f>141721</f>
        <v>141721</v>
      </c>
      <c r="BU12">
        <f>119877</f>
        <v>119877</v>
      </c>
      <c r="BV12">
        <f>110671</f>
        <v>110671</v>
      </c>
      <c r="BW12">
        <f>119966</f>
        <v>119966</v>
      </c>
      <c r="BX12">
        <f>120823</f>
        <v>120823</v>
      </c>
      <c r="BY12">
        <f>112131</f>
        <v>112131</v>
      </c>
      <c r="BZ12">
        <f>123493</f>
        <v>123493</v>
      </c>
      <c r="CA12">
        <f>109078</f>
        <v>109078</v>
      </c>
      <c r="CB12">
        <f>105523</f>
        <v>105523</v>
      </c>
      <c r="CC12">
        <f>101050</f>
        <v>101050</v>
      </c>
      <c r="CD12">
        <f>108257</f>
        <v>108257</v>
      </c>
      <c r="CE12">
        <f>107468</f>
        <v>107468</v>
      </c>
      <c r="CF12">
        <f>119332</f>
        <v>119332</v>
      </c>
      <c r="CG12">
        <f>125269</f>
        <v>125269</v>
      </c>
      <c r="CH12">
        <f>101736</f>
        <v>101736</v>
      </c>
      <c r="CI12">
        <f>110874</f>
        <v>110874</v>
      </c>
      <c r="CJ12">
        <f>105369</f>
        <v>105369</v>
      </c>
      <c r="CK12">
        <f>92366</f>
        <v>92366</v>
      </c>
      <c r="CL12">
        <f>90117</f>
        <v>90117</v>
      </c>
      <c r="CM12">
        <f>90405</f>
        <v>90405</v>
      </c>
      <c r="CN12">
        <f>91018</f>
        <v>91018</v>
      </c>
      <c r="CO12">
        <f>94745</f>
        <v>94745</v>
      </c>
      <c r="CP12">
        <f>64695</f>
        <v>64695</v>
      </c>
      <c r="CQ12">
        <f>65670</f>
        <v>65670</v>
      </c>
      <c r="CR12">
        <f>68885</f>
        <v>68885</v>
      </c>
      <c r="CS12">
        <f>74898</f>
        <v>74898</v>
      </c>
      <c r="CT12">
        <f>11390</f>
        <v>11390</v>
      </c>
      <c r="CU12">
        <f>75569</f>
        <v>75569</v>
      </c>
      <c r="CV12">
        <f>84532</f>
        <v>84532</v>
      </c>
      <c r="CW12">
        <f>81706</f>
        <v>81706</v>
      </c>
      <c r="CX12">
        <f>11790</f>
        <v>11790</v>
      </c>
      <c r="CY12">
        <f>83662</f>
        <v>83662</v>
      </c>
      <c r="CZ12">
        <f>82693</f>
        <v>82693</v>
      </c>
      <c r="DA12">
        <f>94883</f>
        <v>94883</v>
      </c>
      <c r="DB12">
        <f>14436</f>
        <v>14436</v>
      </c>
      <c r="DC12">
        <f>88023</f>
        <v>88023</v>
      </c>
      <c r="DD12">
        <f>79589</f>
        <v>79589</v>
      </c>
      <c r="DE12">
        <f>76433</f>
        <v>76433</v>
      </c>
      <c r="DF12">
        <f>12590</f>
        <v>12590</v>
      </c>
      <c r="DG12">
        <f>71409</f>
        <v>71409</v>
      </c>
      <c r="DH12">
        <f>72833</f>
        <v>72833</v>
      </c>
      <c r="DI12">
        <f>75750</f>
        <v>75750</v>
      </c>
      <c r="DJ12">
        <f>8888</f>
        <v>8888</v>
      </c>
      <c r="DK12">
        <f>83449</f>
        <v>83449</v>
      </c>
      <c r="DL12">
        <f>78792</f>
        <v>78792</v>
      </c>
      <c r="DM12">
        <f>71208</f>
        <v>71208</v>
      </c>
      <c r="DN12">
        <f>9697</f>
        <v>9697</v>
      </c>
      <c r="DO12">
        <f>74859</f>
        <v>74859</v>
      </c>
      <c r="DP12">
        <f>63421</f>
        <v>63421</v>
      </c>
      <c r="DQ12">
        <f>57801</f>
        <v>57801</v>
      </c>
      <c r="DR12">
        <f>29618</f>
        <v>29618</v>
      </c>
      <c r="DS12">
        <f>69306</f>
        <v>69306</v>
      </c>
      <c r="DT12">
        <f>73330</f>
        <v>73330</v>
      </c>
      <c r="DU12" t="str">
        <f>""</f>
        <v/>
      </c>
    </row>
    <row r="13" spans="1:125" x14ac:dyDescent="0.25">
      <c r="A13" t="str">
        <f>"    Bank of Ireland Group PLC"</f>
        <v xml:space="preserve">    Bank of Ireland Group PLC</v>
      </c>
      <c r="B13" t="str">
        <f>"BIRG ID Equity"</f>
        <v>BIRG ID Equity</v>
      </c>
      <c r="C13" t="str">
        <f t="shared" si="0"/>
        <v>BM105</v>
      </c>
      <c r="D13" t="str">
        <f t="shared" si="1"/>
        <v>BS_TRADING_ASSETS</v>
      </c>
      <c r="E13" t="str">
        <f t="shared" si="2"/>
        <v>Dynamic</v>
      </c>
      <c r="F13" t="str">
        <f ca="1">IF(AND(ISNUMBER($F$219),$B$208=1),$F$219,HLOOKUP(INDIRECT(ADDRESS(2,COLUMN())),OFFSET($BN$2,0,0,ROW()-1,60),ROW()-1,FALSE))</f>
        <v/>
      </c>
      <c r="G13" t="str">
        <f ca="1">IF(AND(ISNUMBER($G$219),$B$208=1),$G$219,HLOOKUP(INDIRECT(ADDRESS(2,COLUMN())),OFFSET($BN$2,0,0,ROW()-1,60),ROW()-1,FALSE))</f>
        <v/>
      </c>
      <c r="H13" t="str">
        <f ca="1">IF(AND(ISNUMBER($H$219),$B$208=1),$H$219,HLOOKUP(INDIRECT(ADDRESS(2,COLUMN())),OFFSET($BN$2,0,0,ROW()-1,60),ROW()-1,FALSE))</f>
        <v/>
      </c>
      <c r="I13" t="str">
        <f ca="1">IF(AND(ISNUMBER($I$219),$B$208=1),$I$219,HLOOKUP(INDIRECT(ADDRESS(2,COLUMN())),OFFSET($BN$2,0,0,ROW()-1,60),ROW()-1,FALSE))</f>
        <v/>
      </c>
      <c r="J13" t="str">
        <f ca="1">IF(AND(ISNUMBER($J$219),$B$208=1),$J$219,HLOOKUP(INDIRECT(ADDRESS(2,COLUMN())),OFFSET($BN$2,0,0,ROW()-1,60),ROW()-1,FALSE))</f>
        <v/>
      </c>
      <c r="K13" t="str">
        <f ca="1">IF(AND(ISNUMBER($K$219),$B$208=1),$K$219,HLOOKUP(INDIRECT(ADDRESS(2,COLUMN())),OFFSET($BN$2,0,0,ROW()-1,60),ROW()-1,FALSE))</f>
        <v/>
      </c>
      <c r="L13" t="str">
        <f ca="1">IF(AND(ISNUMBER($L$219),$B$208=1),$L$219,HLOOKUP(INDIRECT(ADDRESS(2,COLUMN())),OFFSET($BN$2,0,0,ROW()-1,60),ROW()-1,FALSE))</f>
        <v/>
      </c>
      <c r="M13" t="str">
        <f ca="1">IF(AND(ISNUMBER($M$219),$B$208=1),$M$219,HLOOKUP(INDIRECT(ADDRESS(2,COLUMN())),OFFSET($BN$2,0,0,ROW()-1,60),ROW()-1,FALSE))</f>
        <v/>
      </c>
      <c r="N13" t="str">
        <f ca="1">IF(AND(ISNUMBER($N$219),$B$208=1),$N$219,HLOOKUP(INDIRECT(ADDRESS(2,COLUMN())),OFFSET($BN$2,0,0,ROW()-1,60),ROW()-1,FALSE))</f>
        <v/>
      </c>
      <c r="O13" t="str">
        <f ca="1">IF(AND(ISNUMBER($O$219),$B$208=1),$O$219,HLOOKUP(INDIRECT(ADDRESS(2,COLUMN())),OFFSET($BN$2,0,0,ROW()-1,60),ROW()-1,FALSE))</f>
        <v/>
      </c>
      <c r="P13" t="str">
        <f ca="1">IF(AND(ISNUMBER($P$219),$B$208=1),$P$219,HLOOKUP(INDIRECT(ADDRESS(2,COLUMN())),OFFSET($BN$2,0,0,ROW()-1,60),ROW()-1,FALSE))</f>
        <v/>
      </c>
      <c r="Q13" t="str">
        <f ca="1">IF(AND(ISNUMBER($Q$219),$B$208=1),$Q$219,HLOOKUP(INDIRECT(ADDRESS(2,COLUMN())),OFFSET($BN$2,0,0,ROW()-1,60),ROW()-1,FALSE))</f>
        <v/>
      </c>
      <c r="R13" t="str">
        <f ca="1">IF(AND(ISNUMBER($R$219),$B$208=1),$R$219,HLOOKUP(INDIRECT(ADDRESS(2,COLUMN())),OFFSET($BN$2,0,0,ROW()-1,60),ROW()-1,FALSE))</f>
        <v/>
      </c>
      <c r="S13" t="str">
        <f ca="1">IF(AND(ISNUMBER($S$219),$B$208=1),$S$219,HLOOKUP(INDIRECT(ADDRESS(2,COLUMN())),OFFSET($BN$2,0,0,ROW()-1,60),ROW()-1,FALSE))</f>
        <v/>
      </c>
      <c r="T13" t="str">
        <f ca="1">IF(AND(ISNUMBER($T$219),$B$208=1),$T$219,HLOOKUP(INDIRECT(ADDRESS(2,COLUMN())),OFFSET($BN$2,0,0,ROW()-1,60),ROW()-1,FALSE))</f>
        <v/>
      </c>
      <c r="U13" t="str">
        <f ca="1">IF(AND(ISNUMBER($U$219),$B$208=1),$U$219,HLOOKUP(INDIRECT(ADDRESS(2,COLUMN())),OFFSET($BN$2,0,0,ROW()-1,60),ROW()-1,FALSE))</f>
        <v/>
      </c>
      <c r="V13" t="str">
        <f ca="1">IF(AND(ISNUMBER($V$219),$B$208=1),$V$219,HLOOKUP(INDIRECT(ADDRESS(2,COLUMN())),OFFSET($BN$2,0,0,ROW()-1,60),ROW()-1,FALSE))</f>
        <v/>
      </c>
      <c r="W13" t="str">
        <f ca="1">IF(AND(ISNUMBER($W$219),$B$208=1),$W$219,HLOOKUP(INDIRECT(ADDRESS(2,COLUMN())),OFFSET($BN$2,0,0,ROW()-1,60),ROW()-1,FALSE))</f>
        <v/>
      </c>
      <c r="X13" t="str">
        <f ca="1">IF(AND(ISNUMBER($X$219),$B$208=1),$X$219,HLOOKUP(INDIRECT(ADDRESS(2,COLUMN())),OFFSET($BN$2,0,0,ROW()-1,60),ROW()-1,FALSE))</f>
        <v/>
      </c>
      <c r="Y13" t="str">
        <f ca="1">IF(AND(ISNUMBER($Y$219),$B$208=1),$Y$219,HLOOKUP(INDIRECT(ADDRESS(2,COLUMN())),OFFSET($BN$2,0,0,ROW()-1,60),ROW()-1,FALSE))</f>
        <v/>
      </c>
      <c r="Z13" t="str">
        <f ca="1">IF(AND(ISNUMBER($Z$219),$B$208=1),$Z$219,HLOOKUP(INDIRECT(ADDRESS(2,COLUMN())),OFFSET($BN$2,0,0,ROW()-1,60),ROW()-1,FALSE))</f>
        <v/>
      </c>
      <c r="AA13" t="str">
        <f ca="1">IF(AND(ISNUMBER($AA$219),$B$208=1),$AA$219,HLOOKUP(INDIRECT(ADDRESS(2,COLUMN())),OFFSET($BN$2,0,0,ROW()-1,60),ROW()-1,FALSE))</f>
        <v/>
      </c>
      <c r="AB13" t="str">
        <f ca="1">IF(AND(ISNUMBER($AB$219),$B$208=1),$AB$219,HLOOKUP(INDIRECT(ADDRESS(2,COLUMN())),OFFSET($BN$2,0,0,ROW()-1,60),ROW()-1,FALSE))</f>
        <v/>
      </c>
      <c r="AC13" t="str">
        <f ca="1">IF(AND(ISNUMBER($AC$219),$B$208=1),$AC$219,HLOOKUP(INDIRECT(ADDRESS(2,COLUMN())),OFFSET($BN$2,0,0,ROW()-1,60),ROW()-1,FALSE))</f>
        <v/>
      </c>
      <c r="AD13" t="str">
        <f ca="1">IF(AND(ISNUMBER($AD$219),$B$208=1),$AD$219,HLOOKUP(INDIRECT(ADDRESS(2,COLUMN())),OFFSET($BN$2,0,0,ROW()-1,60),ROW()-1,FALSE))</f>
        <v/>
      </c>
      <c r="AE13" t="str">
        <f ca="1">IF(AND(ISNUMBER($AE$219),$B$208=1),$AE$219,HLOOKUP(INDIRECT(ADDRESS(2,COLUMN())),OFFSET($BN$2,0,0,ROW()-1,60),ROW()-1,FALSE))</f>
        <v/>
      </c>
      <c r="AF13" t="str">
        <f ca="1">IF(AND(ISNUMBER($AF$219),$B$208=1),$AF$219,HLOOKUP(INDIRECT(ADDRESS(2,COLUMN())),OFFSET($BN$2,0,0,ROW()-1,60),ROW()-1,FALSE))</f>
        <v/>
      </c>
      <c r="AG13" t="str">
        <f ca="1">IF(AND(ISNUMBER($AG$219),$B$208=1),$AG$219,HLOOKUP(INDIRECT(ADDRESS(2,COLUMN())),OFFSET($BN$2,0,0,ROW()-1,60),ROW()-1,FALSE))</f>
        <v/>
      </c>
      <c r="AH13" t="str">
        <f ca="1">IF(AND(ISNUMBER($AH$219),$B$208=1),$AH$219,HLOOKUP(INDIRECT(ADDRESS(2,COLUMN())),OFFSET($BN$2,0,0,ROW()-1,60),ROW()-1,FALSE))</f>
        <v/>
      </c>
      <c r="AI13" t="str">
        <f ca="1">IF(AND(ISNUMBER($AI$219),$B$208=1),$AI$219,HLOOKUP(INDIRECT(ADDRESS(2,COLUMN())),OFFSET($BN$2,0,0,ROW()-1,60),ROW()-1,FALSE))</f>
        <v/>
      </c>
      <c r="AJ13" t="str">
        <f ca="1">IF(AND(ISNUMBER($AJ$219),$B$208=1),$AJ$219,HLOOKUP(INDIRECT(ADDRESS(2,COLUMN())),OFFSET($BN$2,0,0,ROW()-1,60),ROW()-1,FALSE))</f>
        <v/>
      </c>
      <c r="AK13" t="str">
        <f ca="1">IF(AND(ISNUMBER($AK$219),$B$208=1),$AK$219,HLOOKUP(INDIRECT(ADDRESS(2,COLUMN())),OFFSET($BN$2,0,0,ROW()-1,60),ROW()-1,FALSE))</f>
        <v/>
      </c>
      <c r="AL13" t="str">
        <f ca="1">IF(AND(ISNUMBER($AL$219),$B$208=1),$AL$219,HLOOKUP(INDIRECT(ADDRESS(2,COLUMN())),OFFSET($BN$2,0,0,ROW()-1,60),ROW()-1,FALSE))</f>
        <v/>
      </c>
      <c r="AM13" t="str">
        <f ca="1">IF(AND(ISNUMBER($AM$219),$B$208=1),$AM$219,HLOOKUP(INDIRECT(ADDRESS(2,COLUMN())),OFFSET($BN$2,0,0,ROW()-1,60),ROW()-1,FALSE))</f>
        <v/>
      </c>
      <c r="AN13" t="str">
        <f ca="1">IF(AND(ISNUMBER($AN$219),$B$208=1),$AN$219,HLOOKUP(INDIRECT(ADDRESS(2,COLUMN())),OFFSET($BN$2,0,0,ROW()-1,60),ROW()-1,FALSE))</f>
        <v/>
      </c>
      <c r="AO13" t="str">
        <f ca="1">IF(AND(ISNUMBER($AO$219),$B$208=1),$AO$219,HLOOKUP(INDIRECT(ADDRESS(2,COLUMN())),OFFSET($BN$2,0,0,ROW()-1,60),ROW()-1,FALSE))</f>
        <v/>
      </c>
      <c r="AP13" t="str">
        <f ca="1">IF(AND(ISNUMBER($AP$219),$B$208=1),$AP$219,HLOOKUP(INDIRECT(ADDRESS(2,COLUMN())),OFFSET($BN$2,0,0,ROW()-1,60),ROW()-1,FALSE))</f>
        <v/>
      </c>
      <c r="AQ13" t="str">
        <f ca="1">IF(AND(ISNUMBER($AQ$219),$B$208=1),$AQ$219,HLOOKUP(INDIRECT(ADDRESS(2,COLUMN())),OFFSET($BN$2,0,0,ROW()-1,60),ROW()-1,FALSE))</f>
        <v/>
      </c>
      <c r="AR13" t="str">
        <f ca="1">IF(AND(ISNUMBER($AR$219),$B$208=1),$AR$219,HLOOKUP(INDIRECT(ADDRESS(2,COLUMN())),OFFSET($BN$2,0,0,ROW()-1,60),ROW()-1,FALSE))</f>
        <v/>
      </c>
      <c r="AS13" t="str">
        <f ca="1">IF(AND(ISNUMBER($AS$219),$B$208=1),$AS$219,HLOOKUP(INDIRECT(ADDRESS(2,COLUMN())),OFFSET($BN$2,0,0,ROW()-1,60),ROW()-1,FALSE))</f>
        <v/>
      </c>
      <c r="AT13" t="str">
        <f ca="1">IF(AND(ISNUMBER($AT$219),$B$208=1),$AT$219,HLOOKUP(INDIRECT(ADDRESS(2,COLUMN())),OFFSET($BN$2,0,0,ROW()-1,60),ROW()-1,FALSE))</f>
        <v/>
      </c>
      <c r="AU13" t="str">
        <f ca="1">IF(AND(ISNUMBER($AU$219),$B$208=1),$AU$219,HLOOKUP(INDIRECT(ADDRESS(2,COLUMN())),OFFSET($BN$2,0,0,ROW()-1,60),ROW()-1,FALSE))</f>
        <v/>
      </c>
      <c r="AV13" t="str">
        <f ca="1">IF(AND(ISNUMBER($AV$219),$B$208=1),$AV$219,HLOOKUP(INDIRECT(ADDRESS(2,COLUMN())),OFFSET($BN$2,0,0,ROW()-1,60),ROW()-1,FALSE))</f>
        <v/>
      </c>
      <c r="AW13" t="str">
        <f ca="1">IF(AND(ISNUMBER($AW$219),$B$208=1),$AW$219,HLOOKUP(INDIRECT(ADDRESS(2,COLUMN())),OFFSET($BN$2,0,0,ROW()-1,60),ROW()-1,FALSE))</f>
        <v/>
      </c>
      <c r="AX13" t="str">
        <f ca="1">IF(AND(ISNUMBER($AX$219),$B$208=1),$AX$219,HLOOKUP(INDIRECT(ADDRESS(2,COLUMN())),OFFSET($BN$2,0,0,ROW()-1,60),ROW()-1,FALSE))</f>
        <v/>
      </c>
      <c r="AY13" t="str">
        <f ca="1">IF(AND(ISNUMBER($AY$219),$B$208=1),$AY$219,HLOOKUP(INDIRECT(ADDRESS(2,COLUMN())),OFFSET($BN$2,0,0,ROW()-1,60),ROW()-1,FALSE))</f>
        <v/>
      </c>
      <c r="AZ13" t="str">
        <f ca="1">IF(AND(ISNUMBER($AZ$219),$B$208=1),$AZ$219,HLOOKUP(INDIRECT(ADDRESS(2,COLUMN())),OFFSET($BN$2,0,0,ROW()-1,60),ROW()-1,FALSE))</f>
        <v/>
      </c>
      <c r="BA13" t="str">
        <f ca="1">IF(AND(ISNUMBER($BA$219),$B$208=1),$BA$219,HLOOKUP(INDIRECT(ADDRESS(2,COLUMN())),OFFSET($BN$2,0,0,ROW()-1,60),ROW()-1,FALSE))</f>
        <v/>
      </c>
      <c r="BB13" t="str">
        <f ca="1">IF(AND(ISNUMBER($BB$219),$B$208=1),$BB$219,HLOOKUP(INDIRECT(ADDRESS(2,COLUMN())),OFFSET($BN$2,0,0,ROW()-1,60),ROW()-1,FALSE))</f>
        <v/>
      </c>
      <c r="BC13" t="str">
        <f ca="1">IF(AND(ISNUMBER($BC$219),$B$208=1),$BC$219,HLOOKUP(INDIRECT(ADDRESS(2,COLUMN())),OFFSET($BN$2,0,0,ROW()-1,60),ROW()-1,FALSE))</f>
        <v/>
      </c>
      <c r="BD13" t="str">
        <f ca="1">IF(AND(ISNUMBER($BD$219),$B$208=1),$BD$219,HLOOKUP(INDIRECT(ADDRESS(2,COLUMN())),OFFSET($BN$2,0,0,ROW()-1,60),ROW()-1,FALSE))</f>
        <v/>
      </c>
      <c r="BE13" t="str">
        <f ca="1">IF(AND(ISNUMBER($BE$219),$B$208=1),$BE$219,HLOOKUP(INDIRECT(ADDRESS(2,COLUMN())),OFFSET($BN$2,0,0,ROW()-1,60),ROW()-1,FALSE))</f>
        <v/>
      </c>
      <c r="BF13" t="str">
        <f ca="1">IF(AND(ISNUMBER($BF$219),$B$208=1),$BF$219,HLOOKUP(INDIRECT(ADDRESS(2,COLUMN())),OFFSET($BN$2,0,0,ROW()-1,60),ROW()-1,FALSE))</f>
        <v/>
      </c>
      <c r="BG13" t="str">
        <f ca="1">IF(AND(ISNUMBER($BG$219),$B$208=1),$BG$219,HLOOKUP(INDIRECT(ADDRESS(2,COLUMN())),OFFSET($BN$2,0,0,ROW()-1,60),ROW()-1,FALSE))</f>
        <v/>
      </c>
      <c r="BH13" t="str">
        <f ca="1">IF(AND(ISNUMBER($BH$219),$B$208=1),$BH$219,HLOOKUP(INDIRECT(ADDRESS(2,COLUMN())),OFFSET($BN$2,0,0,ROW()-1,60),ROW()-1,FALSE))</f>
        <v/>
      </c>
      <c r="BI13" t="str">
        <f ca="1">IF(AND(ISNUMBER($BI$219),$B$208=1),$BI$219,HLOOKUP(INDIRECT(ADDRESS(2,COLUMN())),OFFSET($BN$2,0,0,ROW()-1,60),ROW()-1,FALSE))</f>
        <v/>
      </c>
      <c r="BJ13" t="str">
        <f ca="1">IF(AND(ISNUMBER($BJ$219),$B$208=1),$BJ$219,HLOOKUP(INDIRECT(ADDRESS(2,COLUMN())),OFFSET($BN$2,0,0,ROW()-1,60),ROW()-1,FALSE))</f>
        <v/>
      </c>
      <c r="BK13" t="str">
        <f ca="1">IF(AND(ISNUMBER($BK$219),$B$208=1),$BK$219,HLOOKUP(INDIRECT(ADDRESS(2,COLUMN())),OFFSET($BN$2,0,0,ROW()-1,60),ROW()-1,FALSE))</f>
        <v/>
      </c>
      <c r="BL13" t="str">
        <f ca="1">IF(AND(ISNUMBER($BL$219),$B$208=1),$BL$219,HLOOKUP(INDIRECT(ADDRESS(2,COLUMN())),OFFSET($BN$2,0,0,ROW()-1,60),ROW()-1,FALSE))</f>
        <v/>
      </c>
      <c r="BM13" t="str">
        <f ca="1">IF(AND(ISNUMBER($BM$219),$B$208=1),$BM$219,HLOOKUP(INDIRECT(ADDRESS(2,COLUMN())),OFFSET($BN$2,0,0,ROW()-1,60),ROW()-1,FALSE))</f>
        <v/>
      </c>
      <c r="BN13" t="str">
        <f>""</f>
        <v/>
      </c>
      <c r="BO13" t="str">
        <f>""</f>
        <v/>
      </c>
      <c r="BP13" t="str">
        <f>""</f>
        <v/>
      </c>
      <c r="BQ13" t="str">
        <f>""</f>
        <v/>
      </c>
      <c r="BR13" t="str">
        <f>""</f>
        <v/>
      </c>
      <c r="BS13" t="str">
        <f>""</f>
        <v/>
      </c>
      <c r="BT13" t="str">
        <f>""</f>
        <v/>
      </c>
      <c r="BU13" t="str">
        <f>""</f>
        <v/>
      </c>
      <c r="BV13" t="str">
        <f>""</f>
        <v/>
      </c>
      <c r="BW13" t="str">
        <f>""</f>
        <v/>
      </c>
      <c r="BX13" t="str">
        <f>""</f>
        <v/>
      </c>
      <c r="BY13" t="str">
        <f>""</f>
        <v/>
      </c>
      <c r="BZ13" t="str">
        <f>""</f>
        <v/>
      </c>
      <c r="CA13" t="str">
        <f>""</f>
        <v/>
      </c>
      <c r="CB13" t="str">
        <f>""</f>
        <v/>
      </c>
      <c r="CC13" t="str">
        <f>""</f>
        <v/>
      </c>
      <c r="CD13" t="str">
        <f>""</f>
        <v/>
      </c>
      <c r="CE13" t="str">
        <f>""</f>
        <v/>
      </c>
      <c r="CF13" t="str">
        <f>""</f>
        <v/>
      </c>
      <c r="CG13" t="str">
        <f>""</f>
        <v/>
      </c>
      <c r="CH13" t="str">
        <f>""</f>
        <v/>
      </c>
      <c r="CI13" t="str">
        <f>""</f>
        <v/>
      </c>
      <c r="CJ13" t="str">
        <f>""</f>
        <v/>
      </c>
      <c r="CK13" t="str">
        <f>""</f>
        <v/>
      </c>
      <c r="CL13" t="str">
        <f>""</f>
        <v/>
      </c>
      <c r="CM13" t="str">
        <f>""</f>
        <v/>
      </c>
      <c r="CN13" t="str">
        <f>""</f>
        <v/>
      </c>
      <c r="CO13" t="str">
        <f>""</f>
        <v/>
      </c>
      <c r="CP13" t="str">
        <f>""</f>
        <v/>
      </c>
      <c r="CQ13" t="str">
        <f>""</f>
        <v/>
      </c>
      <c r="CR13" t="str">
        <f>""</f>
        <v/>
      </c>
      <c r="CS13" t="str">
        <f>""</f>
        <v/>
      </c>
      <c r="CT13" t="str">
        <f>""</f>
        <v/>
      </c>
      <c r="CU13" t="str">
        <f>""</f>
        <v/>
      </c>
      <c r="CV13" t="str">
        <f>""</f>
        <v/>
      </c>
      <c r="CW13" t="str">
        <f>""</f>
        <v/>
      </c>
      <c r="CX13" t="str">
        <f>""</f>
        <v/>
      </c>
      <c r="CY13" t="str">
        <f>""</f>
        <v/>
      </c>
      <c r="CZ13" t="str">
        <f>""</f>
        <v/>
      </c>
      <c r="DA13" t="str">
        <f>""</f>
        <v/>
      </c>
      <c r="DB13" t="str">
        <f>""</f>
        <v/>
      </c>
      <c r="DC13" t="str">
        <f>""</f>
        <v/>
      </c>
      <c r="DD13" t="str">
        <f>""</f>
        <v/>
      </c>
      <c r="DE13" t="str">
        <f>""</f>
        <v/>
      </c>
      <c r="DF13" t="str">
        <f>""</f>
        <v/>
      </c>
      <c r="DG13" t="str">
        <f>""</f>
        <v/>
      </c>
      <c r="DH13" t="str">
        <f>""</f>
        <v/>
      </c>
      <c r="DI13" t="str">
        <f>""</f>
        <v/>
      </c>
      <c r="DJ13" t="str">
        <f>""</f>
        <v/>
      </c>
      <c r="DK13" t="str">
        <f>""</f>
        <v/>
      </c>
      <c r="DL13" t="str">
        <f>""</f>
        <v/>
      </c>
      <c r="DM13" t="str">
        <f>""</f>
        <v/>
      </c>
      <c r="DN13" t="str">
        <f>""</f>
        <v/>
      </c>
      <c r="DO13" t="str">
        <f>""</f>
        <v/>
      </c>
      <c r="DP13" t="str">
        <f>""</f>
        <v/>
      </c>
      <c r="DQ13" t="str">
        <f>""</f>
        <v/>
      </c>
      <c r="DR13" t="str">
        <f>""</f>
        <v/>
      </c>
      <c r="DS13" t="str">
        <f>""</f>
        <v/>
      </c>
      <c r="DT13" t="str">
        <f>""</f>
        <v/>
      </c>
      <c r="DU13" t="str">
        <f>""</f>
        <v/>
      </c>
    </row>
    <row r="14" spans="1:125" x14ac:dyDescent="0.25">
      <c r="A14" t="str">
        <f>"    Bankinter SA"</f>
        <v xml:space="preserve">    Bankinter SA</v>
      </c>
      <c r="B14" t="str">
        <f>"BKT SM Equity"</f>
        <v>BKT SM Equity</v>
      </c>
      <c r="C14" t="str">
        <f t="shared" si="0"/>
        <v>BM105</v>
      </c>
      <c r="D14" t="str">
        <f t="shared" si="1"/>
        <v>BS_TRADING_ASSETS</v>
      </c>
      <c r="E14" t="str">
        <f t="shared" si="2"/>
        <v>Dynamic</v>
      </c>
      <c r="F14">
        <f ca="1">IF(AND(ISNUMBER($F$220),$B$208=1),$F$220,HLOOKUP(INDIRECT(ADDRESS(2,COLUMN())),OFFSET($BN$2,0,0,ROW()-1,60),ROW()-1,FALSE))</f>
        <v>3372.0050000000001</v>
      </c>
      <c r="G14">
        <f ca="1">IF(AND(ISNUMBER($G$220),$B$208=1),$G$220,HLOOKUP(INDIRECT(ADDRESS(2,COLUMN())),OFFSET($BN$2,0,0,ROW()-1,60),ROW()-1,FALSE))</f>
        <v>6729.2460000000001</v>
      </c>
      <c r="H14">
        <f ca="1">IF(AND(ISNUMBER($H$220),$B$208=1),$H$220,HLOOKUP(INDIRECT(ADDRESS(2,COLUMN())),OFFSET($BN$2,0,0,ROW()-1,60),ROW()-1,FALSE))</f>
        <v>6096.5169999999998</v>
      </c>
      <c r="I14">
        <f ca="1">IF(AND(ISNUMBER($I$220),$B$208=1),$I$220,HLOOKUP(INDIRECT(ADDRESS(2,COLUMN())),OFFSET($BN$2,0,0,ROW()-1,60),ROW()-1,FALSE))</f>
        <v>4680.4859999999999</v>
      </c>
      <c r="J14">
        <f ca="1">IF(AND(ISNUMBER($J$220),$B$208=1),$J$220,HLOOKUP(INDIRECT(ADDRESS(2,COLUMN())),OFFSET($BN$2,0,0,ROW()-1,60),ROW()-1,FALSE))</f>
        <v>4505.2539999999999</v>
      </c>
      <c r="K14">
        <f ca="1">IF(AND(ISNUMBER($K$220),$B$208=1),$K$220,HLOOKUP(INDIRECT(ADDRESS(2,COLUMN())),OFFSET($BN$2,0,0,ROW()-1,60),ROW()-1,FALSE))</f>
        <v>4114.6270000000004</v>
      </c>
      <c r="L14">
        <f ca="1">IF(AND(ISNUMBER($L$220),$B$208=1),$L$220,HLOOKUP(INDIRECT(ADDRESS(2,COLUMN())),OFFSET($BN$2,0,0,ROW()-1,60),ROW()-1,FALSE))</f>
        <v>4005.2710000000002</v>
      </c>
      <c r="M14">
        <f ca="1">IF(AND(ISNUMBER($M$220),$B$208=1),$M$220,HLOOKUP(INDIRECT(ADDRESS(2,COLUMN())),OFFSET($BN$2,0,0,ROW()-1,60),ROW()-1,FALSE))</f>
        <v>3916.0619999999999</v>
      </c>
      <c r="N14">
        <f ca="1">IF(AND(ISNUMBER($N$220),$B$208=1),$N$220,HLOOKUP(INDIRECT(ADDRESS(2,COLUMN())),OFFSET($BN$2,0,0,ROW()-1,60),ROW()-1,FALSE))</f>
        <v>4055.77</v>
      </c>
      <c r="O14">
        <f ca="1">IF(AND(ISNUMBER($O$220),$B$208=1),$O$220,HLOOKUP(INDIRECT(ADDRESS(2,COLUMN())),OFFSET($BN$2,0,0,ROW()-1,60),ROW()-1,FALSE))</f>
        <v>5589.7809999999999</v>
      </c>
      <c r="P14">
        <f ca="1">IF(AND(ISNUMBER($P$220),$B$208=1),$P$220,HLOOKUP(INDIRECT(ADDRESS(2,COLUMN())),OFFSET($BN$2,0,0,ROW()-1,60),ROW()-1,FALSE))</f>
        <v>3922.5439999999999</v>
      </c>
      <c r="Q14">
        <f ca="1">IF(AND(ISNUMBER($Q$220),$B$208=1),$Q$220,HLOOKUP(INDIRECT(ADDRESS(2,COLUMN())),OFFSET($BN$2,0,0,ROW()-1,60),ROW()-1,FALSE))</f>
        <v>4368.0169999999998</v>
      </c>
      <c r="R14">
        <f ca="1">IF(AND(ISNUMBER($R$220),$B$208=1),$R$220,HLOOKUP(INDIRECT(ADDRESS(2,COLUMN())),OFFSET($BN$2,0,0,ROW()-1,60),ROW()-1,FALSE))</f>
        <v>4038.2559999999999</v>
      </c>
      <c r="S14">
        <f ca="1">IF(AND(ISNUMBER($S$220),$B$208=1),$S$220,HLOOKUP(INDIRECT(ADDRESS(2,COLUMN())),OFFSET($BN$2,0,0,ROW()-1,60),ROW()-1,FALSE))</f>
        <v>3791.3580000000002</v>
      </c>
      <c r="T14">
        <f ca="1">IF(AND(ISNUMBER($T$220),$B$208=1),$T$220,HLOOKUP(INDIRECT(ADDRESS(2,COLUMN())),OFFSET($BN$2,0,0,ROW()-1,60),ROW()-1,FALSE))</f>
        <v>4101.8940000000002</v>
      </c>
      <c r="U14">
        <f ca="1">IF(AND(ISNUMBER($U$220),$B$208=1),$U$220,HLOOKUP(INDIRECT(ADDRESS(2,COLUMN())),OFFSET($BN$2,0,0,ROW()-1,60),ROW()-1,FALSE))</f>
        <v>4543.9279999999999</v>
      </c>
      <c r="V14">
        <f ca="1">IF(AND(ISNUMBER($V$220),$B$208=1),$V$220,HLOOKUP(INDIRECT(ADDRESS(2,COLUMN())),OFFSET($BN$2,0,0,ROW()-1,60),ROW()-1,FALSE))</f>
        <v>2158.7420000000002</v>
      </c>
      <c r="W14">
        <f ca="1">IF(AND(ISNUMBER($W$220),$B$208=1),$W$220,HLOOKUP(INDIRECT(ADDRESS(2,COLUMN())),OFFSET($BN$2,0,0,ROW()-1,60),ROW()-1,FALSE))</f>
        <v>3327.3620000000001</v>
      </c>
      <c r="X14">
        <f ca="1">IF(AND(ISNUMBER($X$220),$B$208=1),$X$220,HLOOKUP(INDIRECT(ADDRESS(2,COLUMN())),OFFSET($BN$2,0,0,ROW()-1,60),ROW()-1,FALSE))</f>
        <v>3724.9740000000002</v>
      </c>
      <c r="Y14">
        <f ca="1">IF(AND(ISNUMBER($Y$220),$B$208=1),$Y$220,HLOOKUP(INDIRECT(ADDRESS(2,COLUMN())),OFFSET($BN$2,0,0,ROW()-1,60),ROW()-1,FALSE))</f>
        <v>3876.9679999999998</v>
      </c>
      <c r="Z14">
        <f ca="1">IF(AND(ISNUMBER($Z$220),$B$208=1),$Z$220,HLOOKUP(INDIRECT(ADDRESS(2,COLUMN())),OFFSET($BN$2,0,0,ROW()-1,60),ROW()-1,FALSE))</f>
        <v>3848.15</v>
      </c>
      <c r="AA14">
        <f ca="1">IF(AND(ISNUMBER($AA$220),$B$208=1),$AA$220,HLOOKUP(INDIRECT(ADDRESS(2,COLUMN())),OFFSET($BN$2,0,0,ROW()-1,60),ROW()-1,FALSE))</f>
        <v>3706.22</v>
      </c>
      <c r="AB14">
        <f ca="1">IF(AND(ISNUMBER($AB$220),$B$208=1),$AB$220,HLOOKUP(INDIRECT(ADDRESS(2,COLUMN())),OFFSET($BN$2,0,0,ROW()-1,60),ROW()-1,FALSE))</f>
        <v>5001.8739999999998</v>
      </c>
      <c r="AC14">
        <f ca="1">IF(AND(ISNUMBER($AC$220),$B$208=1),$AC$220,HLOOKUP(INDIRECT(ADDRESS(2,COLUMN())),OFFSET($BN$2,0,0,ROW()-1,60),ROW()-1,FALSE))</f>
        <v>5954.5020000000004</v>
      </c>
      <c r="AD14">
        <f ca="1">IF(AND(ISNUMBER($AD$220),$B$208=1),$AD$220,HLOOKUP(INDIRECT(ADDRESS(2,COLUMN())),OFFSET($BN$2,0,0,ROW()-1,60),ROW()-1,FALSE))</f>
        <v>5162.9080000000004</v>
      </c>
      <c r="AE14">
        <f ca="1">IF(AND(ISNUMBER($AE$220),$B$208=1),$AE$220,HLOOKUP(INDIRECT(ADDRESS(2,COLUMN())),OFFSET($BN$2,0,0,ROW()-1,60),ROW()-1,FALSE))</f>
        <v>4342.3689999999997</v>
      </c>
      <c r="AF14">
        <f ca="1">IF(AND(ISNUMBER($AF$220),$B$208=1),$AF$220,HLOOKUP(INDIRECT(ADDRESS(2,COLUMN())),OFFSET($BN$2,0,0,ROW()-1,60),ROW()-1,FALSE))</f>
        <v>4220.7929999999997</v>
      </c>
      <c r="AG14">
        <f ca="1">IF(AND(ISNUMBER($AG$220),$B$208=1),$AG$220,HLOOKUP(INDIRECT(ADDRESS(2,COLUMN())),OFFSET($BN$2,0,0,ROW()-1,60),ROW()-1,FALSE))</f>
        <v>2705.6930000000002</v>
      </c>
      <c r="AH14">
        <f ca="1">IF(AND(ISNUMBER($AH$220),$B$208=1),$AH$220,HLOOKUP(INDIRECT(ADDRESS(2,COLUMN())),OFFSET($BN$2,0,0,ROW()-1,60),ROW()-1,FALSE))</f>
        <v>2734.6990000000001</v>
      </c>
      <c r="AI14">
        <f ca="1">IF(AND(ISNUMBER($AI$220),$B$208=1),$AI$220,HLOOKUP(INDIRECT(ADDRESS(2,COLUMN())),OFFSET($BN$2,0,0,ROW()-1,60),ROW()-1,FALSE))</f>
        <v>2751.4319999999998</v>
      </c>
      <c r="AJ14">
        <f ca="1">IF(AND(ISNUMBER($AJ$220),$B$208=1),$AJ$220,HLOOKUP(INDIRECT(ADDRESS(2,COLUMN())),OFFSET($BN$2,0,0,ROW()-1,60),ROW()-1,FALSE))</f>
        <v>3063.0250000000001</v>
      </c>
      <c r="AK14">
        <f ca="1">IF(AND(ISNUMBER($AK$220),$B$208=1),$AK$220,HLOOKUP(INDIRECT(ADDRESS(2,COLUMN())),OFFSET($BN$2,0,0,ROW()-1,60),ROW()-1,FALSE))</f>
        <v>4105.1350000000002</v>
      </c>
      <c r="AL14">
        <f ca="1">IF(AND(ISNUMBER($AL$220),$B$208=1),$AL$220,HLOOKUP(INDIRECT(ADDRESS(2,COLUMN())),OFFSET($BN$2,0,0,ROW()-1,60),ROW()-1,FALSE))</f>
        <v>2676.7190000000001</v>
      </c>
      <c r="AM14">
        <f ca="1">IF(AND(ISNUMBER($AM$220),$B$208=1),$AM$220,HLOOKUP(INDIRECT(ADDRESS(2,COLUMN())),OFFSET($BN$2,0,0,ROW()-1,60),ROW()-1,FALSE))</f>
        <v>3236.8710000000001</v>
      </c>
      <c r="AN14">
        <f ca="1">IF(AND(ISNUMBER($AN$220),$B$208=1),$AN$220,HLOOKUP(INDIRECT(ADDRESS(2,COLUMN())),OFFSET($BN$2,0,0,ROW()-1,60),ROW()-1,FALSE))</f>
        <v>4218.893</v>
      </c>
      <c r="AO14">
        <f ca="1">IF(AND(ISNUMBER($AO$220),$B$208=1),$AO$220,HLOOKUP(INDIRECT(ADDRESS(2,COLUMN())),OFFSET($BN$2,0,0,ROW()-1,60),ROW()-1,FALSE))</f>
        <v>5308.0929999999998</v>
      </c>
      <c r="AP14">
        <f ca="1">IF(AND(ISNUMBER($AP$220),$B$208=1),$AP$220,HLOOKUP(INDIRECT(ADDRESS(2,COLUMN())),OFFSET($BN$2,0,0,ROW()-1,60),ROW()-1,FALSE))</f>
        <v>4473.6379999999999</v>
      </c>
      <c r="AQ14">
        <f ca="1">IF(AND(ISNUMBER($AQ$220),$B$208=1),$AQ$220,HLOOKUP(INDIRECT(ADDRESS(2,COLUMN())),OFFSET($BN$2,0,0,ROW()-1,60),ROW()-1,FALSE))</f>
        <v>4430.0720000000001</v>
      </c>
      <c r="AR14">
        <f ca="1">IF(AND(ISNUMBER($AR$220),$B$208=1),$AR$220,HLOOKUP(INDIRECT(ADDRESS(2,COLUMN())),OFFSET($BN$2,0,0,ROW()-1,60),ROW()-1,FALSE))</f>
        <v>2088.3240000000001</v>
      </c>
      <c r="AS14">
        <f ca="1">IF(AND(ISNUMBER($AS$220),$B$208=1),$AS$220,HLOOKUP(INDIRECT(ADDRESS(2,COLUMN())),OFFSET($BN$2,0,0,ROW()-1,60),ROW()-1,FALSE))</f>
        <v>4446.1040000000003</v>
      </c>
      <c r="AT14">
        <f ca="1">IF(AND(ISNUMBER($AT$220),$B$208=1),$AT$220,HLOOKUP(INDIRECT(ADDRESS(2,COLUMN())),OFFSET($BN$2,0,0,ROW()-1,60),ROW()-1,FALSE))</f>
        <v>2404.8159999999998</v>
      </c>
      <c r="AU14">
        <f ca="1">IF(AND(ISNUMBER($AU$220),$B$208=1),$AU$220,HLOOKUP(INDIRECT(ADDRESS(2,COLUMN())),OFFSET($BN$2,0,0,ROW()-1,60),ROW()-1,FALSE))</f>
        <v>5291.3490000000002</v>
      </c>
      <c r="AV14">
        <f ca="1">IF(AND(ISNUMBER($AV$220),$B$208=1),$AV$220,HLOOKUP(INDIRECT(ADDRESS(2,COLUMN())),OFFSET($BN$2,0,0,ROW()-1,60),ROW()-1,FALSE))</f>
        <v>3029.788</v>
      </c>
      <c r="AW14">
        <f ca="1">IF(AND(ISNUMBER($AW$220),$B$208=1),$AW$220,HLOOKUP(INDIRECT(ADDRESS(2,COLUMN())),OFFSET($BN$2,0,0,ROW()-1,60),ROW()-1,FALSE))</f>
        <v>5235.7389999999996</v>
      </c>
      <c r="AX14">
        <f ca="1">IF(AND(ISNUMBER($AX$220),$B$208=1),$AX$220,HLOOKUP(INDIRECT(ADDRESS(2,COLUMN())),OFFSET($BN$2,0,0,ROW()-1,60),ROW()-1,FALSE))</f>
        <v>1803.3330000000001</v>
      </c>
      <c r="AY14">
        <f ca="1">IF(AND(ISNUMBER($AY$220),$B$208=1),$AY$220,HLOOKUP(INDIRECT(ADDRESS(2,COLUMN())),OFFSET($BN$2,0,0,ROW()-1,60),ROW()-1,FALSE))</f>
        <v>3677.1309999999999</v>
      </c>
      <c r="AZ14">
        <f ca="1">IF(AND(ISNUMBER($AZ$220),$B$208=1),$AZ$220,HLOOKUP(INDIRECT(ADDRESS(2,COLUMN())),OFFSET($BN$2,0,0,ROW()-1,60),ROW()-1,FALSE))</f>
        <v>2589.4859999999999</v>
      </c>
      <c r="BA14">
        <f ca="1">IF(AND(ISNUMBER($BA$220),$B$208=1),$BA$220,HLOOKUP(INDIRECT(ADDRESS(2,COLUMN())),OFFSET($BN$2,0,0,ROW()-1,60),ROW()-1,FALSE))</f>
        <v>2751.355</v>
      </c>
      <c r="BB14">
        <f ca="1">IF(AND(ISNUMBER($BB$220),$B$208=1),$BB$220,HLOOKUP(INDIRECT(ADDRESS(2,COLUMN())),OFFSET($BN$2,0,0,ROW()-1,60),ROW()-1,FALSE))</f>
        <v>1452.7529999999999</v>
      </c>
      <c r="BC14">
        <f ca="1">IF(AND(ISNUMBER($BC$220),$B$208=1),$BC$220,HLOOKUP(INDIRECT(ADDRESS(2,COLUMN())),OFFSET($BN$2,0,0,ROW()-1,60),ROW()-1,FALSE))</f>
        <v>1676.165</v>
      </c>
      <c r="BD14">
        <f ca="1">IF(AND(ISNUMBER($BD$220),$B$208=1),$BD$220,HLOOKUP(INDIRECT(ADDRESS(2,COLUMN())),OFFSET($BN$2,0,0,ROW()-1,60),ROW()-1,FALSE))</f>
        <v>2082.2550000000001</v>
      </c>
      <c r="BE14">
        <f ca="1">IF(AND(ISNUMBER($BE$220),$B$208=1),$BE$220,HLOOKUP(INDIRECT(ADDRESS(2,COLUMN())),OFFSET($BN$2,0,0,ROW()-1,60),ROW()-1,FALSE))</f>
        <v>2051.6309999999999</v>
      </c>
      <c r="BF14" t="str">
        <f ca="1">IF(AND(ISNUMBER($BF$220),$B$208=1),$BF$220,HLOOKUP(INDIRECT(ADDRESS(2,COLUMN())),OFFSET($BN$2,0,0,ROW()-1,60),ROW()-1,FALSE))</f>
        <v/>
      </c>
      <c r="BG14">
        <f ca="1">IF(AND(ISNUMBER($BG$220),$B$208=1),$BG$220,HLOOKUP(INDIRECT(ADDRESS(2,COLUMN())),OFFSET($BN$2,0,0,ROW()-1,60),ROW()-1,FALSE))</f>
        <v>5030.665</v>
      </c>
      <c r="BH14">
        <f ca="1">IF(AND(ISNUMBER($BH$220),$B$208=1),$BH$220,HLOOKUP(INDIRECT(ADDRESS(2,COLUMN())),OFFSET($BN$2,0,0,ROW()-1,60),ROW()-1,FALSE))</f>
        <v>3371.973</v>
      </c>
      <c r="BI14">
        <f ca="1">IF(AND(ISNUMBER($BI$220),$B$208=1),$BI$220,HLOOKUP(INDIRECT(ADDRESS(2,COLUMN())),OFFSET($BN$2,0,0,ROW()-1,60),ROW()-1,FALSE))</f>
        <v>2419.3969999999999</v>
      </c>
      <c r="BJ14">
        <f ca="1">IF(AND(ISNUMBER($BJ$220),$B$208=1),$BJ$220,HLOOKUP(INDIRECT(ADDRESS(2,COLUMN())),OFFSET($BN$2,0,0,ROW()-1,60),ROW()-1,FALSE))</f>
        <v>1875.8340000000001</v>
      </c>
      <c r="BK14">
        <f ca="1">IF(AND(ISNUMBER($BK$220),$B$208=1),$BK$220,HLOOKUP(INDIRECT(ADDRESS(2,COLUMN())),OFFSET($BN$2,0,0,ROW()-1,60),ROW()-1,FALSE))</f>
        <v>1845.1179999999999</v>
      </c>
      <c r="BL14">
        <f ca="1">IF(AND(ISNUMBER($BL$220),$B$208=1),$BL$220,HLOOKUP(INDIRECT(ADDRESS(2,COLUMN())),OFFSET($BN$2,0,0,ROW()-1,60),ROW()-1,FALSE))</f>
        <v>2250.6080000000002</v>
      </c>
      <c r="BM14">
        <f ca="1">IF(AND(ISNUMBER($BM$220),$B$208=1),$BM$220,HLOOKUP(INDIRECT(ADDRESS(2,COLUMN())),OFFSET($BN$2,0,0,ROW()-1,60),ROW()-1,FALSE))</f>
        <v>3748.42</v>
      </c>
      <c r="BN14">
        <f>3372.005</f>
        <v>3372.0050000000001</v>
      </c>
      <c r="BO14">
        <f>6729.246</f>
        <v>6729.2460000000001</v>
      </c>
      <c r="BP14">
        <f>6096.517</f>
        <v>6096.5169999999998</v>
      </c>
      <c r="BQ14">
        <f>4680.486</f>
        <v>4680.4859999999999</v>
      </c>
      <c r="BR14">
        <f>4505.254</f>
        <v>4505.2539999999999</v>
      </c>
      <c r="BS14">
        <f>4114.627</f>
        <v>4114.6270000000004</v>
      </c>
      <c r="BT14">
        <f>4005.271</f>
        <v>4005.2710000000002</v>
      </c>
      <c r="BU14">
        <f>3916.062</f>
        <v>3916.0619999999999</v>
      </c>
      <c r="BV14">
        <f>4055.77</f>
        <v>4055.77</v>
      </c>
      <c r="BW14">
        <f>5589.781</f>
        <v>5589.7809999999999</v>
      </c>
      <c r="BX14">
        <f>3922.544</f>
        <v>3922.5439999999999</v>
      </c>
      <c r="BY14">
        <f>4368.017</f>
        <v>4368.0169999999998</v>
      </c>
      <c r="BZ14">
        <f>4038.256</f>
        <v>4038.2559999999999</v>
      </c>
      <c r="CA14">
        <f>3791.358</f>
        <v>3791.3580000000002</v>
      </c>
      <c r="CB14">
        <f>4101.894</f>
        <v>4101.8940000000002</v>
      </c>
      <c r="CC14">
        <f>4543.928</f>
        <v>4543.9279999999999</v>
      </c>
      <c r="CD14">
        <f>2158.742</f>
        <v>2158.7420000000002</v>
      </c>
      <c r="CE14">
        <f>3327.362</f>
        <v>3327.3620000000001</v>
      </c>
      <c r="CF14">
        <f>3724.974</f>
        <v>3724.9740000000002</v>
      </c>
      <c r="CG14">
        <f>3876.968</f>
        <v>3876.9679999999998</v>
      </c>
      <c r="CH14">
        <f>3848.15</f>
        <v>3848.15</v>
      </c>
      <c r="CI14">
        <f>3706.22</f>
        <v>3706.22</v>
      </c>
      <c r="CJ14">
        <f>5001.874</f>
        <v>5001.8739999999998</v>
      </c>
      <c r="CK14">
        <f>5954.502</f>
        <v>5954.5020000000004</v>
      </c>
      <c r="CL14">
        <f>5162.908</f>
        <v>5162.9080000000004</v>
      </c>
      <c r="CM14">
        <f>4342.369</f>
        <v>4342.3689999999997</v>
      </c>
      <c r="CN14">
        <f>4220.793</f>
        <v>4220.7929999999997</v>
      </c>
      <c r="CO14">
        <f>2705.693</f>
        <v>2705.6930000000002</v>
      </c>
      <c r="CP14">
        <f>2734.699</f>
        <v>2734.6990000000001</v>
      </c>
      <c r="CQ14">
        <f>2751.432</f>
        <v>2751.4319999999998</v>
      </c>
      <c r="CR14">
        <f>3063.025</f>
        <v>3063.0250000000001</v>
      </c>
      <c r="CS14">
        <f>4105.135</f>
        <v>4105.1350000000002</v>
      </c>
      <c r="CT14">
        <f>2676.719</f>
        <v>2676.7190000000001</v>
      </c>
      <c r="CU14">
        <f>3236.871</f>
        <v>3236.8710000000001</v>
      </c>
      <c r="CV14">
        <f>4218.893</f>
        <v>4218.893</v>
      </c>
      <c r="CW14">
        <f>5308.093</f>
        <v>5308.0929999999998</v>
      </c>
      <c r="CX14">
        <f>4473.638</f>
        <v>4473.6379999999999</v>
      </c>
      <c r="CY14">
        <f>4430.072</f>
        <v>4430.0720000000001</v>
      </c>
      <c r="CZ14">
        <f>2088.324</f>
        <v>2088.3240000000001</v>
      </c>
      <c r="DA14">
        <f>4446.104</f>
        <v>4446.1040000000003</v>
      </c>
      <c r="DB14">
        <f>2404.816</f>
        <v>2404.8159999999998</v>
      </c>
      <c r="DC14">
        <f>5291.349</f>
        <v>5291.3490000000002</v>
      </c>
      <c r="DD14">
        <f>3029.788</f>
        <v>3029.788</v>
      </c>
      <c r="DE14">
        <f>5235.739</f>
        <v>5235.7389999999996</v>
      </c>
      <c r="DF14">
        <f>1803.333</f>
        <v>1803.3330000000001</v>
      </c>
      <c r="DG14">
        <f>3677.131</f>
        <v>3677.1309999999999</v>
      </c>
      <c r="DH14">
        <f>2589.486</f>
        <v>2589.4859999999999</v>
      </c>
      <c r="DI14">
        <f>2751.355</f>
        <v>2751.355</v>
      </c>
      <c r="DJ14">
        <f>1452.753</f>
        <v>1452.7529999999999</v>
      </c>
      <c r="DK14">
        <f>1676.165</f>
        <v>1676.165</v>
      </c>
      <c r="DL14">
        <f>2082.255</f>
        <v>2082.2550000000001</v>
      </c>
      <c r="DM14">
        <f>2051.631</f>
        <v>2051.6309999999999</v>
      </c>
      <c r="DN14" t="str">
        <f>""</f>
        <v/>
      </c>
      <c r="DO14">
        <f>5030.665</f>
        <v>5030.665</v>
      </c>
      <c r="DP14">
        <f>3371.973</f>
        <v>3371.973</v>
      </c>
      <c r="DQ14">
        <f>2419.397</f>
        <v>2419.3969999999999</v>
      </c>
      <c r="DR14">
        <f>1875.834</f>
        <v>1875.8340000000001</v>
      </c>
      <c r="DS14">
        <f>1845.118</f>
        <v>1845.1179999999999</v>
      </c>
      <c r="DT14">
        <f>2250.608</f>
        <v>2250.6080000000002</v>
      </c>
      <c r="DU14">
        <f>3748.42</f>
        <v>3748.42</v>
      </c>
    </row>
    <row r="15" spans="1:125" x14ac:dyDescent="0.25">
      <c r="A15" t="str">
        <f>"    CaixaBank SA"</f>
        <v xml:space="preserve">    CaixaBank SA</v>
      </c>
      <c r="B15" t="str">
        <f>"CABK SM Equity"</f>
        <v>CABK SM Equity</v>
      </c>
      <c r="C15" t="str">
        <f t="shared" si="0"/>
        <v>BM105</v>
      </c>
      <c r="D15" t="str">
        <f t="shared" si="1"/>
        <v>BS_TRADING_ASSETS</v>
      </c>
      <c r="E15" t="str">
        <f t="shared" si="2"/>
        <v>Dynamic</v>
      </c>
      <c r="F15">
        <f ca="1">IF(AND(ISNUMBER($F$221),$B$208=1),$F$221,HLOOKUP(INDIRECT(ADDRESS(2,COLUMN())),OFFSET($BN$2,0,0,ROW()-1,60),ROW()-1,FALSE))</f>
        <v>5688</v>
      </c>
      <c r="G15">
        <f ca="1">IF(AND(ISNUMBER($G$221),$B$208=1),$G$221,HLOOKUP(INDIRECT(ADDRESS(2,COLUMN())),OFFSET($BN$2,0,0,ROW()-1,60),ROW()-1,FALSE))</f>
        <v>6566</v>
      </c>
      <c r="H15">
        <f ca="1">IF(AND(ISNUMBER($H$221),$B$208=1),$H$221,HLOOKUP(INDIRECT(ADDRESS(2,COLUMN())),OFFSET($BN$2,0,0,ROW()-1,60),ROW()-1,FALSE))</f>
        <v>7064</v>
      </c>
      <c r="I15">
        <f ca="1">IF(AND(ISNUMBER($I$221),$B$208=1),$I$221,HLOOKUP(INDIRECT(ADDRESS(2,COLUMN())),OFFSET($BN$2,0,0,ROW()-1,60),ROW()-1,FALSE))</f>
        <v>6789</v>
      </c>
      <c r="J15">
        <f ca="1">IF(AND(ISNUMBER($J$221),$B$208=1),$J$221,HLOOKUP(INDIRECT(ADDRESS(2,COLUMN())),OFFSET($BN$2,0,0,ROW()-1,60),ROW()-1,FALSE))</f>
        <v>649</v>
      </c>
      <c r="K15">
        <f ca="1">IF(AND(ISNUMBER($K$221),$B$208=1),$K$221,HLOOKUP(INDIRECT(ADDRESS(2,COLUMN())),OFFSET($BN$2,0,0,ROW()-1,60),ROW()-1,FALSE))</f>
        <v>7772</v>
      </c>
      <c r="L15">
        <f ca="1">IF(AND(ISNUMBER($L$221),$B$208=1),$L$221,HLOOKUP(INDIRECT(ADDRESS(2,COLUMN())),OFFSET($BN$2,0,0,ROW()-1,60),ROW()-1,FALSE))</f>
        <v>1119</v>
      </c>
      <c r="M15">
        <f ca="1">IF(AND(ISNUMBER($M$221),$B$208=1),$M$221,HLOOKUP(INDIRECT(ADDRESS(2,COLUMN())),OFFSET($BN$2,0,0,ROW()-1,60),ROW()-1,FALSE))</f>
        <v>7647</v>
      </c>
      <c r="N15">
        <f ca="1">IF(AND(ISNUMBER($N$221),$B$208=1),$N$221,HLOOKUP(INDIRECT(ADDRESS(2,COLUMN())),OFFSET($BN$2,0,0,ROW()-1,60),ROW()-1,FALSE))</f>
        <v>419</v>
      </c>
      <c r="O15">
        <f ca="1">IF(AND(ISNUMBER($O$221),$B$208=1),$O$221,HLOOKUP(INDIRECT(ADDRESS(2,COLUMN())),OFFSET($BN$2,0,0,ROW()-1,60),ROW()-1,FALSE))</f>
        <v>9235</v>
      </c>
      <c r="P15">
        <f ca="1">IF(AND(ISNUMBER($P$221),$B$208=1),$P$221,HLOOKUP(INDIRECT(ADDRESS(2,COLUMN())),OFFSET($BN$2,0,0,ROW()-1,60),ROW()-1,FALSE))</f>
        <v>986</v>
      </c>
      <c r="Q15">
        <f ca="1">IF(AND(ISNUMBER($Q$221),$B$208=1),$Q$221,HLOOKUP(INDIRECT(ADDRESS(2,COLUMN())),OFFSET($BN$2,0,0,ROW()-1,60),ROW()-1,FALSE))</f>
        <v>9374</v>
      </c>
      <c r="R15">
        <f ca="1">IF(AND(ISNUMBER($R$221),$B$208=1),$R$221,HLOOKUP(INDIRECT(ADDRESS(2,COLUMN())),OFFSET($BN$2,0,0,ROW()-1,60),ROW()-1,FALSE))</f>
        <v>606</v>
      </c>
      <c r="S15">
        <f ca="1">IF(AND(ISNUMBER($S$221),$B$208=1),$S$221,HLOOKUP(INDIRECT(ADDRESS(2,COLUMN())),OFFSET($BN$2,0,0,ROW()-1,60),ROW()-1,FALSE))</f>
        <v>11852</v>
      </c>
      <c r="T15">
        <f ca="1">IF(AND(ISNUMBER($T$221),$B$208=1),$T$221,HLOOKUP(INDIRECT(ADDRESS(2,COLUMN())),OFFSET($BN$2,0,0,ROW()-1,60),ROW()-1,FALSE))</f>
        <v>860</v>
      </c>
      <c r="U15">
        <f ca="1">IF(AND(ISNUMBER($U$221),$B$208=1),$U$221,HLOOKUP(INDIRECT(ADDRESS(2,COLUMN())),OFFSET($BN$2,0,0,ROW()-1,60),ROW()-1,FALSE))</f>
        <v>12440</v>
      </c>
      <c r="V15">
        <f ca="1">IF(AND(ISNUMBER($V$221),$B$208=1),$V$221,HLOOKUP(INDIRECT(ADDRESS(2,COLUMN())),OFFSET($BN$2,0,0,ROW()-1,60),ROW()-1,FALSE))</f>
        <v>1056</v>
      </c>
      <c r="W15">
        <f ca="1">IF(AND(ISNUMBER($W$221),$B$208=1),$W$221,HLOOKUP(INDIRECT(ADDRESS(2,COLUMN())),OFFSET($BN$2,0,0,ROW()-1,60),ROW()-1,FALSE))</f>
        <v>8158</v>
      </c>
      <c r="X15">
        <f ca="1">IF(AND(ISNUMBER($X$221),$B$208=1),$X$221,HLOOKUP(INDIRECT(ADDRESS(2,COLUMN())),OFFSET($BN$2,0,0,ROW()-1,60),ROW()-1,FALSE))</f>
        <v>7774</v>
      </c>
      <c r="Y15">
        <f ca="1">IF(AND(ISNUMBER($Y$221),$B$208=1),$Y$221,HLOOKUP(INDIRECT(ADDRESS(2,COLUMN())),OFFSET($BN$2,0,0,ROW()-1,60),ROW()-1,FALSE))</f>
        <v>8778</v>
      </c>
      <c r="Z15">
        <f ca="1">IF(AND(ISNUMBER($Z$221),$B$208=1),$Z$221,HLOOKUP(INDIRECT(ADDRESS(2,COLUMN())),OFFSET($BN$2,0,0,ROW()-1,60),ROW()-1,FALSE))</f>
        <v>1177</v>
      </c>
      <c r="AA15">
        <f ca="1">IF(AND(ISNUMBER($AA$221),$B$208=1),$AA$221,HLOOKUP(INDIRECT(ADDRESS(2,COLUMN())),OFFSET($BN$2,0,0,ROW()-1,60),ROW()-1,FALSE))</f>
        <v>14392</v>
      </c>
      <c r="AB15">
        <f ca="1">IF(AND(ISNUMBER($AB$221),$B$208=1),$AB$221,HLOOKUP(INDIRECT(ADDRESS(2,COLUMN())),OFFSET($BN$2,0,0,ROW()-1,60),ROW()-1,FALSE))</f>
        <v>1986.6679999999999</v>
      </c>
      <c r="AC15">
        <f ca="1">IF(AND(ISNUMBER($AC$221),$B$208=1),$AC$221,HLOOKUP(INDIRECT(ADDRESS(2,COLUMN())),OFFSET($BN$2,0,0,ROW()-1,60),ROW()-1,FALSE))</f>
        <v>10434</v>
      </c>
      <c r="AD15">
        <f ca="1">IF(AND(ISNUMBER($AD$221),$B$208=1),$AD$221,HLOOKUP(INDIRECT(ADDRESS(2,COLUMN())),OFFSET($BN$2,0,0,ROW()-1,60),ROW()-1,FALSE))</f>
        <v>1103</v>
      </c>
      <c r="AE15">
        <f ca="1">IF(AND(ISNUMBER($AE$221),$B$208=1),$AE$221,HLOOKUP(INDIRECT(ADDRESS(2,COLUMN())),OFFSET($BN$2,0,0,ROW()-1,60),ROW()-1,FALSE))</f>
        <v>9068</v>
      </c>
      <c r="AF15">
        <f ca="1">IF(AND(ISNUMBER($AF$221),$B$208=1),$AF$221,HLOOKUP(INDIRECT(ADDRESS(2,COLUMN())),OFFSET($BN$2,0,0,ROW()-1,60),ROW()-1,FALSE))</f>
        <v>10077.237999999999</v>
      </c>
      <c r="AG15">
        <f ca="1">IF(AND(ISNUMBER($AG$221),$B$208=1),$AG$221,HLOOKUP(INDIRECT(ADDRESS(2,COLUMN())),OFFSET($BN$2,0,0,ROW()-1,60),ROW()-1,FALSE))</f>
        <v>10044</v>
      </c>
      <c r="AH15">
        <f ca="1">IF(AND(ISNUMBER($AH$221),$B$208=1),$AH$221,HLOOKUP(INDIRECT(ADDRESS(2,COLUMN())),OFFSET($BN$2,0,0,ROW()-1,60),ROW()-1,FALSE))</f>
        <v>8834.02</v>
      </c>
      <c r="AI15">
        <f ca="1">IF(AND(ISNUMBER($AI$221),$B$208=1),$AI$221,HLOOKUP(INDIRECT(ADDRESS(2,COLUMN())),OFFSET($BN$2,0,0,ROW()-1,60),ROW()-1,FALSE))</f>
        <v>11883</v>
      </c>
      <c r="AJ15">
        <f ca="1">IF(AND(ISNUMBER($AJ$221),$B$208=1),$AJ$221,HLOOKUP(INDIRECT(ADDRESS(2,COLUMN())),OFFSET($BN$2,0,0,ROW()-1,60),ROW()-1,FALSE))</f>
        <v>11975.873</v>
      </c>
      <c r="AK15">
        <f ca="1">IF(AND(ISNUMBER($AK$221),$B$208=1),$AK$221,HLOOKUP(INDIRECT(ADDRESS(2,COLUMN())),OFFSET($BN$2,0,0,ROW()-1,60),ROW()-1,FALSE))</f>
        <v>13311</v>
      </c>
      <c r="AL15">
        <f ca="1">IF(AND(ISNUMBER($AL$221),$B$208=1),$AL$221,HLOOKUP(INDIRECT(ADDRESS(2,COLUMN())),OFFSET($BN$2,0,0,ROW()-1,60),ROW()-1,FALSE))</f>
        <v>6844.8609999999999</v>
      </c>
      <c r="AM15">
        <f ca="1">IF(AND(ISNUMBER($AM$221),$B$208=1),$AM$221,HLOOKUP(INDIRECT(ADDRESS(2,COLUMN())),OFFSET($BN$2,0,0,ROW()-1,60),ROW()-1,FALSE))</f>
        <v>13418</v>
      </c>
      <c r="AN15">
        <f ca="1">IF(AND(ISNUMBER($AN$221),$B$208=1),$AN$221,HLOOKUP(INDIRECT(ADDRESS(2,COLUMN())),OFFSET($BN$2,0,0,ROW()-1,60),ROW()-1,FALSE))</f>
        <v>15977</v>
      </c>
      <c r="AO15">
        <f ca="1">IF(AND(ISNUMBER($AO$221),$B$208=1),$AO$221,HLOOKUP(INDIRECT(ADDRESS(2,COLUMN())),OFFSET($BN$2,0,0,ROW()-1,60),ROW()-1,FALSE))</f>
        <v>14769</v>
      </c>
      <c r="AP15">
        <f ca="1">IF(AND(ISNUMBER($AP$221),$B$208=1),$AP$221,HLOOKUP(INDIRECT(ADDRESS(2,COLUMN())),OFFSET($BN$2,0,0,ROW()-1,60),ROW()-1,FALSE))</f>
        <v>7702.03</v>
      </c>
      <c r="AQ15">
        <f ca="1">IF(AND(ISNUMBER($AQ$221),$B$208=1),$AQ$221,HLOOKUP(INDIRECT(ADDRESS(2,COLUMN())),OFFSET($BN$2,0,0,ROW()-1,60),ROW()-1,FALSE))</f>
        <v>15121</v>
      </c>
      <c r="AR15">
        <f ca="1">IF(AND(ISNUMBER($AR$221),$B$208=1),$AR$221,HLOOKUP(INDIRECT(ADDRESS(2,COLUMN())),OFFSET($BN$2,0,0,ROW()-1,60),ROW()-1,FALSE))</f>
        <v>13829</v>
      </c>
      <c r="AS15">
        <f ca="1">IF(AND(ISNUMBER($AS$221),$B$208=1),$AS$221,HLOOKUP(INDIRECT(ADDRESS(2,COLUMN())),OFFSET($BN$2,0,0,ROW()-1,60),ROW()-1,FALSE))</f>
        <v>14154</v>
      </c>
      <c r="AT15">
        <f ca="1">IF(AND(ISNUMBER($AT$221),$B$208=1),$AT$221,HLOOKUP(INDIRECT(ADDRESS(2,COLUMN())),OFFSET($BN$2,0,0,ROW()-1,60),ROW()-1,FALSE))</f>
        <v>12257</v>
      </c>
      <c r="AU15">
        <f ca="1">IF(AND(ISNUMBER($AU$221),$B$208=1),$AU$221,HLOOKUP(INDIRECT(ADDRESS(2,COLUMN())),OFFSET($BN$2,0,0,ROW()-1,60),ROW()-1,FALSE))</f>
        <v>9470</v>
      </c>
      <c r="AV15">
        <f ca="1">IF(AND(ISNUMBER($AV$221),$B$208=1),$AV$221,HLOOKUP(INDIRECT(ADDRESS(2,COLUMN())),OFFSET($BN$2,0,0,ROW()-1,60),ROW()-1,FALSE))</f>
        <v>10147</v>
      </c>
      <c r="AW15">
        <f ca="1">IF(AND(ISNUMBER($AW$221),$B$208=1),$AW$221,HLOOKUP(INDIRECT(ADDRESS(2,COLUMN())),OFFSET($BN$2,0,0,ROW()-1,60),ROW()-1,FALSE))</f>
        <v>8724</v>
      </c>
      <c r="AX15">
        <f ca="1">IF(AND(ISNUMBER($AX$221),$B$208=1),$AX$221,HLOOKUP(INDIRECT(ADDRESS(2,COLUMN())),OFFSET($BN$2,0,0,ROW()-1,60),ROW()-1,FALSE))</f>
        <v>10002</v>
      </c>
      <c r="AY15">
        <f ca="1">IF(AND(ISNUMBER($AY$221),$B$208=1),$AY$221,HLOOKUP(INDIRECT(ADDRESS(2,COLUMN())),OFFSET($BN$2,0,0,ROW()-1,60),ROW()-1,FALSE))</f>
        <v>8817</v>
      </c>
      <c r="AZ15">
        <f ca="1">IF(AND(ISNUMBER($AZ$221),$B$208=1),$AZ$221,HLOOKUP(INDIRECT(ADDRESS(2,COLUMN())),OFFSET($BN$2,0,0,ROW()-1,60),ROW()-1,FALSE))</f>
        <v>9634</v>
      </c>
      <c r="BA15">
        <f ca="1">IF(AND(ISNUMBER($BA$221),$B$208=1),$BA$221,HLOOKUP(INDIRECT(ADDRESS(2,COLUMN())),OFFSET($BN$2,0,0,ROW()-1,60),ROW()-1,FALSE))</f>
        <v>16705</v>
      </c>
      <c r="BB15">
        <f ca="1">IF(AND(ISNUMBER($BB$221),$B$208=1),$BB$221,HLOOKUP(INDIRECT(ADDRESS(2,COLUMN())),OFFSET($BN$2,0,0,ROW()-1,60),ROW()-1,FALSE))</f>
        <v>15925</v>
      </c>
      <c r="BC15">
        <f ca="1">IF(AND(ISNUMBER($BC$221),$B$208=1),$BC$221,HLOOKUP(INDIRECT(ADDRESS(2,COLUMN())),OFFSET($BN$2,0,0,ROW()-1,60),ROW()-1,FALSE))</f>
        <v>14937</v>
      </c>
      <c r="BD15">
        <f ca="1">IF(AND(ISNUMBER($BD$221),$B$208=1),$BD$221,HLOOKUP(INDIRECT(ADDRESS(2,COLUMN())),OFFSET($BN$2,0,0,ROW()-1,60),ROW()-1,FALSE))</f>
        <v>14483</v>
      </c>
      <c r="BE15">
        <f ca="1">IF(AND(ISNUMBER($BE$221),$B$208=1),$BE$221,HLOOKUP(INDIRECT(ADDRESS(2,COLUMN())),OFFSET($BN$2,0,0,ROW()-1,60),ROW()-1,FALSE))</f>
        <v>4356</v>
      </c>
      <c r="BF15">
        <f ca="1">IF(AND(ISNUMBER($BF$221),$B$208=1),$BF$221,HLOOKUP(INDIRECT(ADDRESS(2,COLUMN())),OFFSET($BN$2,0,0,ROW()-1,60),ROW()-1,FALSE))</f>
        <v>4184</v>
      </c>
      <c r="BG15">
        <f ca="1">IF(AND(ISNUMBER($BG$221),$B$208=1),$BG$221,HLOOKUP(INDIRECT(ADDRESS(2,COLUMN())),OFFSET($BN$2,0,0,ROW()-1,60),ROW()-1,FALSE))</f>
        <v>3742</v>
      </c>
      <c r="BH15" t="str">
        <f ca="1">IF(AND(ISNUMBER($BH$221),$B$208=1),$BH$221,HLOOKUP(INDIRECT(ADDRESS(2,COLUMN())),OFFSET($BN$2,0,0,ROW()-1,60),ROW()-1,FALSE))</f>
        <v/>
      </c>
      <c r="BI15" t="str">
        <f ca="1">IF(AND(ISNUMBER($BI$221),$B$208=1),$BI$221,HLOOKUP(INDIRECT(ADDRESS(2,COLUMN())),OFFSET($BN$2,0,0,ROW()-1,60),ROW()-1,FALSE))</f>
        <v/>
      </c>
      <c r="BJ15">
        <f ca="1">IF(AND(ISNUMBER($BJ$221),$B$208=1),$BJ$221,HLOOKUP(INDIRECT(ADDRESS(2,COLUMN())),OFFSET($BN$2,0,0,ROW()-1,60),ROW()-1,FALSE))</f>
        <v>3118</v>
      </c>
      <c r="BK15" t="str">
        <f ca="1">IF(AND(ISNUMBER($BK$221),$B$208=1),$BK$221,HLOOKUP(INDIRECT(ADDRESS(2,COLUMN())),OFFSET($BN$2,0,0,ROW()-1,60),ROW()-1,FALSE))</f>
        <v/>
      </c>
      <c r="BL15" t="str">
        <f ca="1">IF(AND(ISNUMBER($BL$221),$B$208=1),$BL$221,HLOOKUP(INDIRECT(ADDRESS(2,COLUMN())),OFFSET($BN$2,0,0,ROW()-1,60),ROW()-1,FALSE))</f>
        <v/>
      </c>
      <c r="BM15" t="str">
        <f ca="1">IF(AND(ISNUMBER($BM$221),$B$208=1),$BM$221,HLOOKUP(INDIRECT(ADDRESS(2,COLUMN())),OFFSET($BN$2,0,0,ROW()-1,60),ROW()-1,FALSE))</f>
        <v/>
      </c>
      <c r="BN15">
        <f>5688</f>
        <v>5688</v>
      </c>
      <c r="BO15">
        <f>6566</f>
        <v>6566</v>
      </c>
      <c r="BP15">
        <f>7064</f>
        <v>7064</v>
      </c>
      <c r="BQ15">
        <f>6789</f>
        <v>6789</v>
      </c>
      <c r="BR15">
        <f>649</f>
        <v>649</v>
      </c>
      <c r="BS15">
        <f>7772</f>
        <v>7772</v>
      </c>
      <c r="BT15">
        <f>1119</f>
        <v>1119</v>
      </c>
      <c r="BU15">
        <f>7647</f>
        <v>7647</v>
      </c>
      <c r="BV15">
        <f>419</f>
        <v>419</v>
      </c>
      <c r="BW15">
        <f>9235</f>
        <v>9235</v>
      </c>
      <c r="BX15">
        <f>986</f>
        <v>986</v>
      </c>
      <c r="BY15">
        <f>9374</f>
        <v>9374</v>
      </c>
      <c r="BZ15">
        <f>606</f>
        <v>606</v>
      </c>
      <c r="CA15">
        <f>11852</f>
        <v>11852</v>
      </c>
      <c r="CB15">
        <f>860</f>
        <v>860</v>
      </c>
      <c r="CC15">
        <f>12440</f>
        <v>12440</v>
      </c>
      <c r="CD15">
        <f>1056</f>
        <v>1056</v>
      </c>
      <c r="CE15">
        <f>8158</f>
        <v>8158</v>
      </c>
      <c r="CF15">
        <f>7774</f>
        <v>7774</v>
      </c>
      <c r="CG15">
        <f>8778</f>
        <v>8778</v>
      </c>
      <c r="CH15">
        <f>1177</f>
        <v>1177</v>
      </c>
      <c r="CI15">
        <f>14392</f>
        <v>14392</v>
      </c>
      <c r="CJ15">
        <f>1986.668</f>
        <v>1986.6679999999999</v>
      </c>
      <c r="CK15">
        <f>10434</f>
        <v>10434</v>
      </c>
      <c r="CL15">
        <f>1103</f>
        <v>1103</v>
      </c>
      <c r="CM15">
        <f>9068</f>
        <v>9068</v>
      </c>
      <c r="CN15">
        <f>10077.238</f>
        <v>10077.237999999999</v>
      </c>
      <c r="CO15">
        <f>10044</f>
        <v>10044</v>
      </c>
      <c r="CP15">
        <f>8834.02</f>
        <v>8834.02</v>
      </c>
      <c r="CQ15">
        <f>11883</f>
        <v>11883</v>
      </c>
      <c r="CR15">
        <f>11975.873</f>
        <v>11975.873</v>
      </c>
      <c r="CS15">
        <f>13311</f>
        <v>13311</v>
      </c>
      <c r="CT15">
        <f>6844.861</f>
        <v>6844.8609999999999</v>
      </c>
      <c r="CU15">
        <f>13418</f>
        <v>13418</v>
      </c>
      <c r="CV15">
        <f>15977</f>
        <v>15977</v>
      </c>
      <c r="CW15">
        <f>14769</f>
        <v>14769</v>
      </c>
      <c r="CX15">
        <f>7702.03</f>
        <v>7702.03</v>
      </c>
      <c r="CY15">
        <f>15121</f>
        <v>15121</v>
      </c>
      <c r="CZ15">
        <f>13829</f>
        <v>13829</v>
      </c>
      <c r="DA15">
        <f>14154</f>
        <v>14154</v>
      </c>
      <c r="DB15">
        <f>12257</f>
        <v>12257</v>
      </c>
      <c r="DC15">
        <f>9470</f>
        <v>9470</v>
      </c>
      <c r="DD15">
        <f>10147</f>
        <v>10147</v>
      </c>
      <c r="DE15">
        <f>8724</f>
        <v>8724</v>
      </c>
      <c r="DF15">
        <f>10002</f>
        <v>10002</v>
      </c>
      <c r="DG15">
        <f>8817</f>
        <v>8817</v>
      </c>
      <c r="DH15">
        <f>9634</f>
        <v>9634</v>
      </c>
      <c r="DI15">
        <f>16705</f>
        <v>16705</v>
      </c>
      <c r="DJ15">
        <f>15925</f>
        <v>15925</v>
      </c>
      <c r="DK15">
        <f>14937</f>
        <v>14937</v>
      </c>
      <c r="DL15">
        <f>14483</f>
        <v>14483</v>
      </c>
      <c r="DM15">
        <f>4356</f>
        <v>4356</v>
      </c>
      <c r="DN15">
        <f>4184</f>
        <v>4184</v>
      </c>
      <c r="DO15">
        <f>3742</f>
        <v>3742</v>
      </c>
      <c r="DP15" t="str">
        <f>""</f>
        <v/>
      </c>
      <c r="DQ15" t="str">
        <f>""</f>
        <v/>
      </c>
      <c r="DR15">
        <f>3118</f>
        <v>3118</v>
      </c>
      <c r="DS15" t="str">
        <f>""</f>
        <v/>
      </c>
      <c r="DT15" t="str">
        <f>""</f>
        <v/>
      </c>
      <c r="DU15" t="str">
        <f>""</f>
        <v/>
      </c>
    </row>
    <row r="16" spans="1:125" x14ac:dyDescent="0.25">
      <c r="A16" t="str">
        <f>"    Commerzbank AG"</f>
        <v xml:space="preserve">    Commerzbank AG</v>
      </c>
      <c r="B16" t="str">
        <f>"CBK GR Equity"</f>
        <v>CBK GR Equity</v>
      </c>
      <c r="C16" t="str">
        <f t="shared" si="0"/>
        <v>BM105</v>
      </c>
      <c r="D16" t="str">
        <f t="shared" si="1"/>
        <v>BS_TRADING_ASSETS</v>
      </c>
      <c r="E16" t="str">
        <f t="shared" si="2"/>
        <v>Dynamic</v>
      </c>
      <c r="F16" t="str">
        <f ca="1">IF(AND(ISNUMBER($F$222),$B$208=1),$F$222,HLOOKUP(INDIRECT(ADDRESS(2,COLUMN())),OFFSET($BN$2,0,0,ROW()-1,60),ROW()-1,FALSE))</f>
        <v/>
      </c>
      <c r="G16">
        <f ca="1">IF(AND(ISNUMBER($G$222),$B$208=1),$G$222,HLOOKUP(INDIRECT(ADDRESS(2,COLUMN())),OFFSET($BN$2,0,0,ROW()-1,60),ROW()-1,FALSE))</f>
        <v>31702</v>
      </c>
      <c r="H16">
        <f ca="1">IF(AND(ISNUMBER($H$222),$B$208=1),$H$222,HLOOKUP(INDIRECT(ADDRESS(2,COLUMN())),OFFSET($BN$2,0,0,ROW()-1,60),ROW()-1,FALSE))</f>
        <v>29931</v>
      </c>
      <c r="I16">
        <f ca="1">IF(AND(ISNUMBER($I$222),$B$208=1),$I$222,HLOOKUP(INDIRECT(ADDRESS(2,COLUMN())),OFFSET($BN$2,0,0,ROW()-1,60),ROW()-1,FALSE))</f>
        <v>27389</v>
      </c>
      <c r="J16">
        <f ca="1">IF(AND(ISNUMBER($J$222),$B$208=1),$J$222,HLOOKUP(INDIRECT(ADDRESS(2,COLUMN())),OFFSET($BN$2,0,0,ROW()-1,60),ROW()-1,FALSE))</f>
        <v>28334</v>
      </c>
      <c r="K16">
        <f ca="1">IF(AND(ISNUMBER($K$222),$B$208=1),$K$222,HLOOKUP(INDIRECT(ADDRESS(2,COLUMN())),OFFSET($BN$2,0,0,ROW()-1,60),ROW()-1,FALSE))</f>
        <v>31631</v>
      </c>
      <c r="L16">
        <f ca="1">IF(AND(ISNUMBER($L$222),$B$208=1),$L$222,HLOOKUP(INDIRECT(ADDRESS(2,COLUMN())),OFFSET($BN$2,0,0,ROW()-1,60),ROW()-1,FALSE))</f>
        <v>30750</v>
      </c>
      <c r="M16">
        <f ca="1">IF(AND(ISNUMBER($M$222),$B$208=1),$M$222,HLOOKUP(INDIRECT(ADDRESS(2,COLUMN())),OFFSET($BN$2,0,0,ROW()-1,60),ROW()-1,FALSE))</f>
        <v>30049</v>
      </c>
      <c r="N16">
        <f ca="1">IF(AND(ISNUMBER($N$222),$B$208=1),$N$222,HLOOKUP(INDIRECT(ADDRESS(2,COLUMN())),OFFSET($BN$2,0,0,ROW()-1,60),ROW()-1,FALSE))</f>
        <v>33573</v>
      </c>
      <c r="O16">
        <f ca="1">IF(AND(ISNUMBER($O$222),$B$208=1),$O$222,HLOOKUP(INDIRECT(ADDRESS(2,COLUMN())),OFFSET($BN$2,0,0,ROW()-1,60),ROW()-1,FALSE))</f>
        <v>44903</v>
      </c>
      <c r="P16">
        <f ca="1">IF(AND(ISNUMBER($P$222),$B$208=1),$P$222,HLOOKUP(INDIRECT(ADDRESS(2,COLUMN())),OFFSET($BN$2,0,0,ROW()-1,60),ROW()-1,FALSE))</f>
        <v>43677</v>
      </c>
      <c r="Q16">
        <f ca="1">IF(AND(ISNUMBER($Q$222),$B$208=1),$Q$222,HLOOKUP(INDIRECT(ADDRESS(2,COLUMN())),OFFSET($BN$2,0,0,ROW()-1,60),ROW()-1,FALSE))</f>
        <v>40434</v>
      </c>
      <c r="R16">
        <f ca="1">IF(AND(ISNUMBER($R$222),$B$208=1),$R$222,HLOOKUP(INDIRECT(ADDRESS(2,COLUMN())),OFFSET($BN$2,0,0,ROW()-1,60),ROW()-1,FALSE))</f>
        <v>38155</v>
      </c>
      <c r="S16">
        <f ca="1">IF(AND(ISNUMBER($S$222),$B$208=1),$S$222,HLOOKUP(INDIRECT(ADDRESS(2,COLUMN())),OFFSET($BN$2,0,0,ROW()-1,60),ROW()-1,FALSE))</f>
        <v>48587</v>
      </c>
      <c r="T16">
        <f ca="1">IF(AND(ISNUMBER($T$222),$B$208=1),$T$222,HLOOKUP(INDIRECT(ADDRESS(2,COLUMN())),OFFSET($BN$2,0,0,ROW()-1,60),ROW()-1,FALSE))</f>
        <v>49250</v>
      </c>
      <c r="U16">
        <f ca="1">IF(AND(ISNUMBER($U$222),$B$208=1),$U$222,HLOOKUP(INDIRECT(ADDRESS(2,COLUMN())),OFFSET($BN$2,0,0,ROW()-1,60),ROW()-1,FALSE))</f>
        <v>50514</v>
      </c>
      <c r="V16">
        <f ca="1">IF(AND(ISNUMBER($V$222),$B$208=1),$V$222,HLOOKUP(INDIRECT(ADDRESS(2,COLUMN())),OFFSET($BN$2,0,0,ROW()-1,60),ROW()-1,FALSE))</f>
        <v>52176</v>
      </c>
      <c r="W16">
        <f ca="1">IF(AND(ISNUMBER($W$222),$B$208=1),$W$222,HLOOKUP(INDIRECT(ADDRESS(2,COLUMN())),OFFSET($BN$2,0,0,ROW()-1,60),ROW()-1,FALSE))</f>
        <v>52600</v>
      </c>
      <c r="X16">
        <f ca="1">IF(AND(ISNUMBER($X$222),$B$208=1),$X$222,HLOOKUP(INDIRECT(ADDRESS(2,COLUMN())),OFFSET($BN$2,0,0,ROW()-1,60),ROW()-1,FALSE))</f>
        <v>55414</v>
      </c>
      <c r="Y16">
        <f ca="1">IF(AND(ISNUMBER($Y$222),$B$208=1),$Y$222,HLOOKUP(INDIRECT(ADDRESS(2,COLUMN())),OFFSET($BN$2,0,0,ROW()-1,60),ROW()-1,FALSE))</f>
        <v>55688</v>
      </c>
      <c r="Z16">
        <f ca="1">IF(AND(ISNUMBER($Z$222),$B$208=1),$Z$222,HLOOKUP(INDIRECT(ADDRESS(2,COLUMN())),OFFSET($BN$2,0,0,ROW()-1,60),ROW()-1,FALSE))</f>
        <v>44840</v>
      </c>
      <c r="AA16">
        <f ca="1">IF(AND(ISNUMBER($AA$222),$B$208=1),$AA$222,HLOOKUP(INDIRECT(ADDRESS(2,COLUMN())),OFFSET($BN$2,0,0,ROW()-1,60),ROW()-1,FALSE))</f>
        <v>54660</v>
      </c>
      <c r="AB16">
        <f ca="1">IF(AND(ISNUMBER($AB$222),$B$208=1),$AB$222,HLOOKUP(INDIRECT(ADDRESS(2,COLUMN())),OFFSET($BN$2,0,0,ROW()-1,60),ROW()-1,FALSE))</f>
        <v>47698</v>
      </c>
      <c r="AC16">
        <f ca="1">IF(AND(ISNUMBER($AC$222),$B$208=1),$AC$222,HLOOKUP(INDIRECT(ADDRESS(2,COLUMN())),OFFSET($BN$2,0,0,ROW()-1,60),ROW()-1,FALSE))</f>
        <v>46705</v>
      </c>
      <c r="AD16">
        <f ca="1">IF(AND(ISNUMBER($AD$222),$B$208=1),$AD$222,HLOOKUP(INDIRECT(ADDRESS(2,COLUMN())),OFFSET($BN$2,0,0,ROW()-1,60),ROW()-1,FALSE))</f>
        <v>42501</v>
      </c>
      <c r="AE16">
        <f ca="1">IF(AND(ISNUMBER($AE$222),$B$208=1),$AE$222,HLOOKUP(INDIRECT(ADDRESS(2,COLUMN())),OFFSET($BN$2,0,0,ROW()-1,60),ROW()-1,FALSE))</f>
        <v>60191</v>
      </c>
      <c r="AF16">
        <f ca="1">IF(AND(ISNUMBER($AF$222),$B$208=1),$AF$222,HLOOKUP(INDIRECT(ADDRESS(2,COLUMN())),OFFSET($BN$2,0,0,ROW()-1,60),ROW()-1,FALSE))</f>
        <v>60790</v>
      </c>
      <c r="AG16">
        <f ca="1">IF(AND(ISNUMBER($AG$222),$B$208=1),$AG$222,HLOOKUP(INDIRECT(ADDRESS(2,COLUMN())),OFFSET($BN$2,0,0,ROW()-1,60),ROW()-1,FALSE))</f>
        <v>60125</v>
      </c>
      <c r="AH16">
        <f ca="1">IF(AND(ISNUMBER($AH$222),$B$208=1),$AH$222,HLOOKUP(INDIRECT(ADDRESS(2,COLUMN())),OFFSET($BN$2,0,0,ROW()-1,60),ROW()-1,FALSE))</f>
        <v>60716</v>
      </c>
      <c r="AI16">
        <f ca="1">IF(AND(ISNUMBER($AI$222),$B$208=1),$AI$222,HLOOKUP(INDIRECT(ADDRESS(2,COLUMN())),OFFSET($BN$2,0,0,ROW()-1,60),ROW()-1,FALSE))</f>
        <v>70011</v>
      </c>
      <c r="AJ16">
        <f ca="1">IF(AND(ISNUMBER($AJ$222),$B$208=1),$AJ$222,HLOOKUP(INDIRECT(ADDRESS(2,COLUMN())),OFFSET($BN$2,0,0,ROW()-1,60),ROW()-1,FALSE))</f>
        <v>77505</v>
      </c>
      <c r="AK16">
        <f ca="1">IF(AND(ISNUMBER($AK$222),$B$208=1),$AK$222,HLOOKUP(INDIRECT(ADDRESS(2,COLUMN())),OFFSET($BN$2,0,0,ROW()-1,60),ROW()-1,FALSE))</f>
        <v>84975</v>
      </c>
      <c r="AL16">
        <f ca="1">IF(AND(ISNUMBER($AL$222),$B$208=1),$AL$222,HLOOKUP(INDIRECT(ADDRESS(2,COLUMN())),OFFSET($BN$2,0,0,ROW()-1,60),ROW()-1,FALSE))</f>
        <v>88862</v>
      </c>
      <c r="AM16">
        <f ca="1">IF(AND(ISNUMBER($AM$222),$B$208=1),$AM$222,HLOOKUP(INDIRECT(ADDRESS(2,COLUMN())),OFFSET($BN$2,0,0,ROW()-1,60),ROW()-1,FALSE))</f>
        <v>104475</v>
      </c>
      <c r="AN16">
        <f ca="1">IF(AND(ISNUMBER($AN$222),$B$208=1),$AN$222,HLOOKUP(INDIRECT(ADDRESS(2,COLUMN())),OFFSET($BN$2,0,0,ROW()-1,60),ROW()-1,FALSE))</f>
        <v>122464</v>
      </c>
      <c r="AO16">
        <f ca="1">IF(AND(ISNUMBER($AO$222),$B$208=1),$AO$222,HLOOKUP(INDIRECT(ADDRESS(2,COLUMN())),OFFSET($BN$2,0,0,ROW()-1,60),ROW()-1,FALSE))</f>
        <v>118307</v>
      </c>
      <c r="AP16">
        <f ca="1">IF(AND(ISNUMBER($AP$222),$B$208=1),$AP$222,HLOOKUP(INDIRECT(ADDRESS(2,COLUMN())),OFFSET($BN$2,0,0,ROW()-1,60),ROW()-1,FALSE))</f>
        <v>114824</v>
      </c>
      <c r="AQ16">
        <f ca="1">IF(AND(ISNUMBER($AQ$222),$B$208=1),$AQ$222,HLOOKUP(INDIRECT(ADDRESS(2,COLUMN())),OFFSET($BN$2,0,0,ROW()-1,60),ROW()-1,FALSE))</f>
        <v>125980</v>
      </c>
      <c r="AR16">
        <f ca="1">IF(AND(ISNUMBER($AR$222),$B$208=1),$AR$222,HLOOKUP(INDIRECT(ADDRESS(2,COLUMN())),OFFSET($BN$2,0,0,ROW()-1,60),ROW()-1,FALSE))</f>
        <v>129048</v>
      </c>
      <c r="AS16">
        <f ca="1">IF(AND(ISNUMBER($AS$222),$B$208=1),$AS$222,HLOOKUP(INDIRECT(ADDRESS(2,COLUMN())),OFFSET($BN$2,0,0,ROW()-1,60),ROW()-1,FALSE))</f>
        <v>165559</v>
      </c>
      <c r="AT16">
        <f ca="1">IF(AND(ISNUMBER($AT$222),$B$208=1),$AT$222,HLOOKUP(INDIRECT(ADDRESS(2,COLUMN())),OFFSET($BN$2,0,0,ROW()-1,60),ROW()-1,FALSE))</f>
        <v>130343</v>
      </c>
      <c r="AU16">
        <f ca="1">IF(AND(ISNUMBER($AU$222),$B$208=1),$AU$222,HLOOKUP(INDIRECT(ADDRESS(2,COLUMN())),OFFSET($BN$2,0,0,ROW()-1,60),ROW()-1,FALSE))</f>
        <v>136593</v>
      </c>
      <c r="AV16">
        <f ca="1">IF(AND(ISNUMBER($AV$222),$B$208=1),$AV$222,HLOOKUP(INDIRECT(ADDRESS(2,COLUMN())),OFFSET($BN$2,0,0,ROW()-1,60),ROW()-1,FALSE))</f>
        <v>121677</v>
      </c>
      <c r="AW16">
        <f ca="1">IF(AND(ISNUMBER($AW$222),$B$208=1),$AW$222,HLOOKUP(INDIRECT(ADDRESS(2,COLUMN())),OFFSET($BN$2,0,0,ROW()-1,60),ROW()-1,FALSE))</f>
        <v>114491</v>
      </c>
      <c r="AX16">
        <f ca="1">IF(AND(ISNUMBER($AX$222),$B$208=1),$AX$222,HLOOKUP(INDIRECT(ADDRESS(2,COLUMN())),OFFSET($BN$2,0,0,ROW()-1,60),ROW()-1,FALSE))</f>
        <v>103616</v>
      </c>
      <c r="AY16">
        <f ca="1">IF(AND(ISNUMBER($AY$222),$B$208=1),$AY$222,HLOOKUP(INDIRECT(ADDRESS(2,COLUMN())),OFFSET($BN$2,0,0,ROW()-1,60),ROW()-1,FALSE))</f>
        <v>119472</v>
      </c>
      <c r="AZ16">
        <f ca="1">IF(AND(ISNUMBER($AZ$222),$B$208=1),$AZ$222,HLOOKUP(INDIRECT(ADDRESS(2,COLUMN())),OFFSET($BN$2,0,0,ROW()-1,60),ROW()-1,FALSE))</f>
        <v>124540</v>
      </c>
      <c r="BA16">
        <f ca="1">IF(AND(ISNUMBER($BA$222),$B$208=1),$BA$222,HLOOKUP(INDIRECT(ADDRESS(2,COLUMN())),OFFSET($BN$2,0,0,ROW()-1,60),ROW()-1,FALSE))</f>
        <v>144091</v>
      </c>
      <c r="BB16">
        <f ca="1">IF(AND(ISNUMBER($BB$222),$B$208=1),$BB$222,HLOOKUP(INDIRECT(ADDRESS(2,COLUMN())),OFFSET($BN$2,0,0,ROW()-1,60),ROW()-1,FALSE))</f>
        <v>144144</v>
      </c>
      <c r="BC16">
        <f ca="1">IF(AND(ISNUMBER($BC$222),$B$208=1),$BC$222,HLOOKUP(INDIRECT(ADDRESS(2,COLUMN())),OFFSET($BN$2,0,0,ROW()-1,60),ROW()-1,FALSE))</f>
        <v>149983</v>
      </c>
      <c r="BD16">
        <f ca="1">IF(AND(ISNUMBER($BD$222),$B$208=1),$BD$222,HLOOKUP(INDIRECT(ADDRESS(2,COLUMN())),OFFSET($BN$2,0,0,ROW()-1,60),ROW()-1,FALSE))</f>
        <v>143255</v>
      </c>
      <c r="BE16">
        <f ca="1">IF(AND(ISNUMBER($BE$222),$B$208=1),$BE$222,HLOOKUP(INDIRECT(ADDRESS(2,COLUMN())),OFFSET($BN$2,0,0,ROW()-1,60),ROW()-1,FALSE))</f>
        <v>153975</v>
      </c>
      <c r="BF16">
        <f ca="1">IF(AND(ISNUMBER($BF$222),$B$208=1),$BF$222,HLOOKUP(INDIRECT(ADDRESS(2,COLUMN())),OFFSET($BN$2,0,0,ROW()-1,60),ROW()-1,FALSE))</f>
        <v>155700</v>
      </c>
      <c r="BG16">
        <f ca="1">IF(AND(ISNUMBER($BG$222),$B$208=1),$BG$222,HLOOKUP(INDIRECT(ADDRESS(2,COLUMN())),OFFSET($BN$2,0,0,ROW()-1,60),ROW()-1,FALSE))</f>
        <v>181859</v>
      </c>
      <c r="BH16">
        <f ca="1">IF(AND(ISNUMBER($BH$222),$B$208=1),$BH$222,HLOOKUP(INDIRECT(ADDRESS(2,COLUMN())),OFFSET($BN$2,0,0,ROW()-1,60),ROW()-1,FALSE))</f>
        <v>139579</v>
      </c>
      <c r="BI16" t="str">
        <f ca="1">IF(AND(ISNUMBER($BI$222),$B$208=1),$BI$222,HLOOKUP(INDIRECT(ADDRESS(2,COLUMN())),OFFSET($BN$2,0,0,ROW()-1,60),ROW()-1,FALSE))</f>
        <v/>
      </c>
      <c r="BJ16">
        <f ca="1">IF(AND(ISNUMBER($BJ$222),$B$208=1),$BJ$222,HLOOKUP(INDIRECT(ADDRESS(2,COLUMN())),OFFSET($BN$2,0,0,ROW()-1,60),ROW()-1,FALSE))</f>
        <v>167825</v>
      </c>
      <c r="BK16">
        <f ca="1">IF(AND(ISNUMBER($BK$222),$B$208=1),$BK$222,HLOOKUP(INDIRECT(ADDRESS(2,COLUMN())),OFFSET($BN$2,0,0,ROW()-1,60),ROW()-1,FALSE))</f>
        <v>255218</v>
      </c>
      <c r="BL16">
        <f ca="1">IF(AND(ISNUMBER($BL$222),$B$208=1),$BL$222,HLOOKUP(INDIRECT(ADDRESS(2,COLUMN())),OFFSET($BN$2,0,0,ROW()-1,60),ROW()-1,FALSE))</f>
        <v>264023</v>
      </c>
      <c r="BM16">
        <f ca="1">IF(AND(ISNUMBER($BM$222),$B$208=1),$BM$222,HLOOKUP(INDIRECT(ADDRESS(2,COLUMN())),OFFSET($BN$2,0,0,ROW()-1,60),ROW()-1,FALSE))</f>
        <v>184839</v>
      </c>
      <c r="BN16" t="str">
        <f>""</f>
        <v/>
      </c>
      <c r="BO16">
        <f>31702</f>
        <v>31702</v>
      </c>
      <c r="BP16">
        <f>29931</f>
        <v>29931</v>
      </c>
      <c r="BQ16">
        <f>27389</f>
        <v>27389</v>
      </c>
      <c r="BR16">
        <f>28334</f>
        <v>28334</v>
      </c>
      <c r="BS16">
        <f>31631</f>
        <v>31631</v>
      </c>
      <c r="BT16">
        <f>30750</f>
        <v>30750</v>
      </c>
      <c r="BU16">
        <f>30049</f>
        <v>30049</v>
      </c>
      <c r="BV16">
        <f>33573</f>
        <v>33573</v>
      </c>
      <c r="BW16">
        <f>44903</f>
        <v>44903</v>
      </c>
      <c r="BX16">
        <f>43677</f>
        <v>43677</v>
      </c>
      <c r="BY16">
        <f>40434</f>
        <v>40434</v>
      </c>
      <c r="BZ16">
        <f>38155</f>
        <v>38155</v>
      </c>
      <c r="CA16">
        <f>48587</f>
        <v>48587</v>
      </c>
      <c r="CB16">
        <f>49250</f>
        <v>49250</v>
      </c>
      <c r="CC16">
        <f>50514</f>
        <v>50514</v>
      </c>
      <c r="CD16">
        <f>52176</f>
        <v>52176</v>
      </c>
      <c r="CE16">
        <f>52600</f>
        <v>52600</v>
      </c>
      <c r="CF16">
        <f>55414</f>
        <v>55414</v>
      </c>
      <c r="CG16">
        <f>55688</f>
        <v>55688</v>
      </c>
      <c r="CH16">
        <f>44840</f>
        <v>44840</v>
      </c>
      <c r="CI16">
        <f>54660</f>
        <v>54660</v>
      </c>
      <c r="CJ16">
        <f>47698</f>
        <v>47698</v>
      </c>
      <c r="CK16">
        <f>46705</f>
        <v>46705</v>
      </c>
      <c r="CL16">
        <f>42501</f>
        <v>42501</v>
      </c>
      <c r="CM16">
        <f>60191</f>
        <v>60191</v>
      </c>
      <c r="CN16">
        <f>60790</f>
        <v>60790</v>
      </c>
      <c r="CO16">
        <f>60125</f>
        <v>60125</v>
      </c>
      <c r="CP16">
        <f>60716</f>
        <v>60716</v>
      </c>
      <c r="CQ16">
        <f>70011</f>
        <v>70011</v>
      </c>
      <c r="CR16">
        <f>77505</f>
        <v>77505</v>
      </c>
      <c r="CS16">
        <f>84975</f>
        <v>84975</v>
      </c>
      <c r="CT16">
        <f>88862</f>
        <v>88862</v>
      </c>
      <c r="CU16">
        <f>104475</f>
        <v>104475</v>
      </c>
      <c r="CV16">
        <f>122464</f>
        <v>122464</v>
      </c>
      <c r="CW16">
        <f>118307</f>
        <v>118307</v>
      </c>
      <c r="CX16">
        <f>114824</f>
        <v>114824</v>
      </c>
      <c r="CY16">
        <f>125980</f>
        <v>125980</v>
      </c>
      <c r="CZ16">
        <f>129048</f>
        <v>129048</v>
      </c>
      <c r="DA16">
        <f>165559</f>
        <v>165559</v>
      </c>
      <c r="DB16">
        <f>130343</f>
        <v>130343</v>
      </c>
      <c r="DC16">
        <f>136593</f>
        <v>136593</v>
      </c>
      <c r="DD16">
        <f>121677</f>
        <v>121677</v>
      </c>
      <c r="DE16">
        <f>114491</f>
        <v>114491</v>
      </c>
      <c r="DF16">
        <f>103616</f>
        <v>103616</v>
      </c>
      <c r="DG16">
        <f>119472</f>
        <v>119472</v>
      </c>
      <c r="DH16">
        <f>124540</f>
        <v>124540</v>
      </c>
      <c r="DI16">
        <f>144091</f>
        <v>144091</v>
      </c>
      <c r="DJ16">
        <f>144144</f>
        <v>144144</v>
      </c>
      <c r="DK16">
        <f>149983</f>
        <v>149983</v>
      </c>
      <c r="DL16">
        <f>143255</f>
        <v>143255</v>
      </c>
      <c r="DM16">
        <f>153975</f>
        <v>153975</v>
      </c>
      <c r="DN16">
        <f>155700</f>
        <v>155700</v>
      </c>
      <c r="DO16">
        <f>181859</f>
        <v>181859</v>
      </c>
      <c r="DP16">
        <f>139579</f>
        <v>139579</v>
      </c>
      <c r="DQ16" t="str">
        <f>""</f>
        <v/>
      </c>
      <c r="DR16">
        <f>167825</f>
        <v>167825</v>
      </c>
      <c r="DS16">
        <f>255218</f>
        <v>255218</v>
      </c>
      <c r="DT16">
        <f>264023</f>
        <v>264023</v>
      </c>
      <c r="DU16">
        <f>184839</f>
        <v>184839</v>
      </c>
    </row>
    <row r="17" spans="1:125" x14ac:dyDescent="0.25">
      <c r="A17" t="str">
        <f>"    Credit Agricole SA"</f>
        <v xml:space="preserve">    Credit Agricole SA</v>
      </c>
      <c r="B17" t="str">
        <f>"ACA FP Equity"</f>
        <v>ACA FP Equity</v>
      </c>
      <c r="C17" t="str">
        <f t="shared" si="0"/>
        <v>BM105</v>
      </c>
      <c r="D17" t="str">
        <f t="shared" si="1"/>
        <v>BS_TRADING_ASSETS</v>
      </c>
      <c r="E17" t="str">
        <f t="shared" si="2"/>
        <v>Dynamic</v>
      </c>
      <c r="F17">
        <f ca="1">IF(AND(ISNUMBER($F$223),$B$208=1),$F$223,HLOOKUP(INDIRECT(ADDRESS(2,COLUMN())),OFFSET($BN$2,0,0,ROW()-1,60),ROW()-1,FALSE))</f>
        <v>371156</v>
      </c>
      <c r="G17" t="str">
        <f ca="1">IF(AND(ISNUMBER($G$223),$B$208=1),$G$223,HLOOKUP(INDIRECT(ADDRESS(2,COLUMN())),OFFSET($BN$2,0,0,ROW()-1,60),ROW()-1,FALSE))</f>
        <v/>
      </c>
      <c r="H17">
        <f ca="1">IF(AND(ISNUMBER($H$223),$B$208=1),$H$223,HLOOKUP(INDIRECT(ADDRESS(2,COLUMN())),OFFSET($BN$2,0,0,ROW()-1,60),ROW()-1,FALSE))</f>
        <v>329837</v>
      </c>
      <c r="I17" t="str">
        <f ca="1">IF(AND(ISNUMBER($I$223),$B$208=1),$I$223,HLOOKUP(INDIRECT(ADDRESS(2,COLUMN())),OFFSET($BN$2,0,0,ROW()-1,60),ROW()-1,FALSE))</f>
        <v/>
      </c>
      <c r="J17">
        <f ca="1">IF(AND(ISNUMBER($J$223),$B$208=1),$J$223,HLOOKUP(INDIRECT(ADDRESS(2,COLUMN())),OFFSET($BN$2,0,0,ROW()-1,60),ROW()-1,FALSE))</f>
        <v>301925</v>
      </c>
      <c r="K17" t="str">
        <f ca="1">IF(AND(ISNUMBER($K$223),$B$208=1),$K$223,HLOOKUP(INDIRECT(ADDRESS(2,COLUMN())),OFFSET($BN$2,0,0,ROW()-1,60),ROW()-1,FALSE))</f>
        <v/>
      </c>
      <c r="L17">
        <f ca="1">IF(AND(ISNUMBER($L$223),$B$208=1),$L$223,HLOOKUP(INDIRECT(ADDRESS(2,COLUMN())),OFFSET($BN$2,0,0,ROW()-1,60),ROW()-1,FALSE))</f>
        <v>291764</v>
      </c>
      <c r="M17" t="str">
        <f ca="1">IF(AND(ISNUMBER($M$223),$B$208=1),$M$223,HLOOKUP(INDIRECT(ADDRESS(2,COLUMN())),OFFSET($BN$2,0,0,ROW()-1,60),ROW()-1,FALSE))</f>
        <v/>
      </c>
      <c r="N17">
        <f ca="1">IF(AND(ISNUMBER($N$223),$B$208=1),$N$223,HLOOKUP(INDIRECT(ADDRESS(2,COLUMN())),OFFSET($BN$2,0,0,ROW()-1,60),ROW()-1,FALSE))</f>
        <v>249249</v>
      </c>
      <c r="O17" t="str">
        <f ca="1">IF(AND(ISNUMBER($O$223),$B$208=1),$O$223,HLOOKUP(INDIRECT(ADDRESS(2,COLUMN())),OFFSET($BN$2,0,0,ROW()-1,60),ROW()-1,FALSE))</f>
        <v/>
      </c>
      <c r="P17">
        <f ca="1">IF(AND(ISNUMBER($P$223),$B$208=1),$P$223,HLOOKUP(INDIRECT(ADDRESS(2,COLUMN())),OFFSET($BN$2,0,0,ROW()-1,60),ROW()-1,FALSE))</f>
        <v>263596</v>
      </c>
      <c r="Q17" t="str">
        <f ca="1">IF(AND(ISNUMBER($Q$223),$B$208=1),$Q$223,HLOOKUP(INDIRECT(ADDRESS(2,COLUMN())),OFFSET($BN$2,0,0,ROW()-1,60),ROW()-1,FALSE))</f>
        <v/>
      </c>
      <c r="R17">
        <f ca="1">IF(AND(ISNUMBER($R$223),$B$208=1),$R$223,HLOOKUP(INDIRECT(ADDRESS(2,COLUMN())),OFFSET($BN$2,0,0,ROW()-1,60),ROW()-1,FALSE))</f>
        <v>237341</v>
      </c>
      <c r="S17" t="str">
        <f ca="1">IF(AND(ISNUMBER($S$223),$B$208=1),$S$223,HLOOKUP(INDIRECT(ADDRESS(2,COLUMN())),OFFSET($BN$2,0,0,ROW()-1,60),ROW()-1,FALSE))</f>
        <v/>
      </c>
      <c r="T17">
        <f ca="1">IF(AND(ISNUMBER($T$223),$B$208=1),$T$223,HLOOKUP(INDIRECT(ADDRESS(2,COLUMN())),OFFSET($BN$2,0,0,ROW()-1,60),ROW()-1,FALSE))</f>
        <v>261235</v>
      </c>
      <c r="U17" t="str">
        <f ca="1">IF(AND(ISNUMBER($U$223),$B$208=1),$U$223,HLOOKUP(INDIRECT(ADDRESS(2,COLUMN())),OFFSET($BN$2,0,0,ROW()-1,60),ROW()-1,FALSE))</f>
        <v/>
      </c>
      <c r="V17">
        <f ca="1">IF(AND(ISNUMBER($V$223),$B$208=1),$V$223,HLOOKUP(INDIRECT(ADDRESS(2,COLUMN())),OFFSET($BN$2,0,0,ROW()-1,60),ROW()-1,FALSE))</f>
        <v>261968</v>
      </c>
      <c r="W17" t="str">
        <f ca="1">IF(AND(ISNUMBER($W$223),$B$208=1),$W$223,HLOOKUP(INDIRECT(ADDRESS(2,COLUMN())),OFFSET($BN$2,0,0,ROW()-1,60),ROW()-1,FALSE))</f>
        <v/>
      </c>
      <c r="X17">
        <f ca="1">IF(AND(ISNUMBER($X$223),$B$208=1),$X$223,HLOOKUP(INDIRECT(ADDRESS(2,COLUMN())),OFFSET($BN$2,0,0,ROW()-1,60),ROW()-1,FALSE))</f>
        <v>267004</v>
      </c>
      <c r="Y17" t="str">
        <f ca="1">IF(AND(ISNUMBER($Y$223),$B$208=1),$Y$223,HLOOKUP(INDIRECT(ADDRESS(2,COLUMN())),OFFSET($BN$2,0,0,ROW()-1,60),ROW()-1,FALSE))</f>
        <v/>
      </c>
      <c r="Z17">
        <f ca="1">IF(AND(ISNUMBER($Z$223),$B$208=1),$Z$223,HLOOKUP(INDIRECT(ADDRESS(2,COLUMN())),OFFSET($BN$2,0,0,ROW()-1,60),ROW()-1,FALSE))</f>
        <v>230721</v>
      </c>
      <c r="AA17" t="str">
        <f ca="1">IF(AND(ISNUMBER($AA$223),$B$208=1),$AA$223,HLOOKUP(INDIRECT(ADDRESS(2,COLUMN())),OFFSET($BN$2,0,0,ROW()-1,60),ROW()-1,FALSE))</f>
        <v/>
      </c>
      <c r="AB17">
        <f ca="1">IF(AND(ISNUMBER($AB$223),$B$208=1),$AB$223,HLOOKUP(INDIRECT(ADDRESS(2,COLUMN())),OFFSET($BN$2,0,0,ROW()-1,60),ROW()-1,FALSE))</f>
        <v>246898</v>
      </c>
      <c r="AC17" t="str">
        <f ca="1">IF(AND(ISNUMBER($AC$223),$B$208=1),$AC$223,HLOOKUP(INDIRECT(ADDRESS(2,COLUMN())),OFFSET($BN$2,0,0,ROW()-1,60),ROW()-1,FALSE))</f>
        <v/>
      </c>
      <c r="AD17">
        <f ca="1">IF(AND(ISNUMBER($AD$223),$B$208=1),$AD$223,HLOOKUP(INDIRECT(ADDRESS(2,COLUMN())),OFFSET($BN$2,0,0,ROW()-1,60),ROW()-1,FALSE))</f>
        <v>225605</v>
      </c>
      <c r="AE17" t="str">
        <f ca="1">IF(AND(ISNUMBER($AE$223),$B$208=1),$AE$223,HLOOKUP(INDIRECT(ADDRESS(2,COLUMN())),OFFSET($BN$2,0,0,ROW()-1,60),ROW()-1,FALSE))</f>
        <v/>
      </c>
      <c r="AF17">
        <f ca="1">IF(AND(ISNUMBER($AF$223),$B$208=1),$AF$223,HLOOKUP(INDIRECT(ADDRESS(2,COLUMN())),OFFSET($BN$2,0,0,ROW()-1,60),ROW()-1,FALSE))</f>
        <v>233279</v>
      </c>
      <c r="AG17" t="str">
        <f ca="1">IF(AND(ISNUMBER($AG$223),$B$208=1),$AG$223,HLOOKUP(INDIRECT(ADDRESS(2,COLUMN())),OFFSET($BN$2,0,0,ROW()-1,60),ROW()-1,FALSE))</f>
        <v/>
      </c>
      <c r="AH17">
        <f ca="1">IF(AND(ISNUMBER($AH$223),$B$208=1),$AH$223,HLOOKUP(INDIRECT(ADDRESS(2,COLUMN())),OFFSET($BN$2,0,0,ROW()-1,60),ROW()-1,FALSE))</f>
        <v>321404</v>
      </c>
      <c r="AI17" t="str">
        <f ca="1">IF(AND(ISNUMBER($AI$223),$B$208=1),$AI$223,HLOOKUP(INDIRECT(ADDRESS(2,COLUMN())),OFFSET($BN$2,0,0,ROW()-1,60),ROW()-1,FALSE))</f>
        <v/>
      </c>
      <c r="AJ17">
        <f ca="1">IF(AND(ISNUMBER($AJ$223),$B$208=1),$AJ$223,HLOOKUP(INDIRECT(ADDRESS(2,COLUMN())),OFFSET($BN$2,0,0,ROW()-1,60),ROW()-1,FALSE))</f>
        <v>334250</v>
      </c>
      <c r="AK17" t="str">
        <f ca="1">IF(AND(ISNUMBER($AK$223),$B$208=1),$AK$223,HLOOKUP(INDIRECT(ADDRESS(2,COLUMN())),OFFSET($BN$2,0,0,ROW()-1,60),ROW()-1,FALSE))</f>
        <v/>
      </c>
      <c r="AL17">
        <f ca="1">IF(AND(ISNUMBER($AL$223),$B$208=1),$AL$223,HLOOKUP(INDIRECT(ADDRESS(2,COLUMN())),OFFSET($BN$2,0,0,ROW()-1,60),ROW()-1,FALSE))</f>
        <v>326279</v>
      </c>
      <c r="AM17" t="str">
        <f ca="1">IF(AND(ISNUMBER($AM$223),$B$208=1),$AM$223,HLOOKUP(INDIRECT(ADDRESS(2,COLUMN())),OFFSET($BN$2,0,0,ROW()-1,60),ROW()-1,FALSE))</f>
        <v/>
      </c>
      <c r="AN17">
        <f ca="1">IF(AND(ISNUMBER($AN$223),$B$208=1),$AN$223,HLOOKUP(INDIRECT(ADDRESS(2,COLUMN())),OFFSET($BN$2,0,0,ROW()-1,60),ROW()-1,FALSE))</f>
        <v>378584</v>
      </c>
      <c r="AO17" t="str">
        <f ca="1">IF(AND(ISNUMBER($AO$223),$B$208=1),$AO$223,HLOOKUP(INDIRECT(ADDRESS(2,COLUMN())),OFFSET($BN$2,0,0,ROW()-1,60),ROW()-1,FALSE))</f>
        <v/>
      </c>
      <c r="AP17">
        <f ca="1">IF(AND(ISNUMBER($AP$223),$B$208=1),$AP$223,HLOOKUP(INDIRECT(ADDRESS(2,COLUMN())),OFFSET($BN$2,0,0,ROW()-1,60),ROW()-1,FALSE))</f>
        <v>348320</v>
      </c>
      <c r="AQ17" t="str">
        <f ca="1">IF(AND(ISNUMBER($AQ$223),$B$208=1),$AQ$223,HLOOKUP(INDIRECT(ADDRESS(2,COLUMN())),OFFSET($BN$2,0,0,ROW()-1,60),ROW()-1,FALSE))</f>
        <v/>
      </c>
      <c r="AR17">
        <f ca="1">IF(AND(ISNUMBER($AR$223),$B$208=1),$AR$223,HLOOKUP(INDIRECT(ADDRESS(2,COLUMN())),OFFSET($BN$2,0,0,ROW()-1,60),ROW()-1,FALSE))</f>
        <v>279495</v>
      </c>
      <c r="AS17" t="str">
        <f ca="1">IF(AND(ISNUMBER($AS$223),$B$208=1),$AS$223,HLOOKUP(INDIRECT(ADDRESS(2,COLUMN())),OFFSET($BN$2,0,0,ROW()-1,60),ROW()-1,FALSE))</f>
        <v/>
      </c>
      <c r="AT17">
        <f ca="1">IF(AND(ISNUMBER($AT$223),$B$208=1),$AT$223,HLOOKUP(INDIRECT(ADDRESS(2,COLUMN())),OFFSET($BN$2,0,0,ROW()-1,60),ROW()-1,FALSE))</f>
        <v>405572</v>
      </c>
      <c r="AU17" t="str">
        <f ca="1">IF(AND(ISNUMBER($AU$223),$B$208=1),$AU$223,HLOOKUP(INDIRECT(ADDRESS(2,COLUMN())),OFFSET($BN$2,0,0,ROW()-1,60),ROW()-1,FALSE))</f>
        <v/>
      </c>
      <c r="AV17">
        <f ca="1">IF(AND(ISNUMBER($AV$223),$B$208=1),$AV$223,HLOOKUP(INDIRECT(ADDRESS(2,COLUMN())),OFFSET($BN$2,0,0,ROW()-1,60),ROW()-1,FALSE))</f>
        <v>258916</v>
      </c>
      <c r="AW17" t="str">
        <f ca="1">IF(AND(ISNUMBER($AW$223),$B$208=1),$AW$223,HLOOKUP(INDIRECT(ADDRESS(2,COLUMN())),OFFSET($BN$2,0,0,ROW()-1,60),ROW()-1,FALSE))</f>
        <v/>
      </c>
      <c r="AX17">
        <f ca="1">IF(AND(ISNUMBER($AX$223),$B$208=1),$AX$223,HLOOKUP(INDIRECT(ADDRESS(2,COLUMN())),OFFSET($BN$2,0,0,ROW()-1,60),ROW()-1,FALSE))</f>
        <v>281371</v>
      </c>
      <c r="AY17" t="str">
        <f ca="1">IF(AND(ISNUMBER($AY$223),$B$208=1),$AY$223,HLOOKUP(INDIRECT(ADDRESS(2,COLUMN())),OFFSET($BN$2,0,0,ROW()-1,60),ROW()-1,FALSE))</f>
        <v/>
      </c>
      <c r="AZ17">
        <f ca="1">IF(AND(ISNUMBER($AZ$223),$B$208=1),$AZ$223,HLOOKUP(INDIRECT(ADDRESS(2,COLUMN())),OFFSET($BN$2,0,0,ROW()-1,60),ROW()-1,FALSE))</f>
        <v>484435</v>
      </c>
      <c r="BA17" t="str">
        <f ca="1">IF(AND(ISNUMBER($BA$223),$B$208=1),$BA$223,HLOOKUP(INDIRECT(ADDRESS(2,COLUMN())),OFFSET($BN$2,0,0,ROW()-1,60),ROW()-1,FALSE))</f>
        <v/>
      </c>
      <c r="BB17">
        <f ca="1">IF(AND(ISNUMBER($BB$223),$B$208=1),$BB$223,HLOOKUP(INDIRECT(ADDRESS(2,COLUMN())),OFFSET($BN$2,0,0,ROW()-1,60),ROW()-1,FALSE))</f>
        <v>330102</v>
      </c>
      <c r="BC17" t="str">
        <f ca="1">IF(AND(ISNUMBER($BC$223),$B$208=1),$BC$223,HLOOKUP(INDIRECT(ADDRESS(2,COLUMN())),OFFSET($BN$2,0,0,ROW()-1,60),ROW()-1,FALSE))</f>
        <v/>
      </c>
      <c r="BD17">
        <f ca="1">IF(AND(ISNUMBER($BD$223),$B$208=1),$BD$223,HLOOKUP(INDIRECT(ADDRESS(2,COLUMN())),OFFSET($BN$2,0,0,ROW()-1,60),ROW()-1,FALSE))</f>
        <v>498422</v>
      </c>
      <c r="BE17" t="str">
        <f ca="1">IF(AND(ISNUMBER($BE$223),$B$208=1),$BE$223,HLOOKUP(INDIRECT(ADDRESS(2,COLUMN())),OFFSET($BN$2,0,0,ROW()-1,60),ROW()-1,FALSE))</f>
        <v/>
      </c>
      <c r="BF17">
        <f ca="1">IF(AND(ISNUMBER($BF$223),$B$208=1),$BF$223,HLOOKUP(INDIRECT(ADDRESS(2,COLUMN())),OFFSET($BN$2,0,0,ROW()-1,60),ROW()-1,FALSE))</f>
        <v>447075</v>
      </c>
      <c r="BG17" t="str">
        <f ca="1">IF(AND(ISNUMBER($BG$223),$B$208=1),$BG$223,HLOOKUP(INDIRECT(ADDRESS(2,COLUMN())),OFFSET($BN$2,0,0,ROW()-1,60),ROW()-1,FALSE))</f>
        <v/>
      </c>
      <c r="BH17" t="str">
        <f ca="1">IF(AND(ISNUMBER($BH$223),$B$208=1),$BH$223,HLOOKUP(INDIRECT(ADDRESS(2,COLUMN())),OFFSET($BN$2,0,0,ROW()-1,60),ROW()-1,FALSE))</f>
        <v/>
      </c>
      <c r="BI17" t="str">
        <f ca="1">IF(AND(ISNUMBER($BI$223),$B$208=1),$BI$223,HLOOKUP(INDIRECT(ADDRESS(2,COLUMN())),OFFSET($BN$2,0,0,ROW()-1,60),ROW()-1,FALSE))</f>
        <v/>
      </c>
      <c r="BJ17" t="str">
        <f ca="1">IF(AND(ISNUMBER($BJ$223),$B$208=1),$BJ$223,HLOOKUP(INDIRECT(ADDRESS(2,COLUMN())),OFFSET($BN$2,0,0,ROW()-1,60),ROW()-1,FALSE))</f>
        <v/>
      </c>
      <c r="BK17" t="str">
        <f ca="1">IF(AND(ISNUMBER($BK$223),$B$208=1),$BK$223,HLOOKUP(INDIRECT(ADDRESS(2,COLUMN())),OFFSET($BN$2,0,0,ROW()-1,60),ROW()-1,FALSE))</f>
        <v/>
      </c>
      <c r="BL17" t="str">
        <f ca="1">IF(AND(ISNUMBER($BL$223),$B$208=1),$BL$223,HLOOKUP(INDIRECT(ADDRESS(2,COLUMN())),OFFSET($BN$2,0,0,ROW()-1,60),ROW()-1,FALSE))</f>
        <v/>
      </c>
      <c r="BM17" t="str">
        <f ca="1">IF(AND(ISNUMBER($BM$223),$B$208=1),$BM$223,HLOOKUP(INDIRECT(ADDRESS(2,COLUMN())),OFFSET($BN$2,0,0,ROW()-1,60),ROW()-1,FALSE))</f>
        <v/>
      </c>
      <c r="BN17">
        <f>371156</f>
        <v>371156</v>
      </c>
      <c r="BO17" t="str">
        <f>""</f>
        <v/>
      </c>
      <c r="BP17">
        <f>329837</f>
        <v>329837</v>
      </c>
      <c r="BQ17" t="str">
        <f>""</f>
        <v/>
      </c>
      <c r="BR17">
        <f>301925</f>
        <v>301925</v>
      </c>
      <c r="BS17" t="str">
        <f>""</f>
        <v/>
      </c>
      <c r="BT17">
        <f>291764</f>
        <v>291764</v>
      </c>
      <c r="BU17" t="str">
        <f>""</f>
        <v/>
      </c>
      <c r="BV17">
        <f>249249</f>
        <v>249249</v>
      </c>
      <c r="BW17" t="str">
        <f>""</f>
        <v/>
      </c>
      <c r="BX17">
        <f>263596</f>
        <v>263596</v>
      </c>
      <c r="BY17" t="str">
        <f>""</f>
        <v/>
      </c>
      <c r="BZ17">
        <f>237341</f>
        <v>237341</v>
      </c>
      <c r="CA17" t="str">
        <f>""</f>
        <v/>
      </c>
      <c r="CB17">
        <f>261235</f>
        <v>261235</v>
      </c>
      <c r="CC17" t="str">
        <f>""</f>
        <v/>
      </c>
      <c r="CD17">
        <f>261968</f>
        <v>261968</v>
      </c>
      <c r="CE17" t="str">
        <f>""</f>
        <v/>
      </c>
      <c r="CF17">
        <f>267004</f>
        <v>267004</v>
      </c>
      <c r="CG17" t="str">
        <f>""</f>
        <v/>
      </c>
      <c r="CH17">
        <f>230721</f>
        <v>230721</v>
      </c>
      <c r="CI17" t="str">
        <f>""</f>
        <v/>
      </c>
      <c r="CJ17">
        <f>246898</f>
        <v>246898</v>
      </c>
      <c r="CK17" t="str">
        <f>""</f>
        <v/>
      </c>
      <c r="CL17">
        <f>225605</f>
        <v>225605</v>
      </c>
      <c r="CM17" t="str">
        <f>""</f>
        <v/>
      </c>
      <c r="CN17">
        <f>233279</f>
        <v>233279</v>
      </c>
      <c r="CO17" t="str">
        <f>""</f>
        <v/>
      </c>
      <c r="CP17">
        <f>321404</f>
        <v>321404</v>
      </c>
      <c r="CQ17" t="str">
        <f>""</f>
        <v/>
      </c>
      <c r="CR17">
        <f>334250</f>
        <v>334250</v>
      </c>
      <c r="CS17" t="str">
        <f>""</f>
        <v/>
      </c>
      <c r="CT17">
        <f>326279</f>
        <v>326279</v>
      </c>
      <c r="CU17" t="str">
        <f>""</f>
        <v/>
      </c>
      <c r="CV17">
        <f>378584</f>
        <v>378584</v>
      </c>
      <c r="CW17" t="str">
        <f>""</f>
        <v/>
      </c>
      <c r="CX17">
        <f>348320</f>
        <v>348320</v>
      </c>
      <c r="CY17" t="str">
        <f>""</f>
        <v/>
      </c>
      <c r="CZ17">
        <f>279495</f>
        <v>279495</v>
      </c>
      <c r="DA17" t="str">
        <f>""</f>
        <v/>
      </c>
      <c r="DB17">
        <f>405572</f>
        <v>405572</v>
      </c>
      <c r="DC17" t="str">
        <f>""</f>
        <v/>
      </c>
      <c r="DD17">
        <f>258916</f>
        <v>258916</v>
      </c>
      <c r="DE17" t="str">
        <f>""</f>
        <v/>
      </c>
      <c r="DF17">
        <f>281371</f>
        <v>281371</v>
      </c>
      <c r="DG17" t="str">
        <f>""</f>
        <v/>
      </c>
      <c r="DH17">
        <f>484435</f>
        <v>484435</v>
      </c>
      <c r="DI17" t="str">
        <f>""</f>
        <v/>
      </c>
      <c r="DJ17">
        <f>330102</f>
        <v>330102</v>
      </c>
      <c r="DK17" t="str">
        <f>""</f>
        <v/>
      </c>
      <c r="DL17">
        <f>498422</f>
        <v>498422</v>
      </c>
      <c r="DM17" t="str">
        <f>""</f>
        <v/>
      </c>
      <c r="DN17">
        <f>447075</f>
        <v>447075</v>
      </c>
      <c r="DO17" t="str">
        <f>""</f>
        <v/>
      </c>
      <c r="DP17" t="str">
        <f>""</f>
        <v/>
      </c>
      <c r="DQ17" t="str">
        <f>""</f>
        <v/>
      </c>
      <c r="DR17" t="str">
        <f>""</f>
        <v/>
      </c>
      <c r="DS17" t="str">
        <f>""</f>
        <v/>
      </c>
      <c r="DT17" t="str">
        <f>""</f>
        <v/>
      </c>
      <c r="DU17" t="str">
        <f>""</f>
        <v/>
      </c>
    </row>
    <row r="18" spans="1:125" x14ac:dyDescent="0.25">
      <c r="A18" t="str">
        <f>"    Deutsche Bank AG"</f>
        <v xml:space="preserve">    Deutsche Bank AG</v>
      </c>
      <c r="B18" t="str">
        <f>"DBK GR Equity"</f>
        <v>DBK GR Equity</v>
      </c>
      <c r="C18" t="str">
        <f t="shared" si="0"/>
        <v>BM105</v>
      </c>
      <c r="D18" t="str">
        <f t="shared" si="1"/>
        <v>BS_TRADING_ASSETS</v>
      </c>
      <c r="E18" t="str">
        <f t="shared" si="2"/>
        <v>Dynamic</v>
      </c>
      <c r="F18">
        <f ca="1">IF(AND(ISNUMBER($F$224),$B$208=1),$F$224,HLOOKUP(INDIRECT(ADDRESS(2,COLUMN())),OFFSET($BN$2,0,0,ROW()-1,60),ROW()-1,FALSE))</f>
        <v>139772</v>
      </c>
      <c r="G18">
        <f ca="1">IF(AND(ISNUMBER($G$224),$B$208=1),$G$224,HLOOKUP(INDIRECT(ADDRESS(2,COLUMN())),OFFSET($BN$2,0,0,ROW()-1,60),ROW()-1,FALSE))</f>
        <v>153664</v>
      </c>
      <c r="H18">
        <f ca="1">IF(AND(ISNUMBER($H$224),$B$208=1),$H$224,HLOOKUP(INDIRECT(ADDRESS(2,COLUMN())),OFFSET($BN$2,0,0,ROW()-1,60),ROW()-1,FALSE))</f>
        <v>134894</v>
      </c>
      <c r="I18">
        <f ca="1">IF(AND(ISNUMBER($I$224),$B$208=1),$I$224,HLOOKUP(INDIRECT(ADDRESS(2,COLUMN())),OFFSET($BN$2,0,0,ROW()-1,60),ROW()-1,FALSE))</f>
        <v>136599</v>
      </c>
      <c r="J18">
        <f ca="1">IF(AND(ISNUMBER($J$224),$B$208=1),$J$224,HLOOKUP(INDIRECT(ADDRESS(2,COLUMN())),OFFSET($BN$2,0,0,ROW()-1,60),ROW()-1,FALSE))</f>
        <v>125275</v>
      </c>
      <c r="K18">
        <f ca="1">IF(AND(ISNUMBER($K$224),$B$208=1),$K$224,HLOOKUP(INDIRECT(ADDRESS(2,COLUMN())),OFFSET($BN$2,0,0,ROW()-1,60),ROW()-1,FALSE))</f>
        <v>112602</v>
      </c>
      <c r="L18">
        <f ca="1">IF(AND(ISNUMBER($L$224),$B$208=1),$L$224,HLOOKUP(INDIRECT(ADDRESS(2,COLUMN())),OFFSET($BN$2,0,0,ROW()-1,60),ROW()-1,FALSE))</f>
        <v>108465</v>
      </c>
      <c r="M18">
        <f ca="1">IF(AND(ISNUMBER($M$224),$B$208=1),$M$224,HLOOKUP(INDIRECT(ADDRESS(2,COLUMN())),OFFSET($BN$2,0,0,ROW()-1,60),ROW()-1,FALSE))</f>
        <v>110901</v>
      </c>
      <c r="N18">
        <f ca="1">IF(AND(ISNUMBER($N$224),$B$208=1),$N$224,HLOOKUP(INDIRECT(ADDRESS(2,COLUMN())),OFFSET($BN$2,0,0,ROW()-1,60),ROW()-1,FALSE))</f>
        <v>92867</v>
      </c>
      <c r="O18">
        <f ca="1">IF(AND(ISNUMBER($O$224),$B$208=1),$O$224,HLOOKUP(INDIRECT(ADDRESS(2,COLUMN())),OFFSET($BN$2,0,0,ROW()-1,60),ROW()-1,FALSE))</f>
        <v>108509</v>
      </c>
      <c r="P18">
        <f ca="1">IF(AND(ISNUMBER($P$224),$B$208=1),$P$224,HLOOKUP(INDIRECT(ADDRESS(2,COLUMN())),OFFSET($BN$2,0,0,ROW()-1,60),ROW()-1,FALSE))</f>
        <v>103953</v>
      </c>
      <c r="Q18">
        <f ca="1">IF(AND(ISNUMBER($Q$224),$B$208=1),$Q$224,HLOOKUP(INDIRECT(ADDRESS(2,COLUMN())),OFFSET($BN$2,0,0,ROW()-1,60),ROW()-1,FALSE))</f>
        <v>112493</v>
      </c>
      <c r="R18">
        <f ca="1">IF(AND(ISNUMBER($R$224),$B$208=1),$R$224,HLOOKUP(INDIRECT(ADDRESS(2,COLUMN())),OFFSET($BN$2,0,0,ROW()-1,60),ROW()-1,FALSE))</f>
        <v>102396</v>
      </c>
      <c r="S18">
        <f ca="1">IF(AND(ISNUMBER($S$224),$B$208=1),$S$224,HLOOKUP(INDIRECT(ADDRESS(2,COLUMN())),OFFSET($BN$2,0,0,ROW()-1,60),ROW()-1,FALSE))</f>
        <v>121016</v>
      </c>
      <c r="T18">
        <f ca="1">IF(AND(ISNUMBER($T$224),$B$208=1),$T$224,HLOOKUP(INDIRECT(ADDRESS(2,COLUMN())),OFFSET($BN$2,0,0,ROW()-1,60),ROW()-1,FALSE))</f>
        <v>112120</v>
      </c>
      <c r="U18">
        <f ca="1">IF(AND(ISNUMBER($U$224),$B$208=1),$U$224,HLOOKUP(INDIRECT(ADDRESS(2,COLUMN())),OFFSET($BN$2,0,0,ROW()-1,60),ROW()-1,FALSE))</f>
        <v>109830</v>
      </c>
      <c r="V18">
        <f ca="1">IF(AND(ISNUMBER($V$224),$B$208=1),$V$224,HLOOKUP(INDIRECT(ADDRESS(2,COLUMN())),OFFSET($BN$2,0,0,ROW()-1,60),ROW()-1,FALSE))</f>
        <v>107929</v>
      </c>
      <c r="W18">
        <f ca="1">IF(AND(ISNUMBER($W$224),$B$208=1),$W$224,HLOOKUP(INDIRECT(ADDRESS(2,COLUMN())),OFFSET($BN$2,0,0,ROW()-1,60),ROW()-1,FALSE))</f>
        <v>119587</v>
      </c>
      <c r="X18">
        <f ca="1">IF(AND(ISNUMBER($X$224),$B$208=1),$X$224,HLOOKUP(INDIRECT(ADDRESS(2,COLUMN())),OFFSET($BN$2,0,0,ROW()-1,60),ROW()-1,FALSE))</f>
        <v>116959</v>
      </c>
      <c r="Y18">
        <f ca="1">IF(AND(ISNUMBER($Y$224),$B$208=1),$Y$224,HLOOKUP(INDIRECT(ADDRESS(2,COLUMN())),OFFSET($BN$2,0,0,ROW()-1,60),ROW()-1,FALSE))</f>
        <v>116812</v>
      </c>
      <c r="Z18">
        <f ca="1">IF(AND(ISNUMBER($Z$224),$B$208=1),$Z$224,HLOOKUP(INDIRECT(ADDRESS(2,COLUMN())),OFFSET($BN$2,0,0,ROW()-1,60),ROW()-1,FALSE))</f>
        <v>110875</v>
      </c>
      <c r="AA18">
        <f ca="1">IF(AND(ISNUMBER($AA$224),$B$208=1),$AA$224,HLOOKUP(INDIRECT(ADDRESS(2,COLUMN())),OFFSET($BN$2,0,0,ROW()-1,60),ROW()-1,FALSE))</f>
        <v>138786</v>
      </c>
      <c r="AB18">
        <f ca="1">IF(AND(ISNUMBER($AB$224),$B$208=1),$AB$224,HLOOKUP(INDIRECT(ADDRESS(2,COLUMN())),OFFSET($BN$2,0,0,ROW()-1,60),ROW()-1,FALSE))</f>
        <v>162608</v>
      </c>
      <c r="AC18">
        <f ca="1">IF(AND(ISNUMBER($AC$224),$B$208=1),$AC$224,HLOOKUP(INDIRECT(ADDRESS(2,COLUMN())),OFFSET($BN$2,0,0,ROW()-1,60),ROW()-1,FALSE))</f>
        <v>164840</v>
      </c>
      <c r="AD18">
        <f ca="1">IF(AND(ISNUMBER($AD$224),$B$208=1),$AD$224,HLOOKUP(INDIRECT(ADDRESS(2,COLUMN())),OFFSET($BN$2,0,0,ROW()-1,60),ROW()-1,FALSE))</f>
        <v>152738</v>
      </c>
      <c r="AE18">
        <f ca="1">IF(AND(ISNUMBER($AE$224),$B$208=1),$AE$224,HLOOKUP(INDIRECT(ADDRESS(2,COLUMN())),OFFSET($BN$2,0,0,ROW()-1,60),ROW()-1,FALSE))</f>
        <v>156295</v>
      </c>
      <c r="AF18">
        <f ca="1">IF(AND(ISNUMBER($AF$224),$B$208=1),$AF$224,HLOOKUP(INDIRECT(ADDRESS(2,COLUMN())),OFFSET($BN$2,0,0,ROW()-1,60),ROW()-1,FALSE))</f>
        <v>160646</v>
      </c>
      <c r="AG18">
        <f ca="1">IF(AND(ISNUMBER($AG$224),$B$208=1),$AG$224,HLOOKUP(INDIRECT(ADDRESS(2,COLUMN())),OFFSET($BN$2,0,0,ROW()-1,60),ROW()-1,FALSE))</f>
        <v>173014</v>
      </c>
      <c r="AH18">
        <f ca="1">IF(AND(ISNUMBER($AH$224),$B$208=1),$AH$224,HLOOKUP(INDIRECT(ADDRESS(2,COLUMN())),OFFSET($BN$2,0,0,ROW()-1,60),ROW()-1,FALSE))</f>
        <v>184661</v>
      </c>
      <c r="AI18">
        <f ca="1">IF(AND(ISNUMBER($AI$224),$B$208=1),$AI$224,HLOOKUP(INDIRECT(ADDRESS(2,COLUMN())),OFFSET($BN$2,0,0,ROW()-1,60),ROW()-1,FALSE))</f>
        <v>186716</v>
      </c>
      <c r="AJ18">
        <f ca="1">IF(AND(ISNUMBER($AJ$224),$B$208=1),$AJ$224,HLOOKUP(INDIRECT(ADDRESS(2,COLUMN())),OFFSET($BN$2,0,0,ROW()-1,60),ROW()-1,FALSE))</f>
        <v>188192</v>
      </c>
      <c r="AK18">
        <f ca="1">IF(AND(ISNUMBER($AK$224),$B$208=1),$AK$224,HLOOKUP(INDIRECT(ADDRESS(2,COLUMN())),OFFSET($BN$2,0,0,ROW()-1,60),ROW()-1,FALSE))</f>
        <v>189926</v>
      </c>
      <c r="AL18">
        <f ca="1">IF(AND(ISNUMBER($AL$224),$B$208=1),$AL$224,HLOOKUP(INDIRECT(ADDRESS(2,COLUMN())),OFFSET($BN$2,0,0,ROW()-1,60),ROW()-1,FALSE))</f>
        <v>171044</v>
      </c>
      <c r="AM18">
        <f ca="1">IF(AND(ISNUMBER($AM$224),$B$208=1),$AM$224,HLOOKUP(INDIRECT(ADDRESS(2,COLUMN())),OFFSET($BN$2,0,0,ROW()-1,60),ROW()-1,FALSE))</f>
        <v>176456</v>
      </c>
      <c r="AN18">
        <f ca="1">IF(AND(ISNUMBER($AN$224),$B$208=1),$AN$224,HLOOKUP(INDIRECT(ADDRESS(2,COLUMN())),OFFSET($BN$2,0,0,ROW()-1,60),ROW()-1,FALSE))</f>
        <v>178559</v>
      </c>
      <c r="AO18">
        <f ca="1">IF(AND(ISNUMBER($AO$224),$B$208=1),$AO$224,HLOOKUP(INDIRECT(ADDRESS(2,COLUMN())),OFFSET($BN$2,0,0,ROW()-1,60),ROW()-1,FALSE))</f>
        <v>174947</v>
      </c>
      <c r="AP18">
        <f ca="1">IF(AND(ISNUMBER($AP$224),$B$208=1),$AP$224,HLOOKUP(INDIRECT(ADDRESS(2,COLUMN())),OFFSET($BN$2,0,0,ROW()-1,60),ROW()-1,FALSE))</f>
        <v>196035</v>
      </c>
      <c r="AQ18">
        <f ca="1">IF(AND(ISNUMBER($AQ$224),$B$208=1),$AQ$224,HLOOKUP(INDIRECT(ADDRESS(2,COLUMN())),OFFSET($BN$2,0,0,ROW()-1,60),ROW()-1,FALSE))</f>
        <v>196998</v>
      </c>
      <c r="AR18">
        <f ca="1">IF(AND(ISNUMBER($AR$224),$B$208=1),$AR$224,HLOOKUP(INDIRECT(ADDRESS(2,COLUMN())),OFFSET($BN$2,0,0,ROW()-1,60),ROW()-1,FALSE))</f>
        <v>206382</v>
      </c>
      <c r="AS18">
        <f ca="1">IF(AND(ISNUMBER($AS$224),$B$208=1),$AS$224,HLOOKUP(INDIRECT(ADDRESS(2,COLUMN())),OFFSET($BN$2,0,0,ROW()-1,60),ROW()-1,FALSE))</f>
        <v>212185</v>
      </c>
      <c r="AT18">
        <f ca="1">IF(AND(ISNUMBER($AT$224),$B$208=1),$AT$224,HLOOKUP(INDIRECT(ADDRESS(2,COLUMN())),OFFSET($BN$2,0,0,ROW()-1,60),ROW()-1,FALSE))</f>
        <v>195681</v>
      </c>
      <c r="AU18">
        <f ca="1">IF(AND(ISNUMBER($AU$224),$B$208=1),$AU$224,HLOOKUP(INDIRECT(ADDRESS(2,COLUMN())),OFFSET($BN$2,0,0,ROW()-1,60),ROW()-1,FALSE))</f>
        <v>196360</v>
      </c>
      <c r="AV18">
        <f ca="1">IF(AND(ISNUMBER($AV$224),$B$208=1),$AV$224,HLOOKUP(INDIRECT(ADDRESS(2,COLUMN())),OFFSET($BN$2,0,0,ROW()-1,60),ROW()-1,FALSE))</f>
        <v>210991</v>
      </c>
      <c r="AW18">
        <f ca="1">IF(AND(ISNUMBER($AW$224),$B$208=1),$AW$224,HLOOKUP(INDIRECT(ADDRESS(2,COLUMN())),OFFSET($BN$2,0,0,ROW()-1,60),ROW()-1,FALSE))</f>
        <v>199842</v>
      </c>
      <c r="AX18">
        <f ca="1">IF(AND(ISNUMBER($AX$224),$B$208=1),$AX$224,HLOOKUP(INDIRECT(ADDRESS(2,COLUMN())),OFFSET($BN$2,0,0,ROW()-1,60),ROW()-1,FALSE))</f>
        <v>210070</v>
      </c>
      <c r="AY18">
        <f ca="1">IF(AND(ISNUMBER($AY$224),$B$208=1),$AY$224,HLOOKUP(INDIRECT(ADDRESS(2,COLUMN())),OFFSET($BN$2,0,0,ROW()-1,60),ROW()-1,FALSE))</f>
        <v>219247</v>
      </c>
      <c r="AZ18">
        <f ca="1">IF(AND(ISNUMBER($AZ$224),$B$208=1),$AZ$224,HLOOKUP(INDIRECT(ADDRESS(2,COLUMN())),OFFSET($BN$2,0,0,ROW()-1,60),ROW()-1,FALSE))</f>
        <v>237051</v>
      </c>
      <c r="BA18">
        <f ca="1">IF(AND(ISNUMBER($BA$224),$B$208=1),$BA$224,HLOOKUP(INDIRECT(ADDRESS(2,COLUMN())),OFFSET($BN$2,0,0,ROW()-1,60),ROW()-1,FALSE))</f>
        <v>251014</v>
      </c>
      <c r="BB18">
        <f ca="1">IF(AND(ISNUMBER($BB$224),$B$208=1),$BB$224,HLOOKUP(INDIRECT(ADDRESS(2,COLUMN())),OFFSET($BN$2,0,0,ROW()-1,60),ROW()-1,FALSE))</f>
        <v>254459</v>
      </c>
      <c r="BC18">
        <f ca="1">IF(AND(ISNUMBER($BC$224),$B$208=1),$BC$224,HLOOKUP(INDIRECT(ADDRESS(2,COLUMN())),OFFSET($BN$2,0,0,ROW()-1,60),ROW()-1,FALSE))</f>
        <v>256278</v>
      </c>
      <c r="BD18">
        <f ca="1">IF(AND(ISNUMBER($BD$224),$B$208=1),$BD$224,HLOOKUP(INDIRECT(ADDRESS(2,COLUMN())),OFFSET($BN$2,0,0,ROW()-1,60),ROW()-1,FALSE))</f>
        <v>247848</v>
      </c>
      <c r="BE18">
        <f ca="1">IF(AND(ISNUMBER($BE$224),$B$208=1),$BE$224,HLOOKUP(INDIRECT(ADDRESS(2,COLUMN())),OFFSET($BN$2,0,0,ROW()-1,60),ROW()-1,FALSE))</f>
        <v>258504</v>
      </c>
      <c r="BF18">
        <f ca="1">IF(AND(ISNUMBER($BF$224),$B$208=1),$BF$224,HLOOKUP(INDIRECT(ADDRESS(2,COLUMN())),OFFSET($BN$2,0,0,ROW()-1,60),ROW()-1,FALSE))</f>
        <v>240924</v>
      </c>
      <c r="BG18">
        <f ca="1">IF(AND(ISNUMBER($BG$224),$B$208=1),$BG$224,HLOOKUP(INDIRECT(ADDRESS(2,COLUMN())),OFFSET($BN$2,0,0,ROW()-1,60),ROW()-1,FALSE))</f>
        <v>267219</v>
      </c>
      <c r="BH18">
        <f ca="1">IF(AND(ISNUMBER($BH$224),$B$208=1),$BH$224,HLOOKUP(INDIRECT(ADDRESS(2,COLUMN())),OFFSET($BN$2,0,0,ROW()-1,60),ROW()-1,FALSE))</f>
        <v>289623</v>
      </c>
      <c r="BI18">
        <f ca="1">IF(AND(ISNUMBER($BI$224),$B$208=1),$BI$224,HLOOKUP(INDIRECT(ADDRESS(2,COLUMN())),OFFSET($BN$2,0,0,ROW()-1,60),ROW()-1,FALSE))</f>
        <v>460564</v>
      </c>
      <c r="BJ18">
        <f ca="1">IF(AND(ISNUMBER($BJ$224),$B$208=1),$BJ$224,HLOOKUP(INDIRECT(ADDRESS(2,COLUMN())),OFFSET($BN$2,0,0,ROW()-1,60),ROW()-1,FALSE))</f>
        <v>443217</v>
      </c>
      <c r="BK18">
        <f ca="1">IF(AND(ISNUMBER($BK$224),$B$208=1),$BK$224,HLOOKUP(INDIRECT(ADDRESS(2,COLUMN())),OFFSET($BN$2,0,0,ROW()-1,60),ROW()-1,FALSE))</f>
        <v>274560</v>
      </c>
      <c r="BL18">
        <f ca="1">IF(AND(ISNUMBER($BL$224),$B$208=1),$BL$224,HLOOKUP(INDIRECT(ADDRESS(2,COLUMN())),OFFSET($BN$2,0,0,ROW()-1,60),ROW()-1,FALSE))</f>
        <v>272874</v>
      </c>
      <c r="BM18" t="str">
        <f ca="1">IF(AND(ISNUMBER($BM$224),$B$208=1),$BM$224,HLOOKUP(INDIRECT(ADDRESS(2,COLUMN())),OFFSET($BN$2,0,0,ROW()-1,60),ROW()-1,FALSE))</f>
        <v/>
      </c>
      <c r="BN18">
        <f>139772</f>
        <v>139772</v>
      </c>
      <c r="BO18">
        <f>153664</f>
        <v>153664</v>
      </c>
      <c r="BP18">
        <f>134894</f>
        <v>134894</v>
      </c>
      <c r="BQ18">
        <f>136599</f>
        <v>136599</v>
      </c>
      <c r="BR18">
        <f>125275</f>
        <v>125275</v>
      </c>
      <c r="BS18">
        <f>112602</f>
        <v>112602</v>
      </c>
      <c r="BT18">
        <f>108465</f>
        <v>108465</v>
      </c>
      <c r="BU18">
        <f>110901</f>
        <v>110901</v>
      </c>
      <c r="BV18">
        <f>92867</f>
        <v>92867</v>
      </c>
      <c r="BW18">
        <f>108509</f>
        <v>108509</v>
      </c>
      <c r="BX18">
        <f>103953</f>
        <v>103953</v>
      </c>
      <c r="BY18">
        <f>112493</f>
        <v>112493</v>
      </c>
      <c r="BZ18">
        <f>102396</f>
        <v>102396</v>
      </c>
      <c r="CA18">
        <f>121016</f>
        <v>121016</v>
      </c>
      <c r="CB18">
        <f>112120</f>
        <v>112120</v>
      </c>
      <c r="CC18">
        <f>109830</f>
        <v>109830</v>
      </c>
      <c r="CD18">
        <f>107929</f>
        <v>107929</v>
      </c>
      <c r="CE18">
        <f>119587</f>
        <v>119587</v>
      </c>
      <c r="CF18">
        <f>116959</f>
        <v>116959</v>
      </c>
      <c r="CG18">
        <f>116812</f>
        <v>116812</v>
      </c>
      <c r="CH18">
        <f>110875</f>
        <v>110875</v>
      </c>
      <c r="CI18">
        <f>138786</f>
        <v>138786</v>
      </c>
      <c r="CJ18">
        <f>162608</f>
        <v>162608</v>
      </c>
      <c r="CK18">
        <f>164840</f>
        <v>164840</v>
      </c>
      <c r="CL18">
        <f>152738</f>
        <v>152738</v>
      </c>
      <c r="CM18">
        <f>156295</f>
        <v>156295</v>
      </c>
      <c r="CN18">
        <f>160646</f>
        <v>160646</v>
      </c>
      <c r="CO18">
        <f>173014</f>
        <v>173014</v>
      </c>
      <c r="CP18">
        <f>184661</f>
        <v>184661</v>
      </c>
      <c r="CQ18">
        <f>186716</f>
        <v>186716</v>
      </c>
      <c r="CR18">
        <f>188192</f>
        <v>188192</v>
      </c>
      <c r="CS18">
        <f>189926</f>
        <v>189926</v>
      </c>
      <c r="CT18">
        <f>171044</f>
        <v>171044</v>
      </c>
      <c r="CU18">
        <f>176456</f>
        <v>176456</v>
      </c>
      <c r="CV18">
        <f>178559</f>
        <v>178559</v>
      </c>
      <c r="CW18">
        <f>174947</f>
        <v>174947</v>
      </c>
      <c r="CX18">
        <f>196035</f>
        <v>196035</v>
      </c>
      <c r="CY18">
        <f>196998</f>
        <v>196998</v>
      </c>
      <c r="CZ18">
        <f>206382</f>
        <v>206382</v>
      </c>
      <c r="DA18">
        <f>212185</f>
        <v>212185</v>
      </c>
      <c r="DB18">
        <f>195681</f>
        <v>195681</v>
      </c>
      <c r="DC18">
        <f>196360</f>
        <v>196360</v>
      </c>
      <c r="DD18">
        <f>210991</f>
        <v>210991</v>
      </c>
      <c r="DE18">
        <f>199842</f>
        <v>199842</v>
      </c>
      <c r="DF18">
        <f>210070</f>
        <v>210070</v>
      </c>
      <c r="DG18">
        <f>219247</f>
        <v>219247</v>
      </c>
      <c r="DH18">
        <f>237051</f>
        <v>237051</v>
      </c>
      <c r="DI18">
        <f>251014</f>
        <v>251014</v>
      </c>
      <c r="DJ18">
        <f>254459</f>
        <v>254459</v>
      </c>
      <c r="DK18">
        <f>256278</f>
        <v>256278</v>
      </c>
      <c r="DL18">
        <f>247848</f>
        <v>247848</v>
      </c>
      <c r="DM18">
        <f>258504</f>
        <v>258504</v>
      </c>
      <c r="DN18">
        <f>240924</f>
        <v>240924</v>
      </c>
      <c r="DO18">
        <f>267219</f>
        <v>267219</v>
      </c>
      <c r="DP18">
        <f>289623</f>
        <v>289623</v>
      </c>
      <c r="DQ18">
        <f>460564</f>
        <v>460564</v>
      </c>
      <c r="DR18">
        <f>443217</f>
        <v>443217</v>
      </c>
      <c r="DS18">
        <f>274560</f>
        <v>274560</v>
      </c>
      <c r="DT18">
        <f>272874</f>
        <v>272874</v>
      </c>
      <c r="DU18" t="str">
        <f>""</f>
        <v/>
      </c>
    </row>
    <row r="19" spans="1:125" x14ac:dyDescent="0.25">
      <c r="A19" t="str">
        <f>"    DNB Bank ASA"</f>
        <v xml:space="preserve">    DNB Bank ASA</v>
      </c>
      <c r="B19" t="str">
        <f>"DNB NO Equity"</f>
        <v>DNB NO Equity</v>
      </c>
      <c r="C19" t="str">
        <f t="shared" si="0"/>
        <v>BM105</v>
      </c>
      <c r="D19" t="str">
        <f t="shared" si="1"/>
        <v>BS_TRADING_ASSETS</v>
      </c>
      <c r="E19" t="str">
        <f t="shared" si="2"/>
        <v>Dynamic</v>
      </c>
      <c r="F19" t="str">
        <f ca="1">IF(AND(ISNUMBER($F$225),$B$208=1),$F$225,HLOOKUP(INDIRECT(ADDRESS(2,COLUMN())),OFFSET($BN$2,0,0,ROW()-1,60),ROW()-1,FALSE))</f>
        <v/>
      </c>
      <c r="G19" t="str">
        <f ca="1">IF(AND(ISNUMBER($G$225),$B$208=1),$G$225,HLOOKUP(INDIRECT(ADDRESS(2,COLUMN())),OFFSET($BN$2,0,0,ROW()-1,60),ROW()-1,FALSE))</f>
        <v/>
      </c>
      <c r="H19" t="str">
        <f ca="1">IF(AND(ISNUMBER($H$225),$B$208=1),$H$225,HLOOKUP(INDIRECT(ADDRESS(2,COLUMN())),OFFSET($BN$2,0,0,ROW()-1,60),ROW()-1,FALSE))</f>
        <v/>
      </c>
      <c r="I19" t="str">
        <f ca="1">IF(AND(ISNUMBER($I$225),$B$208=1),$I$225,HLOOKUP(INDIRECT(ADDRESS(2,COLUMN())),OFFSET($BN$2,0,0,ROW()-1,60),ROW()-1,FALSE))</f>
        <v/>
      </c>
      <c r="J19" t="str">
        <f ca="1">IF(AND(ISNUMBER($J$225),$B$208=1),$J$225,HLOOKUP(INDIRECT(ADDRESS(2,COLUMN())),OFFSET($BN$2,0,0,ROW()-1,60),ROW()-1,FALSE))</f>
        <v/>
      </c>
      <c r="K19" t="str">
        <f ca="1">IF(AND(ISNUMBER($K$225),$B$208=1),$K$225,HLOOKUP(INDIRECT(ADDRESS(2,COLUMN())),OFFSET($BN$2,0,0,ROW()-1,60),ROW()-1,FALSE))</f>
        <v/>
      </c>
      <c r="L19" t="str">
        <f ca="1">IF(AND(ISNUMBER($L$225),$B$208=1),$L$225,HLOOKUP(INDIRECT(ADDRESS(2,COLUMN())),OFFSET($BN$2,0,0,ROW()-1,60),ROW()-1,FALSE))</f>
        <v/>
      </c>
      <c r="M19" t="str">
        <f ca="1">IF(AND(ISNUMBER($M$225),$B$208=1),$M$225,HLOOKUP(INDIRECT(ADDRESS(2,COLUMN())),OFFSET($BN$2,0,0,ROW()-1,60),ROW()-1,FALSE))</f>
        <v/>
      </c>
      <c r="N19" t="str">
        <f ca="1">IF(AND(ISNUMBER($N$225),$B$208=1),$N$225,HLOOKUP(INDIRECT(ADDRESS(2,COLUMN())),OFFSET($BN$2,0,0,ROW()-1,60),ROW()-1,FALSE))</f>
        <v/>
      </c>
      <c r="O19" t="str">
        <f ca="1">IF(AND(ISNUMBER($O$225),$B$208=1),$O$225,HLOOKUP(INDIRECT(ADDRESS(2,COLUMN())),OFFSET($BN$2,0,0,ROW()-1,60),ROW()-1,FALSE))</f>
        <v/>
      </c>
      <c r="P19" t="str">
        <f ca="1">IF(AND(ISNUMBER($P$225),$B$208=1),$P$225,HLOOKUP(INDIRECT(ADDRESS(2,COLUMN())),OFFSET($BN$2,0,0,ROW()-1,60),ROW()-1,FALSE))</f>
        <v/>
      </c>
      <c r="Q19" t="str">
        <f ca="1">IF(AND(ISNUMBER($Q$225),$B$208=1),$Q$225,HLOOKUP(INDIRECT(ADDRESS(2,COLUMN())),OFFSET($BN$2,0,0,ROW()-1,60),ROW()-1,FALSE))</f>
        <v/>
      </c>
      <c r="R19" t="str">
        <f ca="1">IF(AND(ISNUMBER($R$225),$B$208=1),$R$225,HLOOKUP(INDIRECT(ADDRESS(2,COLUMN())),OFFSET($BN$2,0,0,ROW()-1,60),ROW()-1,FALSE))</f>
        <v/>
      </c>
      <c r="S19" t="str">
        <f ca="1">IF(AND(ISNUMBER($S$225),$B$208=1),$S$225,HLOOKUP(INDIRECT(ADDRESS(2,COLUMN())),OFFSET($BN$2,0,0,ROW()-1,60),ROW()-1,FALSE))</f>
        <v/>
      </c>
      <c r="T19" t="str">
        <f ca="1">IF(AND(ISNUMBER($T$225),$B$208=1),$T$225,HLOOKUP(INDIRECT(ADDRESS(2,COLUMN())),OFFSET($BN$2,0,0,ROW()-1,60),ROW()-1,FALSE))</f>
        <v/>
      </c>
      <c r="U19" t="str">
        <f ca="1">IF(AND(ISNUMBER($U$225),$B$208=1),$U$225,HLOOKUP(INDIRECT(ADDRESS(2,COLUMN())),OFFSET($BN$2,0,0,ROW()-1,60),ROW()-1,FALSE))</f>
        <v/>
      </c>
      <c r="V19" t="str">
        <f ca="1">IF(AND(ISNUMBER($V$225),$B$208=1),$V$225,HLOOKUP(INDIRECT(ADDRESS(2,COLUMN())),OFFSET($BN$2,0,0,ROW()-1,60),ROW()-1,FALSE))</f>
        <v/>
      </c>
      <c r="W19" t="str">
        <f ca="1">IF(AND(ISNUMBER($W$225),$B$208=1),$W$225,HLOOKUP(INDIRECT(ADDRESS(2,COLUMN())),OFFSET($BN$2,0,0,ROW()-1,60),ROW()-1,FALSE))</f>
        <v/>
      </c>
      <c r="X19" t="str">
        <f ca="1">IF(AND(ISNUMBER($X$225),$B$208=1),$X$225,HLOOKUP(INDIRECT(ADDRESS(2,COLUMN())),OFFSET($BN$2,0,0,ROW()-1,60),ROW()-1,FALSE))</f>
        <v/>
      </c>
      <c r="Y19" t="str">
        <f ca="1">IF(AND(ISNUMBER($Y$225),$B$208=1),$Y$225,HLOOKUP(INDIRECT(ADDRESS(2,COLUMN())),OFFSET($BN$2,0,0,ROW()-1,60),ROW()-1,FALSE))</f>
        <v/>
      </c>
      <c r="Z19" t="str">
        <f ca="1">IF(AND(ISNUMBER($Z$225),$B$208=1),$Z$225,HLOOKUP(INDIRECT(ADDRESS(2,COLUMN())),OFFSET($BN$2,0,0,ROW()-1,60),ROW()-1,FALSE))</f>
        <v/>
      </c>
      <c r="AA19" t="str">
        <f ca="1">IF(AND(ISNUMBER($AA$225),$B$208=1),$AA$225,HLOOKUP(INDIRECT(ADDRESS(2,COLUMN())),OFFSET($BN$2,0,0,ROW()-1,60),ROW()-1,FALSE))</f>
        <v/>
      </c>
      <c r="AB19" t="str">
        <f ca="1">IF(AND(ISNUMBER($AB$225),$B$208=1),$AB$225,HLOOKUP(INDIRECT(ADDRESS(2,COLUMN())),OFFSET($BN$2,0,0,ROW()-1,60),ROW()-1,FALSE))</f>
        <v/>
      </c>
      <c r="AC19" t="str">
        <f ca="1">IF(AND(ISNUMBER($AC$225),$B$208=1),$AC$225,HLOOKUP(INDIRECT(ADDRESS(2,COLUMN())),OFFSET($BN$2,0,0,ROW()-1,60),ROW()-1,FALSE))</f>
        <v/>
      </c>
      <c r="AD19" t="str">
        <f ca="1">IF(AND(ISNUMBER($AD$225),$B$208=1),$AD$225,HLOOKUP(INDIRECT(ADDRESS(2,COLUMN())),OFFSET($BN$2,0,0,ROW()-1,60),ROW()-1,FALSE))</f>
        <v/>
      </c>
      <c r="AE19" t="str">
        <f ca="1">IF(AND(ISNUMBER($AE$225),$B$208=1),$AE$225,HLOOKUP(INDIRECT(ADDRESS(2,COLUMN())),OFFSET($BN$2,0,0,ROW()-1,60),ROW()-1,FALSE))</f>
        <v/>
      </c>
      <c r="AF19" t="str">
        <f ca="1">IF(AND(ISNUMBER($AF$225),$B$208=1),$AF$225,HLOOKUP(INDIRECT(ADDRESS(2,COLUMN())),OFFSET($BN$2,0,0,ROW()-1,60),ROW()-1,FALSE))</f>
        <v/>
      </c>
      <c r="AG19" t="str">
        <f ca="1">IF(AND(ISNUMBER($AG$225),$B$208=1),$AG$225,HLOOKUP(INDIRECT(ADDRESS(2,COLUMN())),OFFSET($BN$2,0,0,ROW()-1,60),ROW()-1,FALSE))</f>
        <v/>
      </c>
      <c r="AH19" t="str">
        <f ca="1">IF(AND(ISNUMBER($AH$225),$B$208=1),$AH$225,HLOOKUP(INDIRECT(ADDRESS(2,COLUMN())),OFFSET($BN$2,0,0,ROW()-1,60),ROW()-1,FALSE))</f>
        <v/>
      </c>
      <c r="AI19" t="str">
        <f ca="1">IF(AND(ISNUMBER($AI$225),$B$208=1),$AI$225,HLOOKUP(INDIRECT(ADDRESS(2,COLUMN())),OFFSET($BN$2,0,0,ROW()-1,60),ROW()-1,FALSE))</f>
        <v/>
      </c>
      <c r="AJ19" t="str">
        <f ca="1">IF(AND(ISNUMBER($AJ$225),$B$208=1),$AJ$225,HLOOKUP(INDIRECT(ADDRESS(2,COLUMN())),OFFSET($BN$2,0,0,ROW()-1,60),ROW()-1,FALSE))</f>
        <v/>
      </c>
      <c r="AK19" t="str">
        <f ca="1">IF(AND(ISNUMBER($AK$225),$B$208=1),$AK$225,HLOOKUP(INDIRECT(ADDRESS(2,COLUMN())),OFFSET($BN$2,0,0,ROW()-1,60),ROW()-1,FALSE))</f>
        <v/>
      </c>
      <c r="AL19" t="str">
        <f ca="1">IF(AND(ISNUMBER($AL$225),$B$208=1),$AL$225,HLOOKUP(INDIRECT(ADDRESS(2,COLUMN())),OFFSET($BN$2,0,0,ROW()-1,60),ROW()-1,FALSE))</f>
        <v/>
      </c>
      <c r="AM19" t="str">
        <f ca="1">IF(AND(ISNUMBER($AM$225),$B$208=1),$AM$225,HLOOKUP(INDIRECT(ADDRESS(2,COLUMN())),OFFSET($BN$2,0,0,ROW()-1,60),ROW()-1,FALSE))</f>
        <v/>
      </c>
      <c r="AN19" t="str">
        <f ca="1">IF(AND(ISNUMBER($AN$225),$B$208=1),$AN$225,HLOOKUP(INDIRECT(ADDRESS(2,COLUMN())),OFFSET($BN$2,0,0,ROW()-1,60),ROW()-1,FALSE))</f>
        <v/>
      </c>
      <c r="AO19" t="str">
        <f ca="1">IF(AND(ISNUMBER($AO$225),$B$208=1),$AO$225,HLOOKUP(INDIRECT(ADDRESS(2,COLUMN())),OFFSET($BN$2,0,0,ROW()-1,60),ROW()-1,FALSE))</f>
        <v/>
      </c>
      <c r="AP19" t="str">
        <f ca="1">IF(AND(ISNUMBER($AP$225),$B$208=1),$AP$225,HLOOKUP(INDIRECT(ADDRESS(2,COLUMN())),OFFSET($BN$2,0,0,ROW()-1,60),ROW()-1,FALSE))</f>
        <v/>
      </c>
      <c r="AQ19" t="str">
        <f ca="1">IF(AND(ISNUMBER($AQ$225),$B$208=1),$AQ$225,HLOOKUP(INDIRECT(ADDRESS(2,COLUMN())),OFFSET($BN$2,0,0,ROW()-1,60),ROW()-1,FALSE))</f>
        <v/>
      </c>
      <c r="AR19" t="str">
        <f ca="1">IF(AND(ISNUMBER($AR$225),$B$208=1),$AR$225,HLOOKUP(INDIRECT(ADDRESS(2,COLUMN())),OFFSET($BN$2,0,0,ROW()-1,60),ROW()-1,FALSE))</f>
        <v/>
      </c>
      <c r="AS19" t="str">
        <f ca="1">IF(AND(ISNUMBER($AS$225),$B$208=1),$AS$225,HLOOKUP(INDIRECT(ADDRESS(2,COLUMN())),OFFSET($BN$2,0,0,ROW()-1,60),ROW()-1,FALSE))</f>
        <v/>
      </c>
      <c r="AT19" t="str">
        <f ca="1">IF(AND(ISNUMBER($AT$225),$B$208=1),$AT$225,HLOOKUP(INDIRECT(ADDRESS(2,COLUMN())),OFFSET($BN$2,0,0,ROW()-1,60),ROW()-1,FALSE))</f>
        <v/>
      </c>
      <c r="AU19" t="str">
        <f ca="1">IF(AND(ISNUMBER($AU$225),$B$208=1),$AU$225,HLOOKUP(INDIRECT(ADDRESS(2,COLUMN())),OFFSET($BN$2,0,0,ROW()-1,60),ROW()-1,FALSE))</f>
        <v/>
      </c>
      <c r="AV19" t="str">
        <f ca="1">IF(AND(ISNUMBER($AV$225),$B$208=1),$AV$225,HLOOKUP(INDIRECT(ADDRESS(2,COLUMN())),OFFSET($BN$2,0,0,ROW()-1,60),ROW()-1,FALSE))</f>
        <v/>
      </c>
      <c r="AW19" t="str">
        <f ca="1">IF(AND(ISNUMBER($AW$225),$B$208=1),$AW$225,HLOOKUP(INDIRECT(ADDRESS(2,COLUMN())),OFFSET($BN$2,0,0,ROW()-1,60),ROW()-1,FALSE))</f>
        <v/>
      </c>
      <c r="AX19" t="str">
        <f ca="1">IF(AND(ISNUMBER($AX$225),$B$208=1),$AX$225,HLOOKUP(INDIRECT(ADDRESS(2,COLUMN())),OFFSET($BN$2,0,0,ROW()-1,60),ROW()-1,FALSE))</f>
        <v/>
      </c>
      <c r="AY19" t="str">
        <f ca="1">IF(AND(ISNUMBER($AY$225),$B$208=1),$AY$225,HLOOKUP(INDIRECT(ADDRESS(2,COLUMN())),OFFSET($BN$2,0,0,ROW()-1,60),ROW()-1,FALSE))</f>
        <v/>
      </c>
      <c r="AZ19" t="str">
        <f ca="1">IF(AND(ISNUMBER($AZ$225),$B$208=1),$AZ$225,HLOOKUP(INDIRECT(ADDRESS(2,COLUMN())),OFFSET($BN$2,0,0,ROW()-1,60),ROW()-1,FALSE))</f>
        <v/>
      </c>
      <c r="BA19" t="str">
        <f ca="1">IF(AND(ISNUMBER($BA$225),$B$208=1),$BA$225,HLOOKUP(INDIRECT(ADDRESS(2,COLUMN())),OFFSET($BN$2,0,0,ROW()-1,60),ROW()-1,FALSE))</f>
        <v/>
      </c>
      <c r="BB19" t="str">
        <f ca="1">IF(AND(ISNUMBER($BB$225),$B$208=1),$BB$225,HLOOKUP(INDIRECT(ADDRESS(2,COLUMN())),OFFSET($BN$2,0,0,ROW()-1,60),ROW()-1,FALSE))</f>
        <v/>
      </c>
      <c r="BC19" t="str">
        <f ca="1">IF(AND(ISNUMBER($BC$225),$B$208=1),$BC$225,HLOOKUP(INDIRECT(ADDRESS(2,COLUMN())),OFFSET($BN$2,0,0,ROW()-1,60),ROW()-1,FALSE))</f>
        <v/>
      </c>
      <c r="BD19" t="str">
        <f ca="1">IF(AND(ISNUMBER($BD$225),$B$208=1),$BD$225,HLOOKUP(INDIRECT(ADDRESS(2,COLUMN())),OFFSET($BN$2,0,0,ROW()-1,60),ROW()-1,FALSE))</f>
        <v/>
      </c>
      <c r="BE19" t="str">
        <f ca="1">IF(AND(ISNUMBER($BE$225),$B$208=1),$BE$225,HLOOKUP(INDIRECT(ADDRESS(2,COLUMN())),OFFSET($BN$2,0,0,ROW()-1,60),ROW()-1,FALSE))</f>
        <v/>
      </c>
      <c r="BF19" t="str">
        <f ca="1">IF(AND(ISNUMBER($BF$225),$B$208=1),$BF$225,HLOOKUP(INDIRECT(ADDRESS(2,COLUMN())),OFFSET($BN$2,0,0,ROW()-1,60),ROW()-1,FALSE))</f>
        <v/>
      </c>
      <c r="BG19" t="str">
        <f ca="1">IF(AND(ISNUMBER($BG$225),$B$208=1),$BG$225,HLOOKUP(INDIRECT(ADDRESS(2,COLUMN())),OFFSET($BN$2,0,0,ROW()-1,60),ROW()-1,FALSE))</f>
        <v/>
      </c>
      <c r="BH19" t="str">
        <f ca="1">IF(AND(ISNUMBER($BH$225),$B$208=1),$BH$225,HLOOKUP(INDIRECT(ADDRESS(2,COLUMN())),OFFSET($BN$2,0,0,ROW()-1,60),ROW()-1,FALSE))</f>
        <v/>
      </c>
      <c r="BI19" t="str">
        <f ca="1">IF(AND(ISNUMBER($BI$225),$B$208=1),$BI$225,HLOOKUP(INDIRECT(ADDRESS(2,COLUMN())),OFFSET($BN$2,0,0,ROW()-1,60),ROW()-1,FALSE))</f>
        <v/>
      </c>
      <c r="BJ19" t="str">
        <f ca="1">IF(AND(ISNUMBER($BJ$225),$B$208=1),$BJ$225,HLOOKUP(INDIRECT(ADDRESS(2,COLUMN())),OFFSET($BN$2,0,0,ROW()-1,60),ROW()-1,FALSE))</f>
        <v/>
      </c>
      <c r="BK19" t="str">
        <f ca="1">IF(AND(ISNUMBER($BK$225),$B$208=1),$BK$225,HLOOKUP(INDIRECT(ADDRESS(2,COLUMN())),OFFSET($BN$2,0,0,ROW()-1,60),ROW()-1,FALSE))</f>
        <v/>
      </c>
      <c r="BL19" t="str">
        <f ca="1">IF(AND(ISNUMBER($BL$225),$B$208=1),$BL$225,HLOOKUP(INDIRECT(ADDRESS(2,COLUMN())),OFFSET($BN$2,0,0,ROW()-1,60),ROW()-1,FALSE))</f>
        <v/>
      </c>
      <c r="BM19" t="str">
        <f ca="1">IF(AND(ISNUMBER($BM$225),$B$208=1),$BM$225,HLOOKUP(INDIRECT(ADDRESS(2,COLUMN())),OFFSET($BN$2,0,0,ROW()-1,60),ROW()-1,FALSE))</f>
        <v/>
      </c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  <c r="BT19" t="str">
        <f>""</f>
        <v/>
      </c>
      <c r="BU19" t="str">
        <f>""</f>
        <v/>
      </c>
      <c r="BV19" t="str">
        <f>""</f>
        <v/>
      </c>
      <c r="BW19" t="str">
        <f>""</f>
        <v/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  <c r="CH19" t="str">
        <f>""</f>
        <v/>
      </c>
      <c r="CI19" t="str">
        <f>""</f>
        <v/>
      </c>
      <c r="CJ19" t="str">
        <f>""</f>
        <v/>
      </c>
      <c r="CK19" t="str">
        <f>""</f>
        <v/>
      </c>
      <c r="CL19" t="str">
        <f>""</f>
        <v/>
      </c>
      <c r="CM19" t="str">
        <f>""</f>
        <v/>
      </c>
      <c r="CN19" t="str">
        <f>""</f>
        <v/>
      </c>
      <c r="CO19" t="str">
        <f>""</f>
        <v/>
      </c>
      <c r="CP19" t="str">
        <f>""</f>
        <v/>
      </c>
      <c r="CQ19" t="str">
        <f>""</f>
        <v/>
      </c>
      <c r="CR19" t="str">
        <f>""</f>
        <v/>
      </c>
      <c r="CS19" t="str">
        <f>""</f>
        <v/>
      </c>
      <c r="CT19" t="str">
        <f>""</f>
        <v/>
      </c>
      <c r="CU19" t="str">
        <f>""</f>
        <v/>
      </c>
      <c r="CV19" t="str">
        <f>""</f>
        <v/>
      </c>
      <c r="CW19" t="str">
        <f>""</f>
        <v/>
      </c>
      <c r="CX19" t="str">
        <f>""</f>
        <v/>
      </c>
      <c r="CY19" t="str">
        <f>""</f>
        <v/>
      </c>
      <c r="CZ19" t="str">
        <f>""</f>
        <v/>
      </c>
      <c r="DA19" t="str">
        <f>""</f>
        <v/>
      </c>
      <c r="DB19" t="str">
        <f>""</f>
        <v/>
      </c>
      <c r="DC19" t="str">
        <f>""</f>
        <v/>
      </c>
      <c r="DD19" t="str">
        <f>""</f>
        <v/>
      </c>
      <c r="DE19" t="str">
        <f>""</f>
        <v/>
      </c>
      <c r="DF19" t="str">
        <f>""</f>
        <v/>
      </c>
      <c r="DG19" t="str">
        <f>""</f>
        <v/>
      </c>
      <c r="DH19" t="str">
        <f>""</f>
        <v/>
      </c>
      <c r="DI19" t="str">
        <f>""</f>
        <v/>
      </c>
      <c r="DJ19" t="str">
        <f>""</f>
        <v/>
      </c>
      <c r="DK19" t="str">
        <f>""</f>
        <v/>
      </c>
      <c r="DL19" t="str">
        <f>""</f>
        <v/>
      </c>
      <c r="DM19" t="str">
        <f>""</f>
        <v/>
      </c>
      <c r="DN19" t="str">
        <f>""</f>
        <v/>
      </c>
      <c r="DO19" t="str">
        <f>""</f>
        <v/>
      </c>
      <c r="DP19" t="str">
        <f>""</f>
        <v/>
      </c>
      <c r="DQ19" t="str">
        <f>""</f>
        <v/>
      </c>
      <c r="DR19" t="str">
        <f>""</f>
        <v/>
      </c>
      <c r="DS19" t="str">
        <f>""</f>
        <v/>
      </c>
      <c r="DT19" t="str">
        <f>""</f>
        <v/>
      </c>
      <c r="DU19" t="str">
        <f>""</f>
        <v/>
      </c>
    </row>
    <row r="20" spans="1:125" x14ac:dyDescent="0.25">
      <c r="A20" t="str">
        <f>"    Danske Bank A/S"</f>
        <v xml:space="preserve">    Danske Bank A/S</v>
      </c>
      <c r="B20" t="str">
        <f>"DANSKE DC Equity"</f>
        <v>DANSKE DC Equity</v>
      </c>
      <c r="C20" t="str">
        <f t="shared" si="0"/>
        <v>BM105</v>
      </c>
      <c r="D20" t="str">
        <f t="shared" si="1"/>
        <v>BS_TRADING_ASSETS</v>
      </c>
      <c r="E20" t="str">
        <f t="shared" si="2"/>
        <v>Dynamic</v>
      </c>
      <c r="F20">
        <f ca="1">IF(AND(ISNUMBER($F$226),$B$208=1),$F$226,HLOOKUP(INDIRECT(ADDRESS(2,COLUMN())),OFFSET($BN$2,0,0,ROW()-1,60),ROW()-1,FALSE))</f>
        <v>71315.019230000005</v>
      </c>
      <c r="G20">
        <f ca="1">IF(AND(ISNUMBER($G$226),$B$208=1),$G$226,HLOOKUP(INDIRECT(ADDRESS(2,COLUMN())),OFFSET($BN$2,0,0,ROW()-1,60),ROW()-1,FALSE))</f>
        <v>68997.153219999993</v>
      </c>
      <c r="H20">
        <f ca="1">IF(AND(ISNUMBER($H$226),$B$208=1),$H$226,HLOOKUP(INDIRECT(ADDRESS(2,COLUMN())),OFFSET($BN$2,0,0,ROW()-1,60),ROW()-1,FALSE))</f>
        <v>66700.062290000002</v>
      </c>
      <c r="I20">
        <f ca="1">IF(AND(ISNUMBER($I$226),$B$208=1),$I$226,HLOOKUP(INDIRECT(ADDRESS(2,COLUMN())),OFFSET($BN$2,0,0,ROW()-1,60),ROW()-1,FALSE))</f>
        <v>65289.502890000003</v>
      </c>
      <c r="J20">
        <f ca="1">IF(AND(ISNUMBER($J$226),$B$208=1),$J$226,HLOOKUP(INDIRECT(ADDRESS(2,COLUMN())),OFFSET($BN$2,0,0,ROW()-1,60),ROW()-1,FALSE))</f>
        <v>73541.46269</v>
      </c>
      <c r="K20">
        <f ca="1">IF(AND(ISNUMBER($K$226),$B$208=1),$K$226,HLOOKUP(INDIRECT(ADDRESS(2,COLUMN())),OFFSET($BN$2,0,0,ROW()-1,60),ROW()-1,FALSE))</f>
        <v>80842.320139999996</v>
      </c>
      <c r="L20">
        <f ca="1">IF(AND(ISNUMBER($L$226),$B$208=1),$L$226,HLOOKUP(INDIRECT(ADDRESS(2,COLUMN())),OFFSET($BN$2,0,0,ROW()-1,60),ROW()-1,FALSE))</f>
        <v>75118.465849999993</v>
      </c>
      <c r="M20">
        <f ca="1">IF(AND(ISNUMBER($M$226),$B$208=1),$M$226,HLOOKUP(INDIRECT(ADDRESS(2,COLUMN())),OFFSET($BN$2,0,0,ROW()-1,60),ROW()-1,FALSE))</f>
        <v>76469.402719999998</v>
      </c>
      <c r="N20">
        <f ca="1">IF(AND(ISNUMBER($N$226),$B$208=1),$N$226,HLOOKUP(INDIRECT(ADDRESS(2,COLUMN())),OFFSET($BN$2,0,0,ROW()-1,60),ROW()-1,FALSE))</f>
        <v>85903.738450000004</v>
      </c>
      <c r="O20">
        <f ca="1">IF(AND(ISNUMBER($O$226),$B$208=1),$O$226,HLOOKUP(INDIRECT(ADDRESS(2,COLUMN())),OFFSET($BN$2,0,0,ROW()-1,60),ROW()-1,FALSE))</f>
        <v>105514.6893</v>
      </c>
      <c r="P20">
        <f ca="1">IF(AND(ISNUMBER($P$226),$B$208=1),$P$226,HLOOKUP(INDIRECT(ADDRESS(2,COLUMN())),OFFSET($BN$2,0,0,ROW()-1,60),ROW()-1,FALSE))</f>
        <v>88910.149969999999</v>
      </c>
      <c r="Q20">
        <f ca="1">IF(AND(ISNUMBER($Q$226),$B$208=1),$Q$226,HLOOKUP(INDIRECT(ADDRESS(2,COLUMN())),OFFSET($BN$2,0,0,ROW()-1,60),ROW()-1,FALSE))</f>
        <v>82891.266300000003</v>
      </c>
      <c r="R20">
        <f ca="1">IF(AND(ISNUMBER($R$226),$B$208=1),$R$226,HLOOKUP(INDIRECT(ADDRESS(2,COLUMN())),OFFSET($BN$2,0,0,ROW()-1,60),ROW()-1,FALSE))</f>
        <v>68525.164220000006</v>
      </c>
      <c r="S20">
        <f ca="1">IF(AND(ISNUMBER($S$226),$B$208=1),$S$226,HLOOKUP(INDIRECT(ADDRESS(2,COLUMN())),OFFSET($BN$2,0,0,ROW()-1,60),ROW()-1,FALSE))</f>
        <v>81791.318299999999</v>
      </c>
      <c r="T20">
        <f ca="1">IF(AND(ISNUMBER($T$226),$B$208=1),$T$226,HLOOKUP(INDIRECT(ADDRESS(2,COLUMN())),OFFSET($BN$2,0,0,ROW()-1,60),ROW()-1,FALSE))</f>
        <v>82368.663769999999</v>
      </c>
      <c r="U20">
        <f ca="1">IF(AND(ISNUMBER($U$226),$B$208=1),$U$226,HLOOKUP(INDIRECT(ADDRESS(2,COLUMN())),OFFSET($BN$2,0,0,ROW()-1,60),ROW()-1,FALSE))</f>
        <v>87732.673379999993</v>
      </c>
      <c r="V20">
        <f ca="1">IF(AND(ISNUMBER($V$226),$B$208=1),$V$226,HLOOKUP(INDIRECT(ADDRESS(2,COLUMN())),OFFSET($BN$2,0,0,ROW()-1,60),ROW()-1,FALSE))</f>
        <v>91775.832620000001</v>
      </c>
      <c r="W20">
        <f ca="1">IF(AND(ISNUMBER($W$226),$B$208=1),$W$226,HLOOKUP(INDIRECT(ADDRESS(2,COLUMN())),OFFSET($BN$2,0,0,ROW()-1,60),ROW()-1,FALSE))</f>
        <v>90587.851739999998</v>
      </c>
      <c r="X20">
        <f ca="1">IF(AND(ISNUMBER($X$226),$B$208=1),$X$226,HLOOKUP(INDIRECT(ADDRESS(2,COLUMN())),OFFSET($BN$2,0,0,ROW()-1,60),ROW()-1,FALSE))</f>
        <v>87973.094389999998</v>
      </c>
      <c r="Y20">
        <f ca="1">IF(AND(ISNUMBER($Y$226),$B$208=1),$Y$226,HLOOKUP(INDIRECT(ADDRESS(2,COLUMN())),OFFSET($BN$2,0,0,ROW()-1,60),ROW()-1,FALSE))</f>
        <v>94663.15797</v>
      </c>
      <c r="Z20">
        <f ca="1">IF(AND(ISNUMBER($Z$226),$B$208=1),$Z$226,HLOOKUP(INDIRECT(ADDRESS(2,COLUMN())),OFFSET($BN$2,0,0,ROW()-1,60),ROW()-1,FALSE))</f>
        <v>66288.280880000006</v>
      </c>
      <c r="AA20">
        <f ca="1">IF(AND(ISNUMBER($AA$226),$B$208=1),$AA$226,HLOOKUP(INDIRECT(ADDRESS(2,COLUMN())),OFFSET($BN$2,0,0,ROW()-1,60),ROW()-1,FALSE))</f>
        <v>81982.352580000006</v>
      </c>
      <c r="AB20">
        <f ca="1">IF(AND(ISNUMBER($AB$226),$B$208=1),$AB$226,HLOOKUP(INDIRECT(ADDRESS(2,COLUMN())),OFFSET($BN$2,0,0,ROW()-1,60),ROW()-1,FALSE))</f>
        <v>71555.662209999995</v>
      </c>
      <c r="AC20">
        <f ca="1">IF(AND(ISNUMBER($AC$226),$B$208=1),$AC$226,HLOOKUP(INDIRECT(ADDRESS(2,COLUMN())),OFFSET($BN$2,0,0,ROW()-1,60),ROW()-1,FALSE))</f>
        <v>62751.14443</v>
      </c>
      <c r="AD20">
        <f ca="1">IF(AND(ISNUMBER($AD$226),$B$208=1),$AD$226,HLOOKUP(INDIRECT(ADDRESS(2,COLUMN())),OFFSET($BN$2,0,0,ROW()-1,60),ROW()-1,FALSE))</f>
        <v>55692.194790000001</v>
      </c>
      <c r="AE20">
        <f ca="1">IF(AND(ISNUMBER($AE$226),$B$208=1),$AE$226,HLOOKUP(INDIRECT(ADDRESS(2,COLUMN())),OFFSET($BN$2,0,0,ROW()-1,60),ROW()-1,FALSE))</f>
        <v>59506.409729999999</v>
      </c>
      <c r="AF20">
        <f ca="1">IF(AND(ISNUMBER($AF$226),$B$208=1),$AF$226,HLOOKUP(INDIRECT(ADDRESS(2,COLUMN())),OFFSET($BN$2,0,0,ROW()-1,60),ROW()-1,FALSE))</f>
        <v>70259.380189999996</v>
      </c>
      <c r="AG20">
        <f ca="1">IF(AND(ISNUMBER($AG$226),$B$208=1),$AG$226,HLOOKUP(INDIRECT(ADDRESS(2,COLUMN())),OFFSET($BN$2,0,0,ROW()-1,60),ROW()-1,FALSE))</f>
        <v>62608.548750000002</v>
      </c>
      <c r="AH20">
        <f ca="1">IF(AND(ISNUMBER($AH$226),$B$208=1),$AH$226,HLOOKUP(INDIRECT(ADDRESS(2,COLUMN())),OFFSET($BN$2,0,0,ROW()-1,60),ROW()-1,FALSE))</f>
        <v>60354.129029999996</v>
      </c>
      <c r="AI20">
        <f ca="1">IF(AND(ISNUMBER($AI$226),$B$208=1),$AI$226,HLOOKUP(INDIRECT(ADDRESS(2,COLUMN())),OFFSET($BN$2,0,0,ROW()-1,60),ROW()-1,FALSE))</f>
        <v>62838.262860000003</v>
      </c>
      <c r="AJ20">
        <f ca="1">IF(AND(ISNUMBER($AJ$226),$B$208=1),$AJ$226,HLOOKUP(INDIRECT(ADDRESS(2,COLUMN())),OFFSET($BN$2,0,0,ROW()-1,60),ROW()-1,FALSE))</f>
        <v>65826.227199999994</v>
      </c>
      <c r="AK20">
        <f ca="1">IF(AND(ISNUMBER($AK$226),$B$208=1),$AK$226,HLOOKUP(INDIRECT(ADDRESS(2,COLUMN())),OFFSET($BN$2,0,0,ROW()-1,60),ROW()-1,FALSE))</f>
        <v>62356.653850000002</v>
      </c>
      <c r="AL20">
        <f ca="1">IF(AND(ISNUMBER($AL$226),$B$208=1),$AL$226,HLOOKUP(INDIRECT(ADDRESS(2,COLUMN())),OFFSET($BN$2,0,0,ROW()-1,60),ROW()-1,FALSE))</f>
        <v>68549.346439999994</v>
      </c>
      <c r="AM20">
        <f ca="1">IF(AND(ISNUMBER($AM$226),$B$208=1),$AM$226,HLOOKUP(INDIRECT(ADDRESS(2,COLUMN())),OFFSET($BN$2,0,0,ROW()-1,60),ROW()-1,FALSE))</f>
        <v>74253.369030000002</v>
      </c>
      <c r="AN20">
        <f ca="1">IF(AND(ISNUMBER($AN$226),$B$208=1),$AN$226,HLOOKUP(INDIRECT(ADDRESS(2,COLUMN())),OFFSET($BN$2,0,0,ROW()-1,60),ROW()-1,FALSE))</f>
        <v>77623.941630000001</v>
      </c>
      <c r="AO20">
        <f ca="1">IF(AND(ISNUMBER($AO$226),$B$208=1),$AO$226,HLOOKUP(INDIRECT(ADDRESS(2,COLUMN())),OFFSET($BN$2,0,0,ROW()-1,60),ROW()-1,FALSE))</f>
        <v>75997.49123</v>
      </c>
      <c r="AP20">
        <f ca="1">IF(AND(ISNUMBER($AP$226),$B$208=1),$AP$226,HLOOKUP(INDIRECT(ADDRESS(2,COLUMN())),OFFSET($BN$2,0,0,ROW()-1,60),ROW()-1,FALSE))</f>
        <v>73296.536640000006</v>
      </c>
      <c r="AQ20">
        <f ca="1">IF(AND(ISNUMBER($AQ$226),$B$208=1),$AQ$226,HLOOKUP(INDIRECT(ADDRESS(2,COLUMN())),OFFSET($BN$2,0,0,ROW()-1,60),ROW()-1,FALSE))</f>
        <v>75004.022630000007</v>
      </c>
      <c r="AR20">
        <f ca="1">IF(AND(ISNUMBER($AR$226),$B$208=1),$AR$226,HLOOKUP(INDIRECT(ADDRESS(2,COLUMN())),OFFSET($BN$2,0,0,ROW()-1,60),ROW()-1,FALSE))</f>
        <v>79989.365489999996</v>
      </c>
      <c r="AS20">
        <f ca="1">IF(AND(ISNUMBER($AS$226),$B$208=1),$AS$226,HLOOKUP(INDIRECT(ADDRESS(2,COLUMN())),OFFSET($BN$2,0,0,ROW()-1,60),ROW()-1,FALSE))</f>
        <v>107093.857</v>
      </c>
      <c r="AT20">
        <f ca="1">IF(AND(ISNUMBER($AT$226),$B$208=1),$AT$226,HLOOKUP(INDIRECT(ADDRESS(2,COLUMN())),OFFSET($BN$2,0,0,ROW()-1,60),ROW()-1,FALSE))</f>
        <v>44734.579700000002</v>
      </c>
      <c r="AU20">
        <f ca="1">IF(AND(ISNUMBER($AU$226),$B$208=1),$AU$226,HLOOKUP(INDIRECT(ADDRESS(2,COLUMN())),OFFSET($BN$2,0,0,ROW()-1,60),ROW()-1,FALSE))</f>
        <v>100901.35739999999</v>
      </c>
      <c r="AV20">
        <f ca="1">IF(AND(ISNUMBER($AV$226),$B$208=1),$AV$226,HLOOKUP(INDIRECT(ADDRESS(2,COLUMN())),OFFSET($BN$2,0,0,ROW()-1,60),ROW()-1,FALSE))</f>
        <v>93421.886689999999</v>
      </c>
      <c r="AW20">
        <f ca="1">IF(AND(ISNUMBER($AW$226),$B$208=1),$AW$226,HLOOKUP(INDIRECT(ADDRESS(2,COLUMN())),OFFSET($BN$2,0,0,ROW()-1,60),ROW()-1,FALSE))</f>
        <v>94687.766449999996</v>
      </c>
      <c r="AX20">
        <f ca="1">IF(AND(ISNUMBER($AX$226),$B$208=1),$AX$226,HLOOKUP(INDIRECT(ADDRESS(2,COLUMN())),OFFSET($BN$2,0,0,ROW()-1,60),ROW()-1,FALSE))</f>
        <v>59810.828970000002</v>
      </c>
      <c r="AY20">
        <f ca="1">IF(AND(ISNUMBER($AY$226),$B$208=1),$AY$226,HLOOKUP(INDIRECT(ADDRESS(2,COLUMN())),OFFSET($BN$2,0,0,ROW()-1,60),ROW()-1,FALSE))</f>
        <v>94865.278359999997</v>
      </c>
      <c r="AZ20">
        <f ca="1">IF(AND(ISNUMBER($AZ$226),$B$208=1),$AZ$226,HLOOKUP(INDIRECT(ADDRESS(2,COLUMN())),OFFSET($BN$2,0,0,ROW()-1,60),ROW()-1,FALSE))</f>
        <v>96722.810129999998</v>
      </c>
      <c r="BA20">
        <f ca="1">IF(AND(ISNUMBER($BA$226),$B$208=1),$BA$226,HLOOKUP(INDIRECT(ADDRESS(2,COLUMN())),OFFSET($BN$2,0,0,ROW()-1,60),ROW()-1,FALSE))</f>
        <v>111558.2873</v>
      </c>
      <c r="BB20">
        <f ca="1">IF(AND(ISNUMBER($BB$226),$B$208=1),$BB$226,HLOOKUP(INDIRECT(ADDRESS(2,COLUMN())),OFFSET($BN$2,0,0,ROW()-1,60),ROW()-1,FALSE))</f>
        <v>54143.218529999998</v>
      </c>
      <c r="BC20">
        <f ca="1">IF(AND(ISNUMBER($BC$226),$B$208=1),$BC$226,HLOOKUP(INDIRECT(ADDRESS(2,COLUMN())),OFFSET($BN$2,0,0,ROW()-1,60),ROW()-1,FALSE))</f>
        <v>124061.66220000001</v>
      </c>
      <c r="BD20">
        <f ca="1">IF(AND(ISNUMBER($BD$226),$B$208=1),$BD$226,HLOOKUP(INDIRECT(ADDRESS(2,COLUMN())),OFFSET($BN$2,0,0,ROW()-1,60),ROW()-1,FALSE))</f>
        <v>116072.3046</v>
      </c>
      <c r="BE20">
        <f ca="1">IF(AND(ISNUMBER($BE$226),$B$208=1),$BE$226,HLOOKUP(INDIRECT(ADDRESS(2,COLUMN())),OFFSET($BN$2,0,0,ROW()-1,60),ROW()-1,FALSE))</f>
        <v>116804.4215</v>
      </c>
      <c r="BF20">
        <f ca="1">IF(AND(ISNUMBER($BF$226),$B$208=1),$BF$226,HLOOKUP(INDIRECT(ADDRESS(2,COLUMN())),OFFSET($BN$2,0,0,ROW()-1,60),ROW()-1,FALSE))</f>
        <v>122388.4948</v>
      </c>
      <c r="BG20">
        <f ca="1">IF(AND(ISNUMBER($BG$226),$B$208=1),$BG$226,HLOOKUP(INDIRECT(ADDRESS(2,COLUMN())),OFFSET($BN$2,0,0,ROW()-1,60),ROW()-1,FALSE))</f>
        <v>122493.94869999999</v>
      </c>
      <c r="BH20">
        <f ca="1">IF(AND(ISNUMBER($BH$226),$B$208=1),$BH$226,HLOOKUP(INDIRECT(ADDRESS(2,COLUMN())),OFFSET($BN$2,0,0,ROW()-1,60),ROW()-1,FALSE))</f>
        <v>86479.704190000004</v>
      </c>
      <c r="BI20">
        <f ca="1">IF(AND(ISNUMBER($BI$226),$B$208=1),$BI$226,HLOOKUP(INDIRECT(ADDRESS(2,COLUMN())),OFFSET($BN$2,0,0,ROW()-1,60),ROW()-1,FALSE))</f>
        <v>84607.234639999995</v>
      </c>
      <c r="BJ20" t="str">
        <f ca="1">IF(AND(ISNUMBER($BJ$226),$B$208=1),$BJ$226,HLOOKUP(INDIRECT(ADDRESS(2,COLUMN())),OFFSET($BN$2,0,0,ROW()-1,60),ROW()-1,FALSE))</f>
        <v/>
      </c>
      <c r="BK20">
        <f ca="1">IF(AND(ISNUMBER($BK$226),$B$208=1),$BK$226,HLOOKUP(INDIRECT(ADDRESS(2,COLUMN())),OFFSET($BN$2,0,0,ROW()-1,60),ROW()-1,FALSE))</f>
        <v>108715.8257</v>
      </c>
      <c r="BL20">
        <f ca="1">IF(AND(ISNUMBER($BL$226),$B$208=1),$BL$226,HLOOKUP(INDIRECT(ADDRESS(2,COLUMN())),OFFSET($BN$2,0,0,ROW()-1,60),ROW()-1,FALSE))</f>
        <v>104170.7743</v>
      </c>
      <c r="BM20">
        <f ca="1">IF(AND(ISNUMBER($BM$226),$B$208=1),$BM$226,HLOOKUP(INDIRECT(ADDRESS(2,COLUMN())),OFFSET($BN$2,0,0,ROW()-1,60),ROW()-1,FALSE))</f>
        <v>89418.470809999999</v>
      </c>
      <c r="BN20">
        <f>71315.01923</f>
        <v>71315.019230000005</v>
      </c>
      <c r="BO20">
        <f>68997.15322</f>
        <v>68997.153219999993</v>
      </c>
      <c r="BP20">
        <f>66700.06229</f>
        <v>66700.062290000002</v>
      </c>
      <c r="BQ20">
        <f>65289.50289</f>
        <v>65289.502890000003</v>
      </c>
      <c r="BR20">
        <f>73541.46269</f>
        <v>73541.46269</v>
      </c>
      <c r="BS20">
        <f>80842.32014</f>
        <v>80842.320139999996</v>
      </c>
      <c r="BT20">
        <f>75118.46585</f>
        <v>75118.465849999993</v>
      </c>
      <c r="BU20">
        <f>76469.40272</f>
        <v>76469.402719999998</v>
      </c>
      <c r="BV20">
        <f>85903.73845</f>
        <v>85903.738450000004</v>
      </c>
      <c r="BW20">
        <f>105514.6893</f>
        <v>105514.6893</v>
      </c>
      <c r="BX20">
        <f>88910.14997</f>
        <v>88910.149969999999</v>
      </c>
      <c r="BY20">
        <f>82891.2663</f>
        <v>82891.266300000003</v>
      </c>
      <c r="BZ20">
        <f>68525.16422</f>
        <v>68525.164220000006</v>
      </c>
      <c r="CA20">
        <f>81791.3183</f>
        <v>81791.318299999999</v>
      </c>
      <c r="CB20">
        <f>82368.66377</f>
        <v>82368.663769999999</v>
      </c>
      <c r="CC20">
        <f>87732.67338</f>
        <v>87732.673379999993</v>
      </c>
      <c r="CD20">
        <f>91775.83262</f>
        <v>91775.832620000001</v>
      </c>
      <c r="CE20">
        <f>90587.85174</f>
        <v>90587.851739999998</v>
      </c>
      <c r="CF20">
        <f>87973.09439</f>
        <v>87973.094389999998</v>
      </c>
      <c r="CG20">
        <f>94663.15797</f>
        <v>94663.15797</v>
      </c>
      <c r="CH20">
        <f>66288.28088</f>
        <v>66288.280880000006</v>
      </c>
      <c r="CI20">
        <f>81982.35258</f>
        <v>81982.352580000006</v>
      </c>
      <c r="CJ20">
        <f>71555.66221</f>
        <v>71555.662209999995</v>
      </c>
      <c r="CK20">
        <f>62751.14443</f>
        <v>62751.14443</v>
      </c>
      <c r="CL20">
        <f>55692.19479</f>
        <v>55692.194790000001</v>
      </c>
      <c r="CM20">
        <f>59506.40973</f>
        <v>59506.409729999999</v>
      </c>
      <c r="CN20">
        <f>70259.38019</f>
        <v>70259.380189999996</v>
      </c>
      <c r="CO20">
        <f>62608.54875</f>
        <v>62608.548750000002</v>
      </c>
      <c r="CP20">
        <f>60354.12903</f>
        <v>60354.129029999996</v>
      </c>
      <c r="CQ20">
        <f>62838.26286</f>
        <v>62838.262860000003</v>
      </c>
      <c r="CR20">
        <f>65826.2272</f>
        <v>65826.227199999994</v>
      </c>
      <c r="CS20">
        <f>62356.65385</f>
        <v>62356.653850000002</v>
      </c>
      <c r="CT20">
        <f>68549.34644</f>
        <v>68549.346439999994</v>
      </c>
      <c r="CU20">
        <f>74253.36903</f>
        <v>74253.369030000002</v>
      </c>
      <c r="CV20">
        <f>77623.94163</f>
        <v>77623.941630000001</v>
      </c>
      <c r="CW20">
        <f>75997.49123</f>
        <v>75997.49123</v>
      </c>
      <c r="CX20">
        <f>73296.53664</f>
        <v>73296.536640000006</v>
      </c>
      <c r="CY20">
        <f>75004.02263</f>
        <v>75004.022630000007</v>
      </c>
      <c r="CZ20">
        <f>79989.36549</f>
        <v>79989.365489999996</v>
      </c>
      <c r="DA20">
        <f>107093.857</f>
        <v>107093.857</v>
      </c>
      <c r="DB20">
        <f>44734.5797</f>
        <v>44734.579700000002</v>
      </c>
      <c r="DC20">
        <f>100901.3574</f>
        <v>100901.35739999999</v>
      </c>
      <c r="DD20">
        <f>93421.88669</f>
        <v>93421.886689999999</v>
      </c>
      <c r="DE20">
        <f>94687.76645</f>
        <v>94687.766449999996</v>
      </c>
      <c r="DF20">
        <f>59810.82897</f>
        <v>59810.828970000002</v>
      </c>
      <c r="DG20">
        <f>94865.27836</f>
        <v>94865.278359999997</v>
      </c>
      <c r="DH20">
        <f>96722.81013</f>
        <v>96722.810129999998</v>
      </c>
      <c r="DI20">
        <f>111558.2873</f>
        <v>111558.2873</v>
      </c>
      <c r="DJ20">
        <f>54143.21853</f>
        <v>54143.218529999998</v>
      </c>
      <c r="DK20">
        <f>124061.6622</f>
        <v>124061.66220000001</v>
      </c>
      <c r="DL20">
        <f>116072.3046</f>
        <v>116072.3046</v>
      </c>
      <c r="DM20">
        <f>116804.4215</f>
        <v>116804.4215</v>
      </c>
      <c r="DN20">
        <f>122388.4948</f>
        <v>122388.4948</v>
      </c>
      <c r="DO20">
        <f>122493.9487</f>
        <v>122493.94869999999</v>
      </c>
      <c r="DP20">
        <f>86479.70419</f>
        <v>86479.704190000004</v>
      </c>
      <c r="DQ20">
        <f>84607.23464</f>
        <v>84607.234639999995</v>
      </c>
      <c r="DR20" t="str">
        <f>""</f>
        <v/>
      </c>
      <c r="DS20">
        <f>108715.8257</f>
        <v>108715.8257</v>
      </c>
      <c r="DT20">
        <f>104170.7743</f>
        <v>104170.7743</v>
      </c>
      <c r="DU20">
        <f>89418.47081</f>
        <v>89418.470809999999</v>
      </c>
    </row>
    <row r="21" spans="1:125" x14ac:dyDescent="0.25">
      <c r="A21" t="str">
        <f>"    Erste Group Bank AG"</f>
        <v xml:space="preserve">    Erste Group Bank AG</v>
      </c>
      <c r="B21" t="str">
        <f>"EBS AV Equity"</f>
        <v>EBS AV Equity</v>
      </c>
      <c r="C21" t="str">
        <f t="shared" si="0"/>
        <v>BM105</v>
      </c>
      <c r="D21" t="str">
        <f t="shared" si="1"/>
        <v>BS_TRADING_ASSETS</v>
      </c>
      <c r="E21" t="str">
        <f t="shared" si="2"/>
        <v>Dynamic</v>
      </c>
      <c r="F21" t="str">
        <f ca="1">IF(AND(ISNUMBER($F$227),$B$208=1),$F$227,HLOOKUP(INDIRECT(ADDRESS(2,COLUMN())),OFFSET($BN$2,0,0,ROW()-1,60),ROW()-1,FALSE))</f>
        <v/>
      </c>
      <c r="G21" t="str">
        <f ca="1">IF(AND(ISNUMBER($G$227),$B$208=1),$G$227,HLOOKUP(INDIRECT(ADDRESS(2,COLUMN())),OFFSET($BN$2,0,0,ROW()-1,60),ROW()-1,FALSE))</f>
        <v/>
      </c>
      <c r="H21" t="str">
        <f ca="1">IF(AND(ISNUMBER($H$227),$B$208=1),$H$227,HLOOKUP(INDIRECT(ADDRESS(2,COLUMN())),OFFSET($BN$2,0,0,ROW()-1,60),ROW()-1,FALSE))</f>
        <v/>
      </c>
      <c r="I21" t="str">
        <f ca="1">IF(AND(ISNUMBER($I$227),$B$208=1),$I$227,HLOOKUP(INDIRECT(ADDRESS(2,COLUMN())),OFFSET($BN$2,0,0,ROW()-1,60),ROW()-1,FALSE))</f>
        <v/>
      </c>
      <c r="J21" t="str">
        <f ca="1">IF(AND(ISNUMBER($J$227),$B$208=1),$J$227,HLOOKUP(INDIRECT(ADDRESS(2,COLUMN())),OFFSET($BN$2,0,0,ROW()-1,60),ROW()-1,FALSE))</f>
        <v/>
      </c>
      <c r="K21" t="str">
        <f ca="1">IF(AND(ISNUMBER($K$227),$B$208=1),$K$227,HLOOKUP(INDIRECT(ADDRESS(2,COLUMN())),OFFSET($BN$2,0,0,ROW()-1,60),ROW()-1,FALSE))</f>
        <v/>
      </c>
      <c r="L21" t="str">
        <f ca="1">IF(AND(ISNUMBER($L$227),$B$208=1),$L$227,HLOOKUP(INDIRECT(ADDRESS(2,COLUMN())),OFFSET($BN$2,0,0,ROW()-1,60),ROW()-1,FALSE))</f>
        <v/>
      </c>
      <c r="M21" t="str">
        <f ca="1">IF(AND(ISNUMBER($M$227),$B$208=1),$M$227,HLOOKUP(INDIRECT(ADDRESS(2,COLUMN())),OFFSET($BN$2,0,0,ROW()-1,60),ROW()-1,FALSE))</f>
        <v/>
      </c>
      <c r="N21">
        <f ca="1">IF(AND(ISNUMBER($N$227),$B$208=1),$N$227,HLOOKUP(INDIRECT(ADDRESS(2,COLUMN())),OFFSET($BN$2,0,0,ROW()-1,60),ROW()-1,FALSE))</f>
        <v>3002.6</v>
      </c>
      <c r="O21" t="str">
        <f ca="1">IF(AND(ISNUMBER($O$227),$B$208=1),$O$227,HLOOKUP(INDIRECT(ADDRESS(2,COLUMN())),OFFSET($BN$2,0,0,ROW()-1,60),ROW()-1,FALSE))</f>
        <v/>
      </c>
      <c r="P21">
        <f ca="1">IF(AND(ISNUMBER($P$227),$B$208=1),$P$227,HLOOKUP(INDIRECT(ADDRESS(2,COLUMN())),OFFSET($BN$2,0,0,ROW()-1,60),ROW()-1,FALSE))</f>
        <v>4176</v>
      </c>
      <c r="Q21">
        <f ca="1">IF(AND(ISNUMBER($Q$227),$B$208=1),$Q$227,HLOOKUP(INDIRECT(ADDRESS(2,COLUMN())),OFFSET($BN$2,0,0,ROW()-1,60),ROW()-1,FALSE))</f>
        <v>4649.9750000000004</v>
      </c>
      <c r="R21" t="str">
        <f ca="1">IF(AND(ISNUMBER($R$227),$B$208=1),$R$227,HLOOKUP(INDIRECT(ADDRESS(2,COLUMN())),OFFSET($BN$2,0,0,ROW()-1,60),ROW()-1,FALSE))</f>
        <v/>
      </c>
      <c r="S21" t="str">
        <f ca="1">IF(AND(ISNUMBER($S$227),$B$208=1),$S$227,HLOOKUP(INDIRECT(ADDRESS(2,COLUMN())),OFFSET($BN$2,0,0,ROW()-1,60),ROW()-1,FALSE))</f>
        <v/>
      </c>
      <c r="T21" t="str">
        <f ca="1">IF(AND(ISNUMBER($T$227),$B$208=1),$T$227,HLOOKUP(INDIRECT(ADDRESS(2,COLUMN())),OFFSET($BN$2,0,0,ROW()-1,60),ROW()-1,FALSE))</f>
        <v/>
      </c>
      <c r="U21" t="str">
        <f ca="1">IF(AND(ISNUMBER($U$227),$B$208=1),$U$227,HLOOKUP(INDIRECT(ADDRESS(2,COLUMN())),OFFSET($BN$2,0,0,ROW()-1,60),ROW()-1,FALSE))</f>
        <v/>
      </c>
      <c r="V21">
        <f ca="1">IF(AND(ISNUMBER($V$227),$B$208=1),$V$227,HLOOKUP(INDIRECT(ADDRESS(2,COLUMN())),OFFSET($BN$2,0,0,ROW()-1,60),ROW()-1,FALSE))</f>
        <v>3401.7</v>
      </c>
      <c r="W21">
        <f ca="1">IF(AND(ISNUMBER($W$227),$B$208=1),$W$227,HLOOKUP(INDIRECT(ADDRESS(2,COLUMN())),OFFSET($BN$2,0,0,ROW()-1,60),ROW()-1,FALSE))</f>
        <v>3394.4479999999999</v>
      </c>
      <c r="X21">
        <f ca="1">IF(AND(ISNUMBER($X$227),$B$208=1),$X$227,HLOOKUP(INDIRECT(ADDRESS(2,COLUMN())),OFFSET($BN$2,0,0,ROW()-1,60),ROW()-1,FALSE))</f>
        <v>3750.8960000000002</v>
      </c>
      <c r="Y21">
        <f ca="1">IF(AND(ISNUMBER($Y$227),$B$208=1),$Y$227,HLOOKUP(INDIRECT(ADDRESS(2,COLUMN())),OFFSET($BN$2,0,0,ROW()-1,60),ROW()-1,FALSE))</f>
        <v>3671.9369999999999</v>
      </c>
      <c r="Z21">
        <f ca="1">IF(AND(ISNUMBER($Z$227),$B$208=1),$Z$227,HLOOKUP(INDIRECT(ADDRESS(2,COLUMN())),OFFSET($BN$2,0,0,ROW()-1,60),ROW()-1,FALSE))</f>
        <v>2954.1550000000002</v>
      </c>
      <c r="AA21">
        <f ca="1">IF(AND(ISNUMBER($AA$227),$B$208=1),$AA$227,HLOOKUP(INDIRECT(ADDRESS(2,COLUMN())),OFFSET($BN$2,0,0,ROW()-1,60),ROW()-1,FALSE))</f>
        <v>3663.74</v>
      </c>
      <c r="AB21">
        <f ca="1">IF(AND(ISNUMBER($AB$227),$B$208=1),$AB$227,HLOOKUP(INDIRECT(ADDRESS(2,COLUMN())),OFFSET($BN$2,0,0,ROW()-1,60),ROW()-1,FALSE))</f>
        <v>3363.37</v>
      </c>
      <c r="AC21" t="str">
        <f ca="1">IF(AND(ISNUMBER($AC$227),$B$208=1),$AC$227,HLOOKUP(INDIRECT(ADDRESS(2,COLUMN())),OFFSET($BN$2,0,0,ROW()-1,60),ROW()-1,FALSE))</f>
        <v/>
      </c>
      <c r="AD21">
        <f ca="1">IF(AND(ISNUMBER($AD$227),$B$208=1),$AD$227,HLOOKUP(INDIRECT(ADDRESS(2,COLUMN())),OFFSET($BN$2,0,0,ROW()-1,60),ROW()-1,FALSE))</f>
        <v>2547.047</v>
      </c>
      <c r="AE21" t="str">
        <f ca="1">IF(AND(ISNUMBER($AE$227),$B$208=1),$AE$227,HLOOKUP(INDIRECT(ADDRESS(2,COLUMN())),OFFSET($BN$2,0,0,ROW()-1,60),ROW()-1,FALSE))</f>
        <v/>
      </c>
      <c r="AF21" t="str">
        <f ca="1">IF(AND(ISNUMBER($AF$227),$B$208=1),$AF$227,HLOOKUP(INDIRECT(ADDRESS(2,COLUMN())),OFFSET($BN$2,0,0,ROW()-1,60),ROW()-1,FALSE))</f>
        <v/>
      </c>
      <c r="AG21" t="str">
        <f ca="1">IF(AND(ISNUMBER($AG$227),$B$208=1),$AG$227,HLOOKUP(INDIRECT(ADDRESS(2,COLUMN())),OFFSET($BN$2,0,0,ROW()-1,60),ROW()-1,FALSE))</f>
        <v/>
      </c>
      <c r="AH21">
        <f ca="1">IF(AND(ISNUMBER($AH$227),$B$208=1),$AH$227,HLOOKUP(INDIRECT(ADDRESS(2,COLUMN())),OFFSET($BN$2,0,0,ROW()-1,60),ROW()-1,FALSE))</f>
        <v>3016.047</v>
      </c>
      <c r="AI21">
        <f ca="1">IF(AND(ISNUMBER($AI$227),$B$208=1),$AI$227,HLOOKUP(INDIRECT(ADDRESS(2,COLUMN())),OFFSET($BN$2,0,0,ROW()-1,60),ROW()-1,FALSE))</f>
        <v>3210.59</v>
      </c>
      <c r="AJ21">
        <f ca="1">IF(AND(ISNUMBER($AJ$227),$B$208=1),$AJ$227,HLOOKUP(INDIRECT(ADDRESS(2,COLUMN())),OFFSET($BN$2,0,0,ROW()-1,60),ROW()-1,FALSE))</f>
        <v>3215.84</v>
      </c>
      <c r="AK21">
        <f ca="1">IF(AND(ISNUMBER($AK$227),$B$208=1),$AK$227,HLOOKUP(INDIRECT(ADDRESS(2,COLUMN())),OFFSET($BN$2,0,0,ROW()-1,60),ROW()-1,FALSE))</f>
        <v>3725.8209999999999</v>
      </c>
      <c r="AL21">
        <f ca="1">IF(AND(ISNUMBER($AL$227),$B$208=1),$AL$227,HLOOKUP(INDIRECT(ADDRESS(2,COLUMN())),OFFSET($BN$2,0,0,ROW()-1,60),ROW()-1,FALSE))</f>
        <v>3475.6179999999999</v>
      </c>
      <c r="AM21">
        <f ca="1">IF(AND(ISNUMBER($AM$227),$B$208=1),$AM$227,HLOOKUP(INDIRECT(ADDRESS(2,COLUMN())),OFFSET($BN$2,0,0,ROW()-1,60),ROW()-1,FALSE))</f>
        <v>4433.2759999999998</v>
      </c>
      <c r="AN21">
        <f ca="1">IF(AND(ISNUMBER($AN$227),$B$208=1),$AN$227,HLOOKUP(INDIRECT(ADDRESS(2,COLUMN())),OFFSET($BN$2,0,0,ROW()-1,60),ROW()-1,FALSE))</f>
        <v>4763.1620000000003</v>
      </c>
      <c r="AO21">
        <f ca="1">IF(AND(ISNUMBER($AO$227),$B$208=1),$AO$227,HLOOKUP(INDIRECT(ADDRESS(2,COLUMN())),OFFSET($BN$2,0,0,ROW()-1,60),ROW()-1,FALSE))</f>
        <v>4291.7659999999996</v>
      </c>
      <c r="AP21">
        <f ca="1">IF(AND(ISNUMBER($AP$227),$B$208=1),$AP$227,HLOOKUP(INDIRECT(ADDRESS(2,COLUMN())),OFFSET($BN$2,0,0,ROW()-1,60),ROW()-1,FALSE))</f>
        <v>3416.2429999999999</v>
      </c>
      <c r="AQ21">
        <f ca="1">IF(AND(ISNUMBER($AQ$227),$B$208=1),$AQ$227,HLOOKUP(INDIRECT(ADDRESS(2,COLUMN())),OFFSET($BN$2,0,0,ROW()-1,60),ROW()-1,FALSE))</f>
        <v>3171.915</v>
      </c>
      <c r="AR21">
        <f ca="1">IF(AND(ISNUMBER($AR$227),$B$208=1),$AR$227,HLOOKUP(INDIRECT(ADDRESS(2,COLUMN())),OFFSET($BN$2,0,0,ROW()-1,60),ROW()-1,FALSE))</f>
        <v>3408.6610000000001</v>
      </c>
      <c r="AS21">
        <f ca="1">IF(AND(ISNUMBER($AS$227),$B$208=1),$AS$227,HLOOKUP(INDIRECT(ADDRESS(2,COLUMN())),OFFSET($BN$2,0,0,ROW()-1,60),ROW()-1,FALSE))</f>
        <v>3737.7710000000002</v>
      </c>
      <c r="AT21">
        <f ca="1">IF(AND(ISNUMBER($AT$227),$B$208=1),$AT$227,HLOOKUP(INDIRECT(ADDRESS(2,COLUMN())),OFFSET($BN$2,0,0,ROW()-1,60),ROW()-1,FALSE))</f>
        <v>3357.498</v>
      </c>
      <c r="AU21">
        <f ca="1">IF(AND(ISNUMBER($AU$227),$B$208=1),$AU$227,HLOOKUP(INDIRECT(ADDRESS(2,COLUMN())),OFFSET($BN$2,0,0,ROW()-1,60),ROW()-1,FALSE))</f>
        <v>4029.748</v>
      </c>
      <c r="AV21">
        <f ca="1">IF(AND(ISNUMBER($AV$227),$B$208=1),$AV$227,HLOOKUP(INDIRECT(ADDRESS(2,COLUMN())),OFFSET($BN$2,0,0,ROW()-1,60),ROW()-1,FALSE))</f>
        <v>6473.7830000000004</v>
      </c>
      <c r="AW21">
        <f ca="1">IF(AND(ISNUMBER($AW$227),$B$208=1),$AW$227,HLOOKUP(INDIRECT(ADDRESS(2,COLUMN())),OFFSET($BN$2,0,0,ROW()-1,60),ROW()-1,FALSE))</f>
        <v>7128.0150000000003</v>
      </c>
      <c r="AX21">
        <f ca="1">IF(AND(ISNUMBER($AX$227),$B$208=1),$AX$227,HLOOKUP(INDIRECT(ADDRESS(2,COLUMN())),OFFSET($BN$2,0,0,ROW()-1,60),ROW()-1,FALSE))</f>
        <v>5940.808</v>
      </c>
      <c r="AY21">
        <f ca="1">IF(AND(ISNUMBER($AY$227),$B$208=1),$AY$227,HLOOKUP(INDIRECT(ADDRESS(2,COLUMN())),OFFSET($BN$2,0,0,ROW()-1,60),ROW()-1,FALSE))</f>
        <v>7289.0129999999999</v>
      </c>
      <c r="AZ21">
        <f ca="1">IF(AND(ISNUMBER($AZ$227),$B$208=1),$AZ$227,HLOOKUP(INDIRECT(ADDRESS(2,COLUMN())),OFFSET($BN$2,0,0,ROW()-1,60),ROW()-1,FALSE))</f>
        <v>7751.3890000000001</v>
      </c>
      <c r="BA21">
        <f ca="1">IF(AND(ISNUMBER($BA$227),$B$208=1),$BA$227,HLOOKUP(INDIRECT(ADDRESS(2,COLUMN())),OFFSET($BN$2,0,0,ROW()-1,60),ROW()-1,FALSE))</f>
        <v>6512</v>
      </c>
      <c r="BB21">
        <f ca="1">IF(AND(ISNUMBER($BB$227),$B$208=1),$BB$227,HLOOKUP(INDIRECT(ADDRESS(2,COLUMN())),OFFSET($BN$2,0,0,ROW()-1,60),ROW()-1,FALSE))</f>
        <v>5177.9840000000004</v>
      </c>
      <c r="BC21">
        <f ca="1">IF(AND(ISNUMBER($BC$227),$B$208=1),$BC$227,HLOOKUP(INDIRECT(ADDRESS(2,COLUMN())),OFFSET($BN$2,0,0,ROW()-1,60),ROW()-1,FALSE))</f>
        <v>5186</v>
      </c>
      <c r="BD21">
        <f ca="1">IF(AND(ISNUMBER($BD$227),$B$208=1),$BD$227,HLOOKUP(INDIRECT(ADDRESS(2,COLUMN())),OFFSET($BN$2,0,0,ROW()-1,60),ROW()-1,FALSE))</f>
        <v>5953</v>
      </c>
      <c r="BE21">
        <f ca="1">IF(AND(ISNUMBER($BE$227),$B$208=1),$BE$227,HLOOKUP(INDIRECT(ADDRESS(2,COLUMN())),OFFSET($BN$2,0,0,ROW()-1,60),ROW()-1,FALSE))</f>
        <v>8116</v>
      </c>
      <c r="BF21">
        <f ca="1">IF(AND(ISNUMBER($BF$227),$B$208=1),$BF$227,HLOOKUP(INDIRECT(ADDRESS(2,COLUMN())),OFFSET($BN$2,0,0,ROW()-1,60),ROW()-1,FALSE))</f>
        <v>5875.8379999999997</v>
      </c>
      <c r="BG21">
        <f ca="1">IF(AND(ISNUMBER($BG$227),$B$208=1),$BG$227,HLOOKUP(INDIRECT(ADDRESS(2,COLUMN())),OFFSET($BN$2,0,0,ROW()-1,60),ROW()-1,FALSE))</f>
        <v>7350</v>
      </c>
      <c r="BH21">
        <f ca="1">IF(AND(ISNUMBER($BH$227),$B$208=1),$BH$227,HLOOKUP(INDIRECT(ADDRESS(2,COLUMN())),OFFSET($BN$2,0,0,ROW()-1,60),ROW()-1,FALSE))</f>
        <v>8357</v>
      </c>
      <c r="BI21">
        <f ca="1">IF(AND(ISNUMBER($BI$227),$B$208=1),$BI$227,HLOOKUP(INDIRECT(ADDRESS(2,COLUMN())),OFFSET($BN$2,0,0,ROW()-1,60),ROW()-1,FALSE))</f>
        <v>7777</v>
      </c>
      <c r="BJ21">
        <f ca="1">IF(AND(ISNUMBER($BJ$227),$B$208=1),$BJ$227,HLOOKUP(INDIRECT(ADDRESS(2,COLUMN())),OFFSET($BN$2,0,0,ROW()-1,60),ROW()-1,FALSE))</f>
        <v>5535.5429999999997</v>
      </c>
      <c r="BK21">
        <f ca="1">IF(AND(ISNUMBER($BK$227),$B$208=1),$BK$227,HLOOKUP(INDIRECT(ADDRESS(2,COLUMN())),OFFSET($BN$2,0,0,ROW()-1,60),ROW()-1,FALSE))</f>
        <v>9731</v>
      </c>
      <c r="BL21">
        <f ca="1">IF(AND(ISNUMBER($BL$227),$B$208=1),$BL$227,HLOOKUP(INDIRECT(ADDRESS(2,COLUMN())),OFFSET($BN$2,0,0,ROW()-1,60),ROW()-1,FALSE))</f>
        <v>8408</v>
      </c>
      <c r="BM21" t="str">
        <f ca="1">IF(AND(ISNUMBER($BM$227),$B$208=1),$BM$227,HLOOKUP(INDIRECT(ADDRESS(2,COLUMN())),OFFSET($BN$2,0,0,ROW()-1,60),ROW()-1,FALSE))</f>
        <v/>
      </c>
      <c r="BN21" t="str">
        <f>""</f>
        <v/>
      </c>
      <c r="BO21" t="str">
        <f>""</f>
        <v/>
      </c>
      <c r="BP21" t="str">
        <f>""</f>
        <v/>
      </c>
      <c r="BQ21" t="str">
        <f>""</f>
        <v/>
      </c>
      <c r="BR21" t="str">
        <f>""</f>
        <v/>
      </c>
      <c r="BS21" t="str">
        <f>""</f>
        <v/>
      </c>
      <c r="BT21" t="str">
        <f>""</f>
        <v/>
      </c>
      <c r="BU21" t="str">
        <f>""</f>
        <v/>
      </c>
      <c r="BV21">
        <f>3002.6</f>
        <v>3002.6</v>
      </c>
      <c r="BW21" t="str">
        <f>""</f>
        <v/>
      </c>
      <c r="BX21">
        <f>4176</f>
        <v>4176</v>
      </c>
      <c r="BY21">
        <f>4649.975</f>
        <v>4649.9750000000004</v>
      </c>
      <c r="BZ21" t="str">
        <f>""</f>
        <v/>
      </c>
      <c r="CA21" t="str">
        <f>""</f>
        <v/>
      </c>
      <c r="CB21" t="str">
        <f>""</f>
        <v/>
      </c>
      <c r="CC21" t="str">
        <f>""</f>
        <v/>
      </c>
      <c r="CD21">
        <f>3401.7</f>
        <v>3401.7</v>
      </c>
      <c r="CE21">
        <f>3394.448</f>
        <v>3394.4479999999999</v>
      </c>
      <c r="CF21">
        <f>3750.896</f>
        <v>3750.8960000000002</v>
      </c>
      <c r="CG21">
        <f>3671.937</f>
        <v>3671.9369999999999</v>
      </c>
      <c r="CH21">
        <f>2954.155</f>
        <v>2954.1550000000002</v>
      </c>
      <c r="CI21">
        <f>3663.74</f>
        <v>3663.74</v>
      </c>
      <c r="CJ21">
        <f>3363.37</f>
        <v>3363.37</v>
      </c>
      <c r="CK21" t="str">
        <f>""</f>
        <v/>
      </c>
      <c r="CL21">
        <f>2547.047</f>
        <v>2547.047</v>
      </c>
      <c r="CM21" t="str">
        <f>""</f>
        <v/>
      </c>
      <c r="CN21" t="str">
        <f>""</f>
        <v/>
      </c>
      <c r="CO21" t="str">
        <f>""</f>
        <v/>
      </c>
      <c r="CP21">
        <f>3016.047</f>
        <v>3016.047</v>
      </c>
      <c r="CQ21">
        <f>3210.59</f>
        <v>3210.59</v>
      </c>
      <c r="CR21">
        <f>3215.84</f>
        <v>3215.84</v>
      </c>
      <c r="CS21">
        <f>3725.821</f>
        <v>3725.8209999999999</v>
      </c>
      <c r="CT21">
        <f>3475.618</f>
        <v>3475.6179999999999</v>
      </c>
      <c r="CU21">
        <f>4433.276</f>
        <v>4433.2759999999998</v>
      </c>
      <c r="CV21">
        <f>4763.162</f>
        <v>4763.1620000000003</v>
      </c>
      <c r="CW21">
        <f>4291.766</f>
        <v>4291.7659999999996</v>
      </c>
      <c r="CX21">
        <f>3416.243</f>
        <v>3416.2429999999999</v>
      </c>
      <c r="CY21">
        <f>3171.915</f>
        <v>3171.915</v>
      </c>
      <c r="CZ21">
        <f>3408.661</f>
        <v>3408.6610000000001</v>
      </c>
      <c r="DA21">
        <f>3737.771</f>
        <v>3737.7710000000002</v>
      </c>
      <c r="DB21">
        <f>3357.498</f>
        <v>3357.498</v>
      </c>
      <c r="DC21">
        <f>4029.748</f>
        <v>4029.748</v>
      </c>
      <c r="DD21">
        <f>6473.783</f>
        <v>6473.7830000000004</v>
      </c>
      <c r="DE21">
        <f>7128.015</f>
        <v>7128.0150000000003</v>
      </c>
      <c r="DF21">
        <f>5940.808</f>
        <v>5940.808</v>
      </c>
      <c r="DG21">
        <f>7289.013</f>
        <v>7289.0129999999999</v>
      </c>
      <c r="DH21">
        <f>7751.389</f>
        <v>7751.3890000000001</v>
      </c>
      <c r="DI21">
        <f>6512</f>
        <v>6512</v>
      </c>
      <c r="DJ21">
        <f>5177.984</f>
        <v>5177.9840000000004</v>
      </c>
      <c r="DK21">
        <f>5186</f>
        <v>5186</v>
      </c>
      <c r="DL21">
        <f>5953</f>
        <v>5953</v>
      </c>
      <c r="DM21">
        <f>8116</f>
        <v>8116</v>
      </c>
      <c r="DN21">
        <f>5875.838</f>
        <v>5875.8379999999997</v>
      </c>
      <c r="DO21">
        <f>7350</f>
        <v>7350</v>
      </c>
      <c r="DP21">
        <f>8357</f>
        <v>8357</v>
      </c>
      <c r="DQ21">
        <f>7777</f>
        <v>7777</v>
      </c>
      <c r="DR21">
        <f>5535.543</f>
        <v>5535.5429999999997</v>
      </c>
      <c r="DS21">
        <f>9731</f>
        <v>9731</v>
      </c>
      <c r="DT21">
        <f>8408</f>
        <v>8408</v>
      </c>
      <c r="DU21" t="str">
        <f>""</f>
        <v/>
      </c>
    </row>
    <row r="22" spans="1:125" x14ac:dyDescent="0.25">
      <c r="A22" t="str">
        <f>"    FinecoBank Banca Fineco SpA"</f>
        <v xml:space="preserve">    FinecoBank Banca Fineco SpA</v>
      </c>
      <c r="B22" t="str">
        <f>"FBK IM Equity"</f>
        <v>FBK IM Equity</v>
      </c>
      <c r="C22" t="str">
        <f t="shared" si="0"/>
        <v>BM105</v>
      </c>
      <c r="D22" t="str">
        <f t="shared" si="1"/>
        <v>BS_TRADING_ASSETS</v>
      </c>
      <c r="E22" t="str">
        <f t="shared" si="2"/>
        <v>Dynamic</v>
      </c>
      <c r="F22">
        <f ca="1">IF(AND(ISNUMBER($F$228),$B$208=1),$F$228,HLOOKUP(INDIRECT(ADDRESS(2,COLUMN())),OFFSET($BN$2,0,0,ROW()-1,60),ROW()-1,FALSE))</f>
        <v>28.539000000000001</v>
      </c>
      <c r="G22">
        <f ca="1">IF(AND(ISNUMBER($G$228),$B$208=1),$G$228,HLOOKUP(INDIRECT(ADDRESS(2,COLUMN())),OFFSET($BN$2,0,0,ROW()-1,60),ROW()-1,FALSE))</f>
        <v>21.364999999999998</v>
      </c>
      <c r="H22">
        <f ca="1">IF(AND(ISNUMBER($H$228),$B$208=1),$H$228,HLOOKUP(INDIRECT(ADDRESS(2,COLUMN())),OFFSET($BN$2,0,0,ROW()-1,60),ROW()-1,FALSE))</f>
        <v>21.213999999999999</v>
      </c>
      <c r="I22">
        <f ca="1">IF(AND(ISNUMBER($I$228),$B$208=1),$I$228,HLOOKUP(INDIRECT(ADDRESS(2,COLUMN())),OFFSET($BN$2,0,0,ROW()-1,60),ROW()-1,FALSE))</f>
        <v>19.456</v>
      </c>
      <c r="J22">
        <f ca="1">IF(AND(ISNUMBER($J$228),$B$208=1),$J$228,HLOOKUP(INDIRECT(ADDRESS(2,COLUMN())),OFFSET($BN$2,0,0,ROW()-1,60),ROW()-1,FALSE))</f>
        <v>14.109</v>
      </c>
      <c r="K22">
        <f ca="1">IF(AND(ISNUMBER($K$228),$B$208=1),$K$228,HLOOKUP(INDIRECT(ADDRESS(2,COLUMN())),OFFSET($BN$2,0,0,ROW()-1,60),ROW()-1,FALSE))</f>
        <v>21.353999999999999</v>
      </c>
      <c r="L22">
        <f ca="1">IF(AND(ISNUMBER($L$228),$B$208=1),$L$228,HLOOKUP(INDIRECT(ADDRESS(2,COLUMN())),OFFSET($BN$2,0,0,ROW()-1,60),ROW()-1,FALSE))</f>
        <v>16.867999999999999</v>
      </c>
      <c r="M22">
        <f ca="1">IF(AND(ISNUMBER($M$228),$B$208=1),$M$228,HLOOKUP(INDIRECT(ADDRESS(2,COLUMN())),OFFSET($BN$2,0,0,ROW()-1,60),ROW()-1,FALSE))</f>
        <v>15.73</v>
      </c>
      <c r="N22">
        <f ca="1">IF(AND(ISNUMBER($N$228),$B$208=1),$N$228,HLOOKUP(INDIRECT(ADDRESS(2,COLUMN())),OFFSET($BN$2,0,0,ROW()-1,60),ROW()-1,FALSE))</f>
        <v>16.925999999999998</v>
      </c>
      <c r="O22">
        <f ca="1">IF(AND(ISNUMBER($O$228),$B$208=1),$O$228,HLOOKUP(INDIRECT(ADDRESS(2,COLUMN())),OFFSET($BN$2,0,0,ROW()-1,60),ROW()-1,FALSE))</f>
        <v>22.285</v>
      </c>
      <c r="P22">
        <f ca="1">IF(AND(ISNUMBER($P$228),$B$208=1),$P$228,HLOOKUP(INDIRECT(ADDRESS(2,COLUMN())),OFFSET($BN$2,0,0,ROW()-1,60),ROW()-1,FALSE))</f>
        <v>20.02</v>
      </c>
      <c r="Q22">
        <f ca="1">IF(AND(ISNUMBER($Q$228),$B$208=1),$Q$228,HLOOKUP(INDIRECT(ADDRESS(2,COLUMN())),OFFSET($BN$2,0,0,ROW()-1,60),ROW()-1,FALSE))</f>
        <v>20.123000000000001</v>
      </c>
      <c r="R22">
        <f ca="1">IF(AND(ISNUMBER($R$228),$B$208=1),$R$228,HLOOKUP(INDIRECT(ADDRESS(2,COLUMN())),OFFSET($BN$2,0,0,ROW()-1,60),ROW()-1,FALSE))</f>
        <v>20.239999999999998</v>
      </c>
      <c r="S22">
        <f ca="1">IF(AND(ISNUMBER($S$228),$B$208=1),$S$228,HLOOKUP(INDIRECT(ADDRESS(2,COLUMN())),OFFSET($BN$2,0,0,ROW()-1,60),ROW()-1,FALSE))</f>
        <v>23.588999999999999</v>
      </c>
      <c r="T22">
        <f ca="1">IF(AND(ISNUMBER($T$228),$B$208=1),$T$228,HLOOKUP(INDIRECT(ADDRESS(2,COLUMN())),OFFSET($BN$2,0,0,ROW()-1,60),ROW()-1,FALSE))</f>
        <v>21.393000000000001</v>
      </c>
      <c r="U22">
        <f ca="1">IF(AND(ISNUMBER($U$228),$B$208=1),$U$228,HLOOKUP(INDIRECT(ADDRESS(2,COLUMN())),OFFSET($BN$2,0,0,ROW()-1,60),ROW()-1,FALSE))</f>
        <v>26.233000000000001</v>
      </c>
      <c r="V22">
        <f ca="1">IF(AND(ISNUMBER($V$228),$B$208=1),$V$228,HLOOKUP(INDIRECT(ADDRESS(2,COLUMN())),OFFSET($BN$2,0,0,ROW()-1,60),ROW()-1,FALSE))</f>
        <v>16.997</v>
      </c>
      <c r="W22">
        <f ca="1">IF(AND(ISNUMBER($W$228),$B$208=1),$W$228,HLOOKUP(INDIRECT(ADDRESS(2,COLUMN())),OFFSET($BN$2,0,0,ROW()-1,60),ROW()-1,FALSE))</f>
        <v>13.146000000000001</v>
      </c>
      <c r="X22">
        <f ca="1">IF(AND(ISNUMBER($X$228),$B$208=1),$X$228,HLOOKUP(INDIRECT(ADDRESS(2,COLUMN())),OFFSET($BN$2,0,0,ROW()-1,60),ROW()-1,FALSE))</f>
        <v>14.590999999999999</v>
      </c>
      <c r="Y22">
        <f ca="1">IF(AND(ISNUMBER($Y$228),$B$208=1),$Y$228,HLOOKUP(INDIRECT(ADDRESS(2,COLUMN())),OFFSET($BN$2,0,0,ROW()-1,60),ROW()-1,FALSE))</f>
        <v>12.888</v>
      </c>
      <c r="Z22">
        <f ca="1">IF(AND(ISNUMBER($Z$228),$B$208=1),$Z$228,HLOOKUP(INDIRECT(ADDRESS(2,COLUMN())),OFFSET($BN$2,0,0,ROW()-1,60),ROW()-1,FALSE))</f>
        <v>7.9329999999999998</v>
      </c>
      <c r="AA22">
        <f ca="1">IF(AND(ISNUMBER($AA$228),$B$208=1),$AA$228,HLOOKUP(INDIRECT(ADDRESS(2,COLUMN())),OFFSET($BN$2,0,0,ROW()-1,60),ROW()-1,FALSE))</f>
        <v>10.592000000000001</v>
      </c>
      <c r="AB22">
        <f ca="1">IF(AND(ISNUMBER($AB$228),$B$208=1),$AB$228,HLOOKUP(INDIRECT(ADDRESS(2,COLUMN())),OFFSET($BN$2,0,0,ROW()-1,60),ROW()-1,FALSE))</f>
        <v>7.4749999999999996</v>
      </c>
      <c r="AC22">
        <f ca="1">IF(AND(ISNUMBER($AC$228),$B$208=1),$AC$228,HLOOKUP(INDIRECT(ADDRESS(2,COLUMN())),OFFSET($BN$2,0,0,ROW()-1,60),ROW()-1,FALSE))</f>
        <v>9.2859999999999996</v>
      </c>
      <c r="AD22">
        <f ca="1">IF(AND(ISNUMBER($AD$228),$B$208=1),$AD$228,HLOOKUP(INDIRECT(ADDRESS(2,COLUMN())),OFFSET($BN$2,0,0,ROW()-1,60),ROW()-1,FALSE))</f>
        <v>6.8760000000000003</v>
      </c>
      <c r="AE22">
        <f ca="1">IF(AND(ISNUMBER($AE$228),$B$208=1),$AE$228,HLOOKUP(INDIRECT(ADDRESS(2,COLUMN())),OFFSET($BN$2,0,0,ROW()-1,60),ROW()-1,FALSE))</f>
        <v>12.253</v>
      </c>
      <c r="AF22">
        <f ca="1">IF(AND(ISNUMBER($AF$228),$B$208=1),$AF$228,HLOOKUP(INDIRECT(ADDRESS(2,COLUMN())),OFFSET($BN$2,0,0,ROW()-1,60),ROW()-1,FALSE))</f>
        <v>10.871</v>
      </c>
      <c r="AG22">
        <f ca="1">IF(AND(ISNUMBER($AG$228),$B$208=1),$AG$228,HLOOKUP(INDIRECT(ADDRESS(2,COLUMN())),OFFSET($BN$2,0,0,ROW()-1,60),ROW()-1,FALSE))</f>
        <v>10.368</v>
      </c>
      <c r="AH22">
        <f ca="1">IF(AND(ISNUMBER($AH$228),$B$208=1),$AH$228,HLOOKUP(INDIRECT(ADDRESS(2,COLUMN())),OFFSET($BN$2,0,0,ROW()-1,60),ROW()-1,FALSE))</f>
        <v>10.878797</v>
      </c>
      <c r="AI22">
        <f ca="1">IF(AND(ISNUMBER($AI$228),$B$208=1),$AI$228,HLOOKUP(INDIRECT(ADDRESS(2,COLUMN())),OFFSET($BN$2,0,0,ROW()-1,60),ROW()-1,FALSE))</f>
        <v>10.538</v>
      </c>
      <c r="AJ22">
        <f ca="1">IF(AND(ISNUMBER($AJ$228),$B$208=1),$AJ$228,HLOOKUP(INDIRECT(ADDRESS(2,COLUMN())),OFFSET($BN$2,0,0,ROW()-1,60),ROW()-1,FALSE))</f>
        <v>9.7912789999999994</v>
      </c>
      <c r="AK22">
        <f ca="1">IF(AND(ISNUMBER($AK$228),$B$208=1),$AK$228,HLOOKUP(INDIRECT(ADDRESS(2,COLUMN())),OFFSET($BN$2,0,0,ROW()-1,60),ROW()-1,FALSE))</f>
        <v>5.7080000000000002</v>
      </c>
      <c r="AL22">
        <f ca="1">IF(AND(ISNUMBER($AL$228),$B$208=1),$AL$228,HLOOKUP(INDIRECT(ADDRESS(2,COLUMN())),OFFSET($BN$2,0,0,ROW()-1,60),ROW()-1,FALSE))</f>
        <v>6.0443809999999996</v>
      </c>
      <c r="AM22">
        <f ca="1">IF(AND(ISNUMBER($AM$228),$B$208=1),$AM$228,HLOOKUP(INDIRECT(ADDRESS(2,COLUMN())),OFFSET($BN$2,0,0,ROW()-1,60),ROW()-1,FALSE))</f>
        <v>5.5469999999999997</v>
      </c>
      <c r="AN22">
        <f ca="1">IF(AND(ISNUMBER($AN$228),$B$208=1),$AN$228,HLOOKUP(INDIRECT(ADDRESS(2,COLUMN())),OFFSET($BN$2,0,0,ROW()-1,60),ROW()-1,FALSE))</f>
        <v>6.8793329999999999</v>
      </c>
      <c r="AO22">
        <f ca="1">IF(AND(ISNUMBER($AO$228),$B$208=1),$AO$228,HLOOKUP(INDIRECT(ADDRESS(2,COLUMN())),OFFSET($BN$2,0,0,ROW()-1,60),ROW()-1,FALSE))</f>
        <v>6.9960000000000004</v>
      </c>
      <c r="AP22">
        <f ca="1">IF(AND(ISNUMBER($AP$228),$B$208=1),$AP$228,HLOOKUP(INDIRECT(ADDRESS(2,COLUMN())),OFFSET($BN$2,0,0,ROW()-1,60),ROW()-1,FALSE))</f>
        <v>3.9831840000000001</v>
      </c>
      <c r="AQ22">
        <f ca="1">IF(AND(ISNUMBER($AQ$228),$B$208=1),$AQ$228,HLOOKUP(INDIRECT(ADDRESS(2,COLUMN())),OFFSET($BN$2,0,0,ROW()-1,60),ROW()-1,FALSE))</f>
        <v>8.6129999999999995</v>
      </c>
      <c r="AR22">
        <f ca="1">IF(AND(ISNUMBER($AR$228),$B$208=1),$AR$228,HLOOKUP(INDIRECT(ADDRESS(2,COLUMN())),OFFSET($BN$2,0,0,ROW()-1,60),ROW()-1,FALSE))</f>
        <v>5.4631379999999998</v>
      </c>
      <c r="AS22">
        <f ca="1">IF(AND(ISNUMBER($AS$228),$B$208=1),$AS$228,HLOOKUP(INDIRECT(ADDRESS(2,COLUMN())),OFFSET($BN$2,0,0,ROW()-1,60),ROW()-1,FALSE))</f>
        <v>5.609</v>
      </c>
      <c r="AT22">
        <f ca="1">IF(AND(ISNUMBER($AT$228),$B$208=1),$AT$228,HLOOKUP(INDIRECT(ADDRESS(2,COLUMN())),OFFSET($BN$2,0,0,ROW()-1,60),ROW()-1,FALSE))</f>
        <v>3.0537070000000002</v>
      </c>
      <c r="AU22">
        <f ca="1">IF(AND(ISNUMBER($AU$228),$B$208=1),$AU$228,HLOOKUP(INDIRECT(ADDRESS(2,COLUMN())),OFFSET($BN$2,0,0,ROW()-1,60),ROW()-1,FALSE))</f>
        <v>4.7075680000000002</v>
      </c>
      <c r="AV22">
        <f ca="1">IF(AND(ISNUMBER($AV$228),$B$208=1),$AV$228,HLOOKUP(INDIRECT(ADDRESS(2,COLUMN())),OFFSET($BN$2,0,0,ROW()-1,60),ROW()-1,FALSE))</f>
        <v>10.406679</v>
      </c>
      <c r="AW22">
        <f ca="1">IF(AND(ISNUMBER($AW$228),$B$208=1),$AW$228,HLOOKUP(INDIRECT(ADDRESS(2,COLUMN())),OFFSET($BN$2,0,0,ROW()-1,60),ROW()-1,FALSE))</f>
        <v>8.4050589999999996</v>
      </c>
      <c r="AX22" t="str">
        <f ca="1">IF(AND(ISNUMBER($AX$228),$B$208=1),$AX$228,HLOOKUP(INDIRECT(ADDRESS(2,COLUMN())),OFFSET($BN$2,0,0,ROW()-1,60),ROW()-1,FALSE))</f>
        <v/>
      </c>
      <c r="AY22" t="str">
        <f ca="1">IF(AND(ISNUMBER($AY$228),$B$208=1),$AY$228,HLOOKUP(INDIRECT(ADDRESS(2,COLUMN())),OFFSET($BN$2,0,0,ROW()-1,60),ROW()-1,FALSE))</f>
        <v/>
      </c>
      <c r="AZ22" t="str">
        <f ca="1">IF(AND(ISNUMBER($AZ$228),$B$208=1),$AZ$228,HLOOKUP(INDIRECT(ADDRESS(2,COLUMN())),OFFSET($BN$2,0,0,ROW()-1,60),ROW()-1,FALSE))</f>
        <v/>
      </c>
      <c r="BA22" t="str">
        <f ca="1">IF(AND(ISNUMBER($BA$228),$B$208=1),$BA$228,HLOOKUP(INDIRECT(ADDRESS(2,COLUMN())),OFFSET($BN$2,0,0,ROW()-1,60),ROW()-1,FALSE))</f>
        <v/>
      </c>
      <c r="BB22" t="str">
        <f ca="1">IF(AND(ISNUMBER($BB$228),$B$208=1),$BB$228,HLOOKUP(INDIRECT(ADDRESS(2,COLUMN())),OFFSET($BN$2,0,0,ROW()-1,60),ROW()-1,FALSE))</f>
        <v/>
      </c>
      <c r="BC22" t="str">
        <f ca="1">IF(AND(ISNUMBER($BC$228),$B$208=1),$BC$228,HLOOKUP(INDIRECT(ADDRESS(2,COLUMN())),OFFSET($BN$2,0,0,ROW()-1,60),ROW()-1,FALSE))</f>
        <v/>
      </c>
      <c r="BD22" t="str">
        <f ca="1">IF(AND(ISNUMBER($BD$228),$B$208=1),$BD$228,HLOOKUP(INDIRECT(ADDRESS(2,COLUMN())),OFFSET($BN$2,0,0,ROW()-1,60),ROW()-1,FALSE))</f>
        <v/>
      </c>
      <c r="BE22" t="str">
        <f ca="1">IF(AND(ISNUMBER($BE$228),$B$208=1),$BE$228,HLOOKUP(INDIRECT(ADDRESS(2,COLUMN())),OFFSET($BN$2,0,0,ROW()-1,60),ROW()-1,FALSE))</f>
        <v/>
      </c>
      <c r="BF22" t="str">
        <f ca="1">IF(AND(ISNUMBER($BF$228),$B$208=1),$BF$228,HLOOKUP(INDIRECT(ADDRESS(2,COLUMN())),OFFSET($BN$2,0,0,ROW()-1,60),ROW()-1,FALSE))</f>
        <v/>
      </c>
      <c r="BG22" t="str">
        <f ca="1">IF(AND(ISNUMBER($BG$228),$B$208=1),$BG$228,HLOOKUP(INDIRECT(ADDRESS(2,COLUMN())),OFFSET($BN$2,0,0,ROW()-1,60),ROW()-1,FALSE))</f>
        <v/>
      </c>
      <c r="BH22" t="str">
        <f ca="1">IF(AND(ISNUMBER($BH$228),$B$208=1),$BH$228,HLOOKUP(INDIRECT(ADDRESS(2,COLUMN())),OFFSET($BN$2,0,0,ROW()-1,60),ROW()-1,FALSE))</f>
        <v/>
      </c>
      <c r="BI22" t="str">
        <f ca="1">IF(AND(ISNUMBER($BI$228),$B$208=1),$BI$228,HLOOKUP(INDIRECT(ADDRESS(2,COLUMN())),OFFSET($BN$2,0,0,ROW()-1,60),ROW()-1,FALSE))</f>
        <v/>
      </c>
      <c r="BJ22" t="str">
        <f ca="1">IF(AND(ISNUMBER($BJ$228),$B$208=1),$BJ$228,HLOOKUP(INDIRECT(ADDRESS(2,COLUMN())),OFFSET($BN$2,0,0,ROW()-1,60),ROW()-1,FALSE))</f>
        <v/>
      </c>
      <c r="BK22" t="str">
        <f ca="1">IF(AND(ISNUMBER($BK$228),$B$208=1),$BK$228,HLOOKUP(INDIRECT(ADDRESS(2,COLUMN())),OFFSET($BN$2,0,0,ROW()-1,60),ROW()-1,FALSE))</f>
        <v/>
      </c>
      <c r="BL22" t="str">
        <f ca="1">IF(AND(ISNUMBER($BL$228),$B$208=1),$BL$228,HLOOKUP(INDIRECT(ADDRESS(2,COLUMN())),OFFSET($BN$2,0,0,ROW()-1,60),ROW()-1,FALSE))</f>
        <v/>
      </c>
      <c r="BM22" t="str">
        <f ca="1">IF(AND(ISNUMBER($BM$228),$B$208=1),$BM$228,HLOOKUP(INDIRECT(ADDRESS(2,COLUMN())),OFFSET($BN$2,0,0,ROW()-1,60),ROW()-1,FALSE))</f>
        <v/>
      </c>
      <c r="BN22">
        <f>28.539</f>
        <v>28.539000000000001</v>
      </c>
      <c r="BO22">
        <f>21.365</f>
        <v>21.364999999999998</v>
      </c>
      <c r="BP22">
        <f>21.214</f>
        <v>21.213999999999999</v>
      </c>
      <c r="BQ22">
        <f>19.456</f>
        <v>19.456</v>
      </c>
      <c r="BR22">
        <f>14.109</f>
        <v>14.109</v>
      </c>
      <c r="BS22">
        <f>21.354</f>
        <v>21.353999999999999</v>
      </c>
      <c r="BT22">
        <f>16.868</f>
        <v>16.867999999999999</v>
      </c>
      <c r="BU22">
        <f>15.73</f>
        <v>15.73</v>
      </c>
      <c r="BV22">
        <f>16.926</f>
        <v>16.925999999999998</v>
      </c>
      <c r="BW22">
        <f>22.285</f>
        <v>22.285</v>
      </c>
      <c r="BX22">
        <f>20.02</f>
        <v>20.02</v>
      </c>
      <c r="BY22">
        <f>20.123</f>
        <v>20.123000000000001</v>
      </c>
      <c r="BZ22">
        <f>20.24</f>
        <v>20.239999999999998</v>
      </c>
      <c r="CA22">
        <f>23.589</f>
        <v>23.588999999999999</v>
      </c>
      <c r="CB22">
        <f>21.393</f>
        <v>21.393000000000001</v>
      </c>
      <c r="CC22">
        <f>26.233</f>
        <v>26.233000000000001</v>
      </c>
      <c r="CD22">
        <f>16.997</f>
        <v>16.997</v>
      </c>
      <c r="CE22">
        <f>13.146</f>
        <v>13.146000000000001</v>
      </c>
      <c r="CF22">
        <f>14.591</f>
        <v>14.590999999999999</v>
      </c>
      <c r="CG22">
        <f>12.888</f>
        <v>12.888</v>
      </c>
      <c r="CH22">
        <f>7.933</f>
        <v>7.9329999999999998</v>
      </c>
      <c r="CI22">
        <f>10.592</f>
        <v>10.592000000000001</v>
      </c>
      <c r="CJ22">
        <f>7.475</f>
        <v>7.4749999999999996</v>
      </c>
      <c r="CK22">
        <f>9.286</f>
        <v>9.2859999999999996</v>
      </c>
      <c r="CL22">
        <f>6.876</f>
        <v>6.8760000000000003</v>
      </c>
      <c r="CM22">
        <f>12.253</f>
        <v>12.253</v>
      </c>
      <c r="CN22">
        <f>10.871</f>
        <v>10.871</v>
      </c>
      <c r="CO22">
        <f>10.368</f>
        <v>10.368</v>
      </c>
      <c r="CP22">
        <f>10.878797</f>
        <v>10.878797</v>
      </c>
      <c r="CQ22">
        <f>10.538</f>
        <v>10.538</v>
      </c>
      <c r="CR22">
        <f>9.791279</f>
        <v>9.7912789999999994</v>
      </c>
      <c r="CS22">
        <f>5.708</f>
        <v>5.7080000000000002</v>
      </c>
      <c r="CT22">
        <f>6.044381</f>
        <v>6.0443809999999996</v>
      </c>
      <c r="CU22">
        <f>5.547</f>
        <v>5.5469999999999997</v>
      </c>
      <c r="CV22">
        <f>6.879333</f>
        <v>6.8793329999999999</v>
      </c>
      <c r="CW22">
        <f>6.996</f>
        <v>6.9960000000000004</v>
      </c>
      <c r="CX22">
        <f>3.983184</f>
        <v>3.9831840000000001</v>
      </c>
      <c r="CY22">
        <f>8.613</f>
        <v>8.6129999999999995</v>
      </c>
      <c r="CZ22">
        <f>5.463138</f>
        <v>5.4631379999999998</v>
      </c>
      <c r="DA22">
        <f>5.609</f>
        <v>5.609</v>
      </c>
      <c r="DB22">
        <f>3.053707</f>
        <v>3.0537070000000002</v>
      </c>
      <c r="DC22">
        <f>4.707568</f>
        <v>4.7075680000000002</v>
      </c>
      <c r="DD22">
        <f>10.406679</f>
        <v>10.406679</v>
      </c>
      <c r="DE22">
        <f>8.405059</f>
        <v>8.4050589999999996</v>
      </c>
      <c r="DF22" t="str">
        <f>""</f>
        <v/>
      </c>
      <c r="DG22" t="str">
        <f>""</f>
        <v/>
      </c>
      <c r="DH22" t="str">
        <f>""</f>
        <v/>
      </c>
      <c r="DI22" t="str">
        <f>""</f>
        <v/>
      </c>
      <c r="DJ22" t="str">
        <f>""</f>
        <v/>
      </c>
      <c r="DK22" t="str">
        <f>""</f>
        <v/>
      </c>
      <c r="DL22" t="str">
        <f>""</f>
        <v/>
      </c>
      <c r="DM22" t="str">
        <f>""</f>
        <v/>
      </c>
      <c r="DN22" t="str">
        <f>""</f>
        <v/>
      </c>
      <c r="DO22" t="str">
        <f>""</f>
        <v/>
      </c>
      <c r="DP22" t="str">
        <f>""</f>
        <v/>
      </c>
      <c r="DQ22" t="str">
        <f>""</f>
        <v/>
      </c>
      <c r="DR22" t="str">
        <f>""</f>
        <v/>
      </c>
      <c r="DS22" t="str">
        <f>""</f>
        <v/>
      </c>
      <c r="DT22" t="str">
        <f>""</f>
        <v/>
      </c>
      <c r="DU22" t="str">
        <f>""</f>
        <v/>
      </c>
    </row>
    <row r="23" spans="1:125" x14ac:dyDescent="0.25">
      <c r="A23" t="str">
        <f>"    HSBC Holdings PLC"</f>
        <v xml:space="preserve">    HSBC Holdings PLC</v>
      </c>
      <c r="B23" t="str">
        <f>"HSBA LN Equity"</f>
        <v>HSBA LN Equity</v>
      </c>
      <c r="C23" t="str">
        <f t="shared" si="0"/>
        <v>BM105</v>
      </c>
      <c r="D23" t="str">
        <f t="shared" si="1"/>
        <v>BS_TRADING_ASSETS</v>
      </c>
      <c r="E23" t="str">
        <f t="shared" si="2"/>
        <v>Dynamic</v>
      </c>
      <c r="F23">
        <f ca="1">IF(AND(ISNUMBER($F$229),$B$208=1),$F$229,HLOOKUP(INDIRECT(ADDRESS(2,COLUMN())),OFFSET($BN$2,0,0,ROW()-1,60),ROW()-1,FALSE))</f>
        <v>304224.56280000001</v>
      </c>
      <c r="G23">
        <f ca="1">IF(AND(ISNUMBER($G$229),$B$208=1),$G$229,HLOOKUP(INDIRECT(ADDRESS(2,COLUMN())),OFFSET($BN$2,0,0,ROW()-1,60),ROW()-1,FALSE))</f>
        <v>313871.5465</v>
      </c>
      <c r="H23">
        <f ca="1">IF(AND(ISNUMBER($H$229),$B$208=1),$H$229,HLOOKUP(INDIRECT(ADDRESS(2,COLUMN())),OFFSET($BN$2,0,0,ROW()-1,60),ROW()-1,FALSE))</f>
        <v>309170.39939999999</v>
      </c>
      <c r="I23">
        <f ca="1">IF(AND(ISNUMBER($I$229),$B$208=1),$I$229,HLOOKUP(INDIRECT(ADDRESS(2,COLUMN())),OFFSET($BN$2,0,0,ROW()-1,60),ROW()-1,FALSE))</f>
        <v>298025.76699999999</v>
      </c>
      <c r="J23">
        <f ca="1">IF(AND(ISNUMBER($J$229),$B$208=1),$J$229,HLOOKUP(INDIRECT(ADDRESS(2,COLUMN())),OFFSET($BN$2,0,0,ROW()-1,60),ROW()-1,FALSE))</f>
        <v>261351.2292</v>
      </c>
      <c r="K23">
        <f ca="1">IF(AND(ISNUMBER($K$229),$B$208=1),$K$229,HLOOKUP(INDIRECT(ADDRESS(2,COLUMN())),OFFSET($BN$2,0,0,ROW()-1,60),ROW()-1,FALSE))</f>
        <v>235572.88709999999</v>
      </c>
      <c r="L23">
        <f ca="1">IF(AND(ISNUMBER($L$229),$B$208=1),$L$229,HLOOKUP(INDIRECT(ADDRESS(2,COLUMN())),OFFSET($BN$2,0,0,ROW()-1,60),ROW()-1,FALSE))</f>
        <v>233913.7205</v>
      </c>
      <c r="M23">
        <f ca="1">IF(AND(ISNUMBER($M$229),$B$208=1),$M$229,HLOOKUP(INDIRECT(ADDRESS(2,COLUMN())),OFFSET($BN$2,0,0,ROW()-1,60),ROW()-1,FALSE))</f>
        <v>210165.60860000001</v>
      </c>
      <c r="N23">
        <f ca="1">IF(AND(ISNUMBER($N$229),$B$208=1),$N$229,HLOOKUP(INDIRECT(ADDRESS(2,COLUMN())),OFFSET($BN$2,0,0,ROW()-1,60),ROW()-1,FALSE))</f>
        <v>203615.90890000001</v>
      </c>
      <c r="O23">
        <f ca="1">IF(AND(ISNUMBER($O$229),$B$208=1),$O$229,HLOOKUP(INDIRECT(ADDRESS(2,COLUMN())),OFFSET($BN$2,0,0,ROW()-1,60),ROW()-1,FALSE))</f>
        <v>206260.4699</v>
      </c>
      <c r="P23">
        <f ca="1">IF(AND(ISNUMBER($P$229),$B$208=1),$P$229,HLOOKUP(INDIRECT(ADDRESS(2,COLUMN())),OFFSET($BN$2,0,0,ROW()-1,60),ROW()-1,FALSE))</f>
        <v>207335.6863</v>
      </c>
      <c r="Q23">
        <f ca="1">IF(AND(ISNUMBER($Q$229),$B$208=1),$Q$229,HLOOKUP(INDIRECT(ADDRESS(2,COLUMN())),OFFSET($BN$2,0,0,ROW()-1,60),ROW()-1,FALSE))</f>
        <v>206469.95129999999</v>
      </c>
      <c r="R23">
        <f ca="1">IF(AND(ISNUMBER($R$229),$B$208=1),$R$229,HLOOKUP(INDIRECT(ADDRESS(2,COLUMN())),OFFSET($BN$2,0,0,ROW()-1,60),ROW()-1,FALSE))</f>
        <v>218550.85190000001</v>
      </c>
      <c r="S23">
        <f ca="1">IF(AND(ISNUMBER($S$229),$B$208=1),$S$229,HLOOKUP(INDIRECT(ADDRESS(2,COLUMN())),OFFSET($BN$2,0,0,ROW()-1,60),ROW()-1,FALSE))</f>
        <v>221565.98389999999</v>
      </c>
      <c r="T23">
        <f ca="1">IF(AND(ISNUMBER($T$229),$B$208=1),$T$229,HLOOKUP(INDIRECT(ADDRESS(2,COLUMN())),OFFSET($BN$2,0,0,ROW()-1,60),ROW()-1,FALSE))</f>
        <v>219638.78810000001</v>
      </c>
      <c r="U23">
        <f ca="1">IF(AND(ISNUMBER($U$229),$B$208=1),$U$229,HLOOKUP(INDIRECT(ADDRESS(2,COLUMN())),OFFSET($BN$2,0,0,ROW()-1,60),ROW()-1,FALSE))</f>
        <v>211941.27660000001</v>
      </c>
      <c r="V23">
        <f ca="1">IF(AND(ISNUMBER($V$229),$B$208=1),$V$229,HLOOKUP(INDIRECT(ADDRESS(2,COLUMN())),OFFSET($BN$2,0,0,ROW()-1,60),ROW()-1,FALSE))</f>
        <v>189766.87119999999</v>
      </c>
      <c r="W23">
        <f ca="1">IF(AND(ISNUMBER($W$229),$B$208=1),$W$229,HLOOKUP(INDIRECT(ADDRESS(2,COLUMN())),OFFSET($BN$2,0,0,ROW()-1,60),ROW()-1,FALSE))</f>
        <v>189690.3259</v>
      </c>
      <c r="X23">
        <f ca="1">IF(AND(ISNUMBER($X$229),$B$208=1),$X$229,HLOOKUP(INDIRECT(ADDRESS(2,COLUMN())),OFFSET($BN$2,0,0,ROW()-1,60),ROW()-1,FALSE))</f>
        <v>185861.42490000001</v>
      </c>
      <c r="Y23">
        <f ca="1">IF(AND(ISNUMBER($Y$229),$B$208=1),$Y$229,HLOOKUP(INDIRECT(ADDRESS(2,COLUMN())),OFFSET($BN$2,0,0,ROW()-1,60),ROW()-1,FALSE))</f>
        <v>196549.0839</v>
      </c>
      <c r="Z23">
        <f ca="1">IF(AND(ISNUMBER($Z$229),$B$208=1),$Z$229,HLOOKUP(INDIRECT(ADDRESS(2,COLUMN())),OFFSET($BN$2,0,0,ROW()-1,60),ROW()-1,FALSE))</f>
        <v>226441.3572</v>
      </c>
      <c r="AA23">
        <f ca="1">IF(AND(ISNUMBER($AA$229),$B$208=1),$AA$229,HLOOKUP(INDIRECT(ADDRESS(2,COLUMN())),OFFSET($BN$2,0,0,ROW()-1,60),ROW()-1,FALSE))</f>
        <v>223704.48499999999</v>
      </c>
      <c r="AB23">
        <f ca="1">IF(AND(ISNUMBER($AB$229),$B$208=1),$AB$229,HLOOKUP(INDIRECT(ADDRESS(2,COLUMN())),OFFSET($BN$2,0,0,ROW()-1,60),ROW()-1,FALSE))</f>
        <v>238950.61180000001</v>
      </c>
      <c r="AC23">
        <f ca="1">IF(AND(ISNUMBER($AC$229),$B$208=1),$AC$229,HLOOKUP(INDIRECT(ADDRESS(2,COLUMN())),OFFSET($BN$2,0,0,ROW()-1,60),ROW()-1,FALSE))</f>
        <v>235642.09959999999</v>
      </c>
      <c r="AD23">
        <f ca="1">IF(AND(ISNUMBER($AD$229),$B$208=1),$AD$229,HLOOKUP(INDIRECT(ADDRESS(2,COLUMN())),OFFSET($BN$2,0,0,ROW()-1,60),ROW()-1,FALSE))</f>
        <v>207937.47820000001</v>
      </c>
      <c r="AE23">
        <f ca="1">IF(AND(ISNUMBER($AE$229),$B$208=1),$AE$229,HLOOKUP(INDIRECT(ADDRESS(2,COLUMN())),OFFSET($BN$2,0,0,ROW()-1,60),ROW()-1,FALSE))</f>
        <v>219118.30549999999</v>
      </c>
      <c r="AF23">
        <f ca="1">IF(AND(ISNUMBER($AF$229),$B$208=1),$AF$229,HLOOKUP(INDIRECT(ADDRESS(2,COLUMN())),OFFSET($BN$2,0,0,ROW()-1,60),ROW()-1,FALSE))</f>
        <v>212290.82810000001</v>
      </c>
      <c r="AG23">
        <f ca="1">IF(AND(ISNUMBER($AG$229),$B$208=1),$AG$229,HLOOKUP(INDIRECT(ADDRESS(2,COLUMN())),OFFSET($BN$2,0,0,ROW()-1,60),ROW()-1,FALSE))</f>
        <v>224804.08859999999</v>
      </c>
      <c r="AH23">
        <f ca="1">IF(AND(ISNUMBER($AH$229),$B$208=1),$AH$229,HLOOKUP(INDIRECT(ADDRESS(2,COLUMN())),OFFSET($BN$2,0,0,ROW()-1,60),ROW()-1,FALSE))</f>
        <v>239556.64610000001</v>
      </c>
      <c r="AI23">
        <f ca="1">IF(AND(ISNUMBER($AI$229),$B$208=1),$AI$229,HLOOKUP(INDIRECT(ADDRESS(2,COLUMN())),OFFSET($BN$2,0,0,ROW()-1,60),ROW()-1,FALSE))</f>
        <v>283218.67320000002</v>
      </c>
      <c r="AJ23">
        <f ca="1">IF(AND(ISNUMBER($AJ$229),$B$208=1),$AJ$229,HLOOKUP(INDIRECT(ADDRESS(2,COLUMN())),OFFSET($BN$2,0,0,ROW()-1,60),ROW()-1,FALSE))</f>
        <v>280414.43969999999</v>
      </c>
      <c r="AK23">
        <f ca="1">IF(AND(ISNUMBER($AK$229),$B$208=1),$AK$229,HLOOKUP(INDIRECT(ADDRESS(2,COLUMN())),OFFSET($BN$2,0,0,ROW()-1,60),ROW()-1,FALSE))</f>
        <v>275393.10090000002</v>
      </c>
      <c r="AL23">
        <f ca="1">IF(AND(ISNUMBER($AL$229),$B$208=1),$AL$229,HLOOKUP(INDIRECT(ADDRESS(2,COLUMN())),OFFSET($BN$2,0,0,ROW()-1,60),ROW()-1,FALSE))</f>
        <v>222930.6912</v>
      </c>
      <c r="AM23">
        <f ca="1">IF(AND(ISNUMBER($AM$229),$B$208=1),$AM$229,HLOOKUP(INDIRECT(ADDRESS(2,COLUMN())),OFFSET($BN$2,0,0,ROW()-1,60),ROW()-1,FALSE))</f>
        <v>261180.08549999999</v>
      </c>
      <c r="AN23">
        <f ca="1">IF(AND(ISNUMBER($AN$229),$B$208=1),$AN$229,HLOOKUP(INDIRECT(ADDRESS(2,COLUMN())),OFFSET($BN$2,0,0,ROW()-1,60),ROW()-1,FALSE))</f>
        <v>253133.7488</v>
      </c>
      <c r="AO23">
        <f ca="1">IF(AND(ISNUMBER($AO$229),$B$208=1),$AO$229,HLOOKUP(INDIRECT(ADDRESS(2,COLUMN())),OFFSET($BN$2,0,0,ROW()-1,60),ROW()-1,FALSE))</f>
        <v>236307.00289999999</v>
      </c>
      <c r="AP23">
        <f ca="1">IF(AND(ISNUMBER($AP$229),$B$208=1),$AP$229,HLOOKUP(INDIRECT(ADDRESS(2,COLUMN())),OFFSET($BN$2,0,0,ROW()-1,60),ROW()-1,FALSE))</f>
        <v>206917.90909999999</v>
      </c>
      <c r="AQ23">
        <f ca="1">IF(AND(ISNUMBER($AQ$229),$B$208=1),$AQ$229,HLOOKUP(INDIRECT(ADDRESS(2,COLUMN())),OFFSET($BN$2,0,0,ROW()-1,60),ROW()-1,FALSE))</f>
        <v>236637.45300000001</v>
      </c>
      <c r="AR23">
        <f ca="1">IF(AND(ISNUMBER($AR$229),$B$208=1),$AR$229,HLOOKUP(INDIRECT(ADDRESS(2,COLUMN())),OFFSET($BN$2,0,0,ROW()-1,60),ROW()-1,FALSE))</f>
        <v>253867.12100000001</v>
      </c>
      <c r="AS23">
        <f ca="1">IF(AND(ISNUMBER($AS$229),$B$208=1),$AS$229,HLOOKUP(INDIRECT(ADDRESS(2,COLUMN())),OFFSET($BN$2,0,0,ROW()-1,60),ROW()-1,FALSE))</f>
        <v>311578.11330000003</v>
      </c>
      <c r="AT23">
        <f ca="1">IF(AND(ISNUMBER($AT$229),$B$208=1),$AT$229,HLOOKUP(INDIRECT(ADDRESS(2,COLUMN())),OFFSET($BN$2,0,0,ROW()-1,60),ROW()-1,FALSE))</f>
        <v>251399.17360000001</v>
      </c>
      <c r="AU23">
        <f ca="1">IF(AND(ISNUMBER($AU$229),$B$208=1),$AU$229,HLOOKUP(INDIRECT(ADDRESS(2,COLUMN())),OFFSET($BN$2,0,0,ROW()-1,60),ROW()-1,FALSE))</f>
        <v>262603.53159999999</v>
      </c>
      <c r="AV23">
        <f ca="1">IF(AND(ISNUMBER($AV$229),$B$208=1),$AV$229,HLOOKUP(INDIRECT(ADDRESS(2,COLUMN())),OFFSET($BN$2,0,0,ROW()-1,60),ROW()-1,FALSE))</f>
        <v>253547.11470000001</v>
      </c>
      <c r="AW23">
        <f ca="1">IF(AND(ISNUMBER($AW$229),$B$208=1),$AW$229,HLOOKUP(INDIRECT(ADDRESS(2,COLUMN())),OFFSET($BN$2,0,0,ROW()-1,60),ROW()-1,FALSE))</f>
        <v>257909.52660000001</v>
      </c>
      <c r="AX23">
        <f ca="1">IF(AND(ISNUMBER($AX$229),$B$208=1),$AX$229,HLOOKUP(INDIRECT(ADDRESS(2,COLUMN())),OFFSET($BN$2,0,0,ROW()-1,60),ROW()-1,FALSE))</f>
        <v>219879.61420000001</v>
      </c>
      <c r="AY23">
        <f ca="1">IF(AND(ISNUMBER($AY$229),$B$208=1),$AY$229,HLOOKUP(INDIRECT(ADDRESS(2,COLUMN())),OFFSET($BN$2,0,0,ROW()-1,60),ROW()-1,FALSE))</f>
        <v>331645.11119999998</v>
      </c>
      <c r="AZ23">
        <f ca="1">IF(AND(ISNUMBER($AZ$229),$B$208=1),$AZ$229,HLOOKUP(INDIRECT(ADDRESS(2,COLUMN())),OFFSET($BN$2,0,0,ROW()-1,60),ROW()-1,FALSE))</f>
        <v>332642.06069999997</v>
      </c>
      <c r="BA23">
        <f ca="1">IF(AND(ISNUMBER($BA$229),$B$208=1),$BA$229,HLOOKUP(INDIRECT(ADDRESS(2,COLUMN())),OFFSET($BN$2,0,0,ROW()-1,60),ROW()-1,FALSE))</f>
        <v>342330.91499999998</v>
      </c>
      <c r="BB23">
        <f ca="1">IF(AND(ISNUMBER($BB$229),$B$208=1),$BB$229,HLOOKUP(INDIRECT(ADDRESS(2,COLUMN())),OFFSET($BN$2,0,0,ROW()-1,60),ROW()-1,FALSE))</f>
        <v>309775.70659999998</v>
      </c>
      <c r="BC23">
        <f ca="1">IF(AND(ISNUMBER($BC$229),$B$208=1),$BC$229,HLOOKUP(INDIRECT(ADDRESS(2,COLUMN())),OFFSET($BN$2,0,0,ROW()-1,60),ROW()-1,FALSE))</f>
        <v>328395.4644</v>
      </c>
      <c r="BD23">
        <f ca="1">IF(AND(ISNUMBER($BD$229),$B$208=1),$BD$229,HLOOKUP(INDIRECT(ADDRESS(2,COLUMN())),OFFSET($BN$2,0,0,ROW()-1,60),ROW()-1,FALSE))</f>
        <v>309359.73440000002</v>
      </c>
      <c r="BE23">
        <f ca="1">IF(AND(ISNUMBER($BE$229),$B$208=1),$BE$229,HLOOKUP(INDIRECT(ADDRESS(2,COLUMN())),OFFSET($BN$2,0,0,ROW()-1,60),ROW()-1,FALSE))</f>
        <v>290763.57640000002</v>
      </c>
      <c r="BF23">
        <f ca="1">IF(AND(ISNUMBER($BF$229),$B$208=1),$BF$229,HLOOKUP(INDIRECT(ADDRESS(2,COLUMN())),OFFSET($BN$2,0,0,ROW()-1,60),ROW()-1,FALSE))</f>
        <v>254977.62349999999</v>
      </c>
      <c r="BG23">
        <f ca="1">IF(AND(ISNUMBER($BG$229),$B$208=1),$BG$229,HLOOKUP(INDIRECT(ADDRESS(2,COLUMN())),OFFSET($BN$2,0,0,ROW()-1,60),ROW()-1,FALSE))</f>
        <v>309034.12890000001</v>
      </c>
      <c r="BH23">
        <f ca="1">IF(AND(ISNUMBER($BH$229),$B$208=1),$BH$229,HLOOKUP(INDIRECT(ADDRESS(2,COLUMN())),OFFSET($BN$2,0,0,ROW()-1,60),ROW()-1,FALSE))</f>
        <v>327325.98210000002</v>
      </c>
      <c r="BI23">
        <f ca="1">IF(AND(ISNUMBER($BI$229),$B$208=1),$BI$229,HLOOKUP(INDIRECT(ADDRESS(2,COLUMN())),OFFSET($BN$2,0,0,ROW()-1,60),ROW()-1,FALSE))</f>
        <v>329247.35729999997</v>
      </c>
      <c r="BJ23">
        <f ca="1">IF(AND(ISNUMBER($BJ$229),$B$208=1),$BJ$229,HLOOKUP(INDIRECT(ADDRESS(2,COLUMN())),OFFSET($BN$2,0,0,ROW()-1,60),ROW()-1,FALSE))</f>
        <v>288083.19620000001</v>
      </c>
      <c r="BK23" t="str">
        <f ca="1">IF(AND(ISNUMBER($BK$229),$B$208=1),$BK$229,HLOOKUP(INDIRECT(ADDRESS(2,COLUMN())),OFFSET($BN$2,0,0,ROW()-1,60),ROW()-1,FALSE))</f>
        <v/>
      </c>
      <c r="BL23">
        <f ca="1">IF(AND(ISNUMBER($BL$229),$B$208=1),$BL$229,HLOOKUP(INDIRECT(ADDRESS(2,COLUMN())),OFFSET($BN$2,0,0,ROW()-1,60),ROW()-1,FALSE))</f>
        <v>329444.39909999998</v>
      </c>
      <c r="BM23" t="str">
        <f ca="1">IF(AND(ISNUMBER($BM$229),$B$208=1),$BM$229,HLOOKUP(INDIRECT(ADDRESS(2,COLUMN())),OFFSET($BN$2,0,0,ROW()-1,60),ROW()-1,FALSE))</f>
        <v/>
      </c>
      <c r="BN23">
        <f>304224.5628</f>
        <v>304224.56280000001</v>
      </c>
      <c r="BO23">
        <f>313871.5465</f>
        <v>313871.5465</v>
      </c>
      <c r="BP23">
        <f>309170.3994</f>
        <v>309170.39939999999</v>
      </c>
      <c r="BQ23">
        <f>298025.767</f>
        <v>298025.76699999999</v>
      </c>
      <c r="BR23">
        <f>261351.2292</f>
        <v>261351.2292</v>
      </c>
      <c r="BS23">
        <f>235572.8871</f>
        <v>235572.88709999999</v>
      </c>
      <c r="BT23">
        <f>233913.7205</f>
        <v>233913.7205</v>
      </c>
      <c r="BU23">
        <f>210165.6086</f>
        <v>210165.60860000001</v>
      </c>
      <c r="BV23">
        <f>203615.9089</f>
        <v>203615.90890000001</v>
      </c>
      <c r="BW23">
        <f>206260.4699</f>
        <v>206260.4699</v>
      </c>
      <c r="BX23">
        <f>207335.6863</f>
        <v>207335.6863</v>
      </c>
      <c r="BY23">
        <f>206469.9513</f>
        <v>206469.95129999999</v>
      </c>
      <c r="BZ23">
        <f>218550.8519</f>
        <v>218550.85190000001</v>
      </c>
      <c r="CA23">
        <f>221565.9839</f>
        <v>221565.98389999999</v>
      </c>
      <c r="CB23">
        <f>219638.7881</f>
        <v>219638.78810000001</v>
      </c>
      <c r="CC23">
        <f>211941.2766</f>
        <v>211941.27660000001</v>
      </c>
      <c r="CD23">
        <f>189766.8712</f>
        <v>189766.87119999999</v>
      </c>
      <c r="CE23">
        <f>189690.3259</f>
        <v>189690.3259</v>
      </c>
      <c r="CF23">
        <f>185861.4249</f>
        <v>185861.42490000001</v>
      </c>
      <c r="CG23">
        <f>196549.0839</f>
        <v>196549.0839</v>
      </c>
      <c r="CH23">
        <f>226441.3572</f>
        <v>226441.3572</v>
      </c>
      <c r="CI23">
        <f>223704.485</f>
        <v>223704.48499999999</v>
      </c>
      <c r="CJ23">
        <f>238950.6118</f>
        <v>238950.61180000001</v>
      </c>
      <c r="CK23">
        <f>235642.0996</f>
        <v>235642.09959999999</v>
      </c>
      <c r="CL23">
        <f>207937.4782</f>
        <v>207937.47820000001</v>
      </c>
      <c r="CM23">
        <f>219118.3055</f>
        <v>219118.30549999999</v>
      </c>
      <c r="CN23">
        <f>212290.8281</f>
        <v>212290.82810000001</v>
      </c>
      <c r="CO23">
        <f>224804.0886</f>
        <v>224804.08859999999</v>
      </c>
      <c r="CP23">
        <f>239556.6461</f>
        <v>239556.64610000001</v>
      </c>
      <c r="CQ23">
        <f>283218.6732</f>
        <v>283218.67320000002</v>
      </c>
      <c r="CR23">
        <f>280414.4397</f>
        <v>280414.43969999999</v>
      </c>
      <c r="CS23">
        <f>275393.1009</f>
        <v>275393.10090000002</v>
      </c>
      <c r="CT23">
        <f>222930.6912</f>
        <v>222930.6912</v>
      </c>
      <c r="CU23">
        <f>261180.0855</f>
        <v>261180.08549999999</v>
      </c>
      <c r="CV23">
        <f>253133.7488</f>
        <v>253133.7488</v>
      </c>
      <c r="CW23">
        <f>236307.0029</f>
        <v>236307.00289999999</v>
      </c>
      <c r="CX23">
        <f>206917.9091</f>
        <v>206917.90909999999</v>
      </c>
      <c r="CY23">
        <f>236637.453</f>
        <v>236637.45300000001</v>
      </c>
      <c r="CZ23">
        <f>253867.121</f>
        <v>253867.12100000001</v>
      </c>
      <c r="DA23">
        <f>311578.1133</f>
        <v>311578.11330000003</v>
      </c>
      <c r="DB23">
        <f>251399.1736</f>
        <v>251399.17360000001</v>
      </c>
      <c r="DC23">
        <f>262603.5316</f>
        <v>262603.53159999999</v>
      </c>
      <c r="DD23">
        <f>253547.1147</f>
        <v>253547.11470000001</v>
      </c>
      <c r="DE23">
        <f>257909.5266</f>
        <v>257909.52660000001</v>
      </c>
      <c r="DF23">
        <f>219879.6142</f>
        <v>219879.61420000001</v>
      </c>
      <c r="DG23">
        <f>331645.1112</f>
        <v>331645.11119999998</v>
      </c>
      <c r="DH23">
        <f>332642.0607</f>
        <v>332642.06069999997</v>
      </c>
      <c r="DI23">
        <f>342330.915</f>
        <v>342330.91499999998</v>
      </c>
      <c r="DJ23">
        <f>309775.7066</f>
        <v>309775.70659999998</v>
      </c>
      <c r="DK23">
        <f>328395.4644</f>
        <v>328395.4644</v>
      </c>
      <c r="DL23">
        <f>309359.7344</f>
        <v>309359.73440000002</v>
      </c>
      <c r="DM23">
        <f>290763.5764</f>
        <v>290763.57640000002</v>
      </c>
      <c r="DN23">
        <f>254977.6235</f>
        <v>254977.62349999999</v>
      </c>
      <c r="DO23">
        <f>309034.1289</f>
        <v>309034.12890000001</v>
      </c>
      <c r="DP23">
        <f>327325.9821</f>
        <v>327325.98210000002</v>
      </c>
      <c r="DQ23">
        <f>329247.3573</f>
        <v>329247.35729999997</v>
      </c>
      <c r="DR23">
        <f>288083.1962</f>
        <v>288083.19620000001</v>
      </c>
      <c r="DS23" t="str">
        <f>""</f>
        <v/>
      </c>
      <c r="DT23">
        <f>329444.3991</f>
        <v>329444.39909999998</v>
      </c>
      <c r="DU23" t="str">
        <f>""</f>
        <v/>
      </c>
    </row>
    <row r="24" spans="1:125" x14ac:dyDescent="0.25">
      <c r="A24" t="str">
        <f>"    ING Groep NV"</f>
        <v xml:space="preserve">    ING Groep NV</v>
      </c>
      <c r="B24" t="str">
        <f>"INGA NA Equity"</f>
        <v>INGA NA Equity</v>
      </c>
      <c r="C24" t="str">
        <f t="shared" si="0"/>
        <v>BM105</v>
      </c>
      <c r="D24" t="str">
        <f t="shared" si="1"/>
        <v>BS_TRADING_ASSETS</v>
      </c>
      <c r="E24" t="str">
        <f t="shared" si="2"/>
        <v>Dynamic</v>
      </c>
      <c r="F24">
        <f ca="1">IF(AND(ISNUMBER($F$230),$B$208=1),$F$230,HLOOKUP(INDIRECT(ADDRESS(2,COLUMN())),OFFSET($BN$2,0,0,ROW()-1,60),ROW()-1,FALSE))</f>
        <v>72897</v>
      </c>
      <c r="G24">
        <f ca="1">IF(AND(ISNUMBER($G$230),$B$208=1),$G$230,HLOOKUP(INDIRECT(ADDRESS(2,COLUMN())),OFFSET($BN$2,0,0,ROW()-1,60),ROW()-1,FALSE))</f>
        <v>78114</v>
      </c>
      <c r="H24">
        <f ca="1">IF(AND(ISNUMBER($H$230),$B$208=1),$H$230,HLOOKUP(INDIRECT(ADDRESS(2,COLUMN())),OFFSET($BN$2,0,0,ROW()-1,60),ROW()-1,FALSE))</f>
        <v>73207</v>
      </c>
      <c r="I24">
        <f ca="1">IF(AND(ISNUMBER($I$230),$B$208=1),$I$230,HLOOKUP(INDIRECT(ADDRESS(2,COLUMN())),OFFSET($BN$2,0,0,ROW()-1,60),ROW()-1,FALSE))</f>
        <v>68594</v>
      </c>
      <c r="J24">
        <f ca="1">IF(AND(ISNUMBER($J$230),$B$208=1),$J$230,HLOOKUP(INDIRECT(ADDRESS(2,COLUMN())),OFFSET($BN$2,0,0,ROW()-1,60),ROW()-1,FALSE))</f>
        <v>60229</v>
      </c>
      <c r="K24">
        <f ca="1">IF(AND(ISNUMBER($K$230),$B$208=1),$K$230,HLOOKUP(INDIRECT(ADDRESS(2,COLUMN())),OFFSET($BN$2,0,0,ROW()-1,60),ROW()-1,FALSE))</f>
        <v>68150</v>
      </c>
      <c r="L24">
        <f ca="1">IF(AND(ISNUMBER($L$230),$B$208=1),$L$230,HLOOKUP(INDIRECT(ADDRESS(2,COLUMN())),OFFSET($BN$2,0,0,ROW()-1,60),ROW()-1,FALSE))</f>
        <v>62827</v>
      </c>
      <c r="M24">
        <f ca="1">IF(AND(ISNUMBER($M$230),$B$208=1),$M$230,HLOOKUP(INDIRECT(ADDRESS(2,COLUMN())),OFFSET($BN$2,0,0,ROW()-1,60),ROW()-1,FALSE))</f>
        <v>57343</v>
      </c>
      <c r="N24">
        <f ca="1">IF(AND(ISNUMBER($N$230),$B$208=1),$N$230,HLOOKUP(INDIRECT(ADDRESS(2,COLUMN())),OFFSET($BN$2,0,0,ROW()-1,60),ROW()-1,FALSE))</f>
        <v>56870</v>
      </c>
      <c r="O24">
        <f ca="1">IF(AND(ISNUMBER($O$230),$B$208=1),$O$230,HLOOKUP(INDIRECT(ADDRESS(2,COLUMN())),OFFSET($BN$2,0,0,ROW()-1,60),ROW()-1,FALSE))</f>
        <v>71397</v>
      </c>
      <c r="P24">
        <f ca="1">IF(AND(ISNUMBER($P$230),$B$208=1),$P$230,HLOOKUP(INDIRECT(ADDRESS(2,COLUMN())),OFFSET($BN$2,0,0,ROW()-1,60),ROW()-1,FALSE))</f>
        <v>60733</v>
      </c>
      <c r="Q24">
        <f ca="1">IF(AND(ISNUMBER($Q$230),$B$208=1),$Q$230,HLOOKUP(INDIRECT(ADDRESS(2,COLUMN())),OFFSET($BN$2,0,0,ROW()-1,60),ROW()-1,FALSE))</f>
        <v>55608</v>
      </c>
      <c r="R24">
        <f ca="1">IF(AND(ISNUMBER($R$230),$B$208=1),$R$230,HLOOKUP(INDIRECT(ADDRESS(2,COLUMN())),OFFSET($BN$2,0,0,ROW()-1,60),ROW()-1,FALSE))</f>
        <v>51381</v>
      </c>
      <c r="S24">
        <f ca="1">IF(AND(ISNUMBER($S$230),$B$208=1),$S$230,HLOOKUP(INDIRECT(ADDRESS(2,COLUMN())),OFFSET($BN$2,0,0,ROW()-1,60),ROW()-1,FALSE))</f>
        <v>56007</v>
      </c>
      <c r="T24">
        <f ca="1">IF(AND(ISNUMBER($T$230),$B$208=1),$T$230,HLOOKUP(INDIRECT(ADDRESS(2,COLUMN())),OFFSET($BN$2,0,0,ROW()-1,60),ROW()-1,FALSE))</f>
        <v>50652</v>
      </c>
      <c r="U24">
        <f ca="1">IF(AND(ISNUMBER($U$230),$B$208=1),$U$230,HLOOKUP(INDIRECT(ADDRESS(2,COLUMN())),OFFSET($BN$2,0,0,ROW()-1,60),ROW()-1,FALSE))</f>
        <v>50453</v>
      </c>
      <c r="V24">
        <f ca="1">IF(AND(ISNUMBER($V$230),$B$208=1),$V$230,HLOOKUP(INDIRECT(ADDRESS(2,COLUMN())),OFFSET($BN$2,0,0,ROW()-1,60),ROW()-1,FALSE))</f>
        <v>51356</v>
      </c>
      <c r="W24">
        <f ca="1">IF(AND(ISNUMBER($W$230),$B$208=1),$W$230,HLOOKUP(INDIRECT(ADDRESS(2,COLUMN())),OFFSET($BN$2,0,0,ROW()-1,60),ROW()-1,FALSE))</f>
        <v>52592</v>
      </c>
      <c r="X24">
        <f ca="1">IF(AND(ISNUMBER($X$230),$B$208=1),$X$230,HLOOKUP(INDIRECT(ADDRESS(2,COLUMN())),OFFSET($BN$2,0,0,ROW()-1,60),ROW()-1,FALSE))</f>
        <v>53781</v>
      </c>
      <c r="Y24">
        <f ca="1">IF(AND(ISNUMBER($Y$230),$B$208=1),$Y$230,HLOOKUP(INDIRECT(ADDRESS(2,COLUMN())),OFFSET($BN$2,0,0,ROW()-1,60),ROW()-1,FALSE))</f>
        <v>62071</v>
      </c>
      <c r="Z24">
        <f ca="1">IF(AND(ISNUMBER($Z$230),$B$208=1),$Z$230,HLOOKUP(INDIRECT(ADDRESS(2,COLUMN())),OFFSET($BN$2,0,0,ROW()-1,60),ROW()-1,FALSE))</f>
        <v>49254</v>
      </c>
      <c r="AA24">
        <f ca="1">IF(AND(ISNUMBER($AA$230),$B$208=1),$AA$230,HLOOKUP(INDIRECT(ADDRESS(2,COLUMN())),OFFSET($BN$2,0,0,ROW()-1,60),ROW()-1,FALSE))</f>
        <v>57641</v>
      </c>
      <c r="AB24">
        <f ca="1">IF(AND(ISNUMBER($AB$230),$B$208=1),$AB$230,HLOOKUP(INDIRECT(ADDRESS(2,COLUMN())),OFFSET($BN$2,0,0,ROW()-1,60),ROW()-1,FALSE))</f>
        <v>54212</v>
      </c>
      <c r="AC24">
        <f ca="1">IF(AND(ISNUMBER($AC$230),$B$208=1),$AC$230,HLOOKUP(INDIRECT(ADDRESS(2,COLUMN())),OFFSET($BN$2,0,0,ROW()-1,60),ROW()-1,FALSE))</f>
        <v>54697</v>
      </c>
      <c r="AD24">
        <f ca="1">IF(AND(ISNUMBER($AD$230),$B$208=1),$AD$230,HLOOKUP(INDIRECT(ADDRESS(2,COLUMN())),OFFSET($BN$2,0,0,ROW()-1,60),ROW()-1,FALSE))</f>
        <v>50152</v>
      </c>
      <c r="AE24">
        <f ca="1">IF(AND(ISNUMBER($AE$230),$B$208=1),$AE$230,HLOOKUP(INDIRECT(ADDRESS(2,COLUMN())),OFFSET($BN$2,0,0,ROW()-1,60),ROW()-1,FALSE))</f>
        <v>59825</v>
      </c>
      <c r="AF24">
        <f ca="1">IF(AND(ISNUMBER($AF$230),$B$208=1),$AF$230,HLOOKUP(INDIRECT(ADDRESS(2,COLUMN())),OFFSET($BN$2,0,0,ROW()-1,60),ROW()-1,FALSE))</f>
        <v>63817</v>
      </c>
      <c r="AG24">
        <f ca="1">IF(AND(ISNUMBER($AG$230),$B$208=1),$AG$230,HLOOKUP(INDIRECT(ADDRESS(2,COLUMN())),OFFSET($BN$2,0,0,ROW()-1,60),ROW()-1,FALSE))</f>
        <v>62358</v>
      </c>
      <c r="AH24">
        <f ca="1">IF(AND(ISNUMBER($AH$230),$B$208=1),$AH$230,HLOOKUP(INDIRECT(ADDRESS(2,COLUMN())),OFFSET($BN$2,0,0,ROW()-1,60),ROW()-1,FALSE))</f>
        <v>116748</v>
      </c>
      <c r="AI24">
        <f ca="1">IF(AND(ISNUMBER($AI$230),$B$208=1),$AI$230,HLOOKUP(INDIRECT(ADDRESS(2,COLUMN())),OFFSET($BN$2,0,0,ROW()-1,60),ROW()-1,FALSE))</f>
        <v>133720</v>
      </c>
      <c r="AJ24">
        <f ca="1">IF(AND(ISNUMBER($AJ$230),$B$208=1),$AJ$230,HLOOKUP(INDIRECT(ADDRESS(2,COLUMN())),OFFSET($BN$2,0,0,ROW()-1,60),ROW()-1,FALSE))</f>
        <v>135246</v>
      </c>
      <c r="AK24">
        <f ca="1">IF(AND(ISNUMBER($AK$230),$B$208=1),$AK$230,HLOOKUP(INDIRECT(ADDRESS(2,COLUMN())),OFFSET($BN$2,0,0,ROW()-1,60),ROW()-1,FALSE))</f>
        <v>129332</v>
      </c>
      <c r="AL24">
        <f ca="1">IF(AND(ISNUMBER($AL$230),$B$208=1),$AL$230,HLOOKUP(INDIRECT(ADDRESS(2,COLUMN())),OFFSET($BN$2,0,0,ROW()-1,60),ROW()-1,FALSE))</f>
        <v>114504</v>
      </c>
      <c r="AM24">
        <f ca="1">IF(AND(ISNUMBER($AM$230),$B$208=1),$AM$230,HLOOKUP(INDIRECT(ADDRESS(2,COLUMN())),OFFSET($BN$2,0,0,ROW()-1,60),ROW()-1,FALSE))</f>
        <v>136888</v>
      </c>
      <c r="AN24">
        <f ca="1">IF(AND(ISNUMBER($AN$230),$B$208=1),$AN$230,HLOOKUP(INDIRECT(ADDRESS(2,COLUMN())),OFFSET($BN$2,0,0,ROW()-1,60),ROW()-1,FALSE))</f>
        <v>147110</v>
      </c>
      <c r="AO24">
        <f ca="1">IF(AND(ISNUMBER($AO$230),$B$208=1),$AO$230,HLOOKUP(INDIRECT(ADDRESS(2,COLUMN())),OFFSET($BN$2,0,0,ROW()-1,60),ROW()-1,FALSE))</f>
        <v>141635</v>
      </c>
      <c r="AP24">
        <f ca="1">IF(AND(ISNUMBER($AP$230),$B$208=1),$AP$230,HLOOKUP(INDIRECT(ADDRESS(2,COLUMN())),OFFSET($BN$2,0,0,ROW()-1,60),ROW()-1,FALSE))</f>
        <v>131467</v>
      </c>
      <c r="AQ24">
        <f ca="1">IF(AND(ISNUMBER($AQ$230),$B$208=1),$AQ$230,HLOOKUP(INDIRECT(ADDRESS(2,COLUMN())),OFFSET($BN$2,0,0,ROW()-1,60),ROW()-1,FALSE))</f>
        <v>137090</v>
      </c>
      <c r="AR24">
        <f ca="1">IF(AND(ISNUMBER($AR$230),$B$208=1),$AR$230,HLOOKUP(INDIRECT(ADDRESS(2,COLUMN())),OFFSET($BN$2,0,0,ROW()-1,60),ROW()-1,FALSE))</f>
        <v>140429</v>
      </c>
      <c r="AS24">
        <f ca="1">IF(AND(ISNUMBER($AS$230),$B$208=1),$AS$230,HLOOKUP(INDIRECT(ADDRESS(2,COLUMN())),OFFSET($BN$2,0,0,ROW()-1,60),ROW()-1,FALSE))</f>
        <v>153434</v>
      </c>
      <c r="AT24">
        <f ca="1">IF(AND(ISNUMBER($AT$230),$B$208=1),$AT$230,HLOOKUP(INDIRECT(ADDRESS(2,COLUMN())),OFFSET($BN$2,0,0,ROW()-1,60),ROW()-1,FALSE))</f>
        <v>136959</v>
      </c>
      <c r="AU24">
        <f ca="1">IF(AND(ISNUMBER($AU$230),$B$208=1),$AU$230,HLOOKUP(INDIRECT(ADDRESS(2,COLUMN())),OFFSET($BN$2,0,0,ROW()-1,60),ROW()-1,FALSE))</f>
        <v>133402</v>
      </c>
      <c r="AV24">
        <f ca="1">IF(AND(ISNUMBER($AV$230),$B$208=1),$AV$230,HLOOKUP(INDIRECT(ADDRESS(2,COLUMN())),OFFSET($BN$2,0,0,ROW()-1,60),ROW()-1,FALSE))</f>
        <v>126738</v>
      </c>
      <c r="AW24">
        <f ca="1">IF(AND(ISNUMBER($AW$230),$B$208=1),$AW$230,HLOOKUP(INDIRECT(ADDRESS(2,COLUMN())),OFFSET($BN$2,0,0,ROW()-1,60),ROW()-1,FALSE))</f>
        <v>118688</v>
      </c>
      <c r="AX24">
        <f ca="1">IF(AND(ISNUMBER($AX$230),$B$208=1),$AX$230,HLOOKUP(INDIRECT(ADDRESS(2,COLUMN())),OFFSET($BN$2,0,0,ROW()-1,60),ROW()-1,FALSE))</f>
        <v>114247</v>
      </c>
      <c r="AY24">
        <f ca="1">IF(AND(ISNUMBER($AY$230),$B$208=1),$AY$230,HLOOKUP(INDIRECT(ADDRESS(2,COLUMN())),OFFSET($BN$2,0,0,ROW()-1,60),ROW()-1,FALSE))</f>
        <v>121885</v>
      </c>
      <c r="AZ24">
        <f ca="1">IF(AND(ISNUMBER($AZ$230),$B$208=1),$AZ$230,HLOOKUP(INDIRECT(ADDRESS(2,COLUMN())),OFFSET($BN$2,0,0,ROW()-1,60),ROW()-1,FALSE))</f>
        <v>125562</v>
      </c>
      <c r="BA24">
        <f ca="1">IF(AND(ISNUMBER($BA$230),$B$208=1),$BA$230,HLOOKUP(INDIRECT(ADDRESS(2,COLUMN())),OFFSET($BN$2,0,0,ROW()-1,60),ROW()-1,FALSE))</f>
        <v>135434</v>
      </c>
      <c r="BB24">
        <f ca="1">IF(AND(ISNUMBER($BB$230),$B$208=1),$BB$230,HLOOKUP(INDIRECT(ADDRESS(2,COLUMN())),OFFSET($BN$2,0,0,ROW()-1,60),ROW()-1,FALSE))</f>
        <v>116245</v>
      </c>
      <c r="BC24">
        <f ca="1">IF(AND(ISNUMBER($BC$230),$B$208=1),$BC$230,HLOOKUP(INDIRECT(ADDRESS(2,COLUMN())),OFFSET($BN$2,0,0,ROW()-1,60),ROW()-1,FALSE))</f>
        <v>129561</v>
      </c>
      <c r="BD24">
        <f ca="1">IF(AND(ISNUMBER($BD$230),$B$208=1),$BD$230,HLOOKUP(INDIRECT(ADDRESS(2,COLUMN())),OFFSET($BN$2,0,0,ROW()-1,60),ROW()-1,FALSE))</f>
        <v>123915</v>
      </c>
      <c r="BE24">
        <f ca="1">IF(AND(ISNUMBER($BE$230),$B$208=1),$BE$230,HLOOKUP(INDIRECT(ADDRESS(2,COLUMN())),OFFSET($BN$2,0,0,ROW()-1,60),ROW()-1,FALSE))</f>
        <v>119600</v>
      </c>
      <c r="BF24">
        <f ca="1">IF(AND(ISNUMBER($BF$230),$B$208=1),$BF$230,HLOOKUP(INDIRECT(ADDRESS(2,COLUMN())),OFFSET($BN$2,0,0,ROW()-1,60),ROW()-1,FALSE))</f>
        <v>123688</v>
      </c>
      <c r="BG24">
        <f ca="1">IF(AND(ISNUMBER($BG$230),$B$208=1),$BG$230,HLOOKUP(INDIRECT(ADDRESS(2,COLUMN())),OFFSET($BN$2,0,0,ROW()-1,60),ROW()-1,FALSE))</f>
        <v>138130</v>
      </c>
      <c r="BH24">
        <f ca="1">IF(AND(ISNUMBER($BH$230),$B$208=1),$BH$230,HLOOKUP(INDIRECT(ADDRESS(2,COLUMN())),OFFSET($BN$2,0,0,ROW()-1,60),ROW()-1,FALSE))</f>
        <v>127951</v>
      </c>
      <c r="BI24">
        <f ca="1">IF(AND(ISNUMBER($BI$230),$B$208=1),$BI$230,HLOOKUP(INDIRECT(ADDRESS(2,COLUMN())),OFFSET($BN$2,0,0,ROW()-1,60),ROW()-1,FALSE))</f>
        <v>120224</v>
      </c>
      <c r="BJ24" t="str">
        <f ca="1">IF(AND(ISNUMBER($BJ$230),$B$208=1),$BJ$230,HLOOKUP(INDIRECT(ADDRESS(2,COLUMN())),OFFSET($BN$2,0,0,ROW()-1,60),ROW()-1,FALSE))</f>
        <v/>
      </c>
      <c r="BK24">
        <f ca="1">IF(AND(ISNUMBER($BK$230),$B$208=1),$BK$230,HLOOKUP(INDIRECT(ADDRESS(2,COLUMN())),OFFSET($BN$2,0,0,ROW()-1,60),ROW()-1,FALSE))</f>
        <v>142432</v>
      </c>
      <c r="BL24">
        <f ca="1">IF(AND(ISNUMBER($BL$230),$B$208=1),$BL$230,HLOOKUP(INDIRECT(ADDRESS(2,COLUMN())),OFFSET($BN$2,0,0,ROW()-1,60),ROW()-1,FALSE))</f>
        <v>274374</v>
      </c>
      <c r="BM24" t="str">
        <f ca="1">IF(AND(ISNUMBER($BM$230),$B$208=1),$BM$230,HLOOKUP(INDIRECT(ADDRESS(2,COLUMN())),OFFSET($BN$2,0,0,ROW()-1,60),ROW()-1,FALSE))</f>
        <v/>
      </c>
      <c r="BN24">
        <f>72897</f>
        <v>72897</v>
      </c>
      <c r="BO24">
        <f>78114</f>
        <v>78114</v>
      </c>
      <c r="BP24">
        <f>73207</f>
        <v>73207</v>
      </c>
      <c r="BQ24">
        <f>68594</f>
        <v>68594</v>
      </c>
      <c r="BR24">
        <f>60229</f>
        <v>60229</v>
      </c>
      <c r="BS24">
        <f>68150</f>
        <v>68150</v>
      </c>
      <c r="BT24">
        <f>62827</f>
        <v>62827</v>
      </c>
      <c r="BU24">
        <f>57343</f>
        <v>57343</v>
      </c>
      <c r="BV24">
        <f>56870</f>
        <v>56870</v>
      </c>
      <c r="BW24">
        <f>71397</f>
        <v>71397</v>
      </c>
      <c r="BX24">
        <f>60733</f>
        <v>60733</v>
      </c>
      <c r="BY24">
        <f>55608</f>
        <v>55608</v>
      </c>
      <c r="BZ24">
        <f>51381</f>
        <v>51381</v>
      </c>
      <c r="CA24">
        <f>56007</f>
        <v>56007</v>
      </c>
      <c r="CB24">
        <f>50652</f>
        <v>50652</v>
      </c>
      <c r="CC24">
        <f>50453</f>
        <v>50453</v>
      </c>
      <c r="CD24">
        <f>51356</f>
        <v>51356</v>
      </c>
      <c r="CE24">
        <f>52592</f>
        <v>52592</v>
      </c>
      <c r="CF24">
        <f>53781</f>
        <v>53781</v>
      </c>
      <c r="CG24">
        <f>62071</f>
        <v>62071</v>
      </c>
      <c r="CH24">
        <f>49254</f>
        <v>49254</v>
      </c>
      <c r="CI24">
        <f>57641</f>
        <v>57641</v>
      </c>
      <c r="CJ24">
        <f>54212</f>
        <v>54212</v>
      </c>
      <c r="CK24">
        <f>54697</f>
        <v>54697</v>
      </c>
      <c r="CL24">
        <f>50152</f>
        <v>50152</v>
      </c>
      <c r="CM24">
        <f>59825</f>
        <v>59825</v>
      </c>
      <c r="CN24">
        <f>63817</f>
        <v>63817</v>
      </c>
      <c r="CO24">
        <f>62358</f>
        <v>62358</v>
      </c>
      <c r="CP24">
        <f>116748</f>
        <v>116748</v>
      </c>
      <c r="CQ24">
        <f>133720</f>
        <v>133720</v>
      </c>
      <c r="CR24">
        <f>135246</f>
        <v>135246</v>
      </c>
      <c r="CS24">
        <f>129332</f>
        <v>129332</v>
      </c>
      <c r="CT24">
        <f>114504</f>
        <v>114504</v>
      </c>
      <c r="CU24">
        <f>136888</f>
        <v>136888</v>
      </c>
      <c r="CV24">
        <f>147110</f>
        <v>147110</v>
      </c>
      <c r="CW24">
        <f>141635</f>
        <v>141635</v>
      </c>
      <c r="CX24">
        <f>131467</f>
        <v>131467</v>
      </c>
      <c r="CY24">
        <f>137090</f>
        <v>137090</v>
      </c>
      <c r="CZ24">
        <f>140429</f>
        <v>140429</v>
      </c>
      <c r="DA24">
        <f>153434</f>
        <v>153434</v>
      </c>
      <c r="DB24">
        <f>136959</f>
        <v>136959</v>
      </c>
      <c r="DC24">
        <f>133402</f>
        <v>133402</v>
      </c>
      <c r="DD24">
        <f>126738</f>
        <v>126738</v>
      </c>
      <c r="DE24">
        <f>118688</f>
        <v>118688</v>
      </c>
      <c r="DF24">
        <f>114247</f>
        <v>114247</v>
      </c>
      <c r="DG24">
        <f>121885</f>
        <v>121885</v>
      </c>
      <c r="DH24">
        <f>125562</f>
        <v>125562</v>
      </c>
      <c r="DI24">
        <f>135434</f>
        <v>135434</v>
      </c>
      <c r="DJ24">
        <f>116245</f>
        <v>116245</v>
      </c>
      <c r="DK24">
        <f>129561</f>
        <v>129561</v>
      </c>
      <c r="DL24">
        <f>123915</f>
        <v>123915</v>
      </c>
      <c r="DM24">
        <f>119600</f>
        <v>119600</v>
      </c>
      <c r="DN24">
        <f>123688</f>
        <v>123688</v>
      </c>
      <c r="DO24">
        <f>138130</f>
        <v>138130</v>
      </c>
      <c r="DP24">
        <f>127951</f>
        <v>127951</v>
      </c>
      <c r="DQ24">
        <f>120224</f>
        <v>120224</v>
      </c>
      <c r="DR24" t="str">
        <f>""</f>
        <v/>
      </c>
      <c r="DS24">
        <f>142432</f>
        <v>142432</v>
      </c>
      <c r="DT24">
        <f>274374</f>
        <v>274374</v>
      </c>
      <c r="DU24" t="str">
        <f>""</f>
        <v/>
      </c>
    </row>
    <row r="25" spans="1:125" x14ac:dyDescent="0.25">
      <c r="A25" t="str">
        <f>"    Intesa Sanpaolo SpA"</f>
        <v xml:space="preserve">    Intesa Sanpaolo SpA</v>
      </c>
      <c r="B25" t="str">
        <f>"ISP IM Equity"</f>
        <v>ISP IM Equity</v>
      </c>
      <c r="C25" t="str">
        <f t="shared" si="0"/>
        <v>BM105</v>
      </c>
      <c r="D25" t="str">
        <f t="shared" si="1"/>
        <v>BS_TRADING_ASSETS</v>
      </c>
      <c r="E25" t="str">
        <f t="shared" si="2"/>
        <v>Dynamic</v>
      </c>
      <c r="F25">
        <f ca="1">IF(AND(ISNUMBER($F$231),$B$208=1),$F$231,HLOOKUP(INDIRECT(ADDRESS(2,COLUMN())),OFFSET($BN$2,0,0,ROW()-1,60),ROW()-1,FALSE))</f>
        <v>45706</v>
      </c>
      <c r="G25">
        <f ca="1">IF(AND(ISNUMBER($G$231),$B$208=1),$G$231,HLOOKUP(INDIRECT(ADDRESS(2,COLUMN())),OFFSET($BN$2,0,0,ROW()-1,60),ROW()-1,FALSE))</f>
        <v>41430</v>
      </c>
      <c r="H25">
        <f ca="1">IF(AND(ISNUMBER($H$231),$B$208=1),$H$231,HLOOKUP(INDIRECT(ADDRESS(2,COLUMN())),OFFSET($BN$2,0,0,ROW()-1,60),ROW()-1,FALSE))</f>
        <v>37743</v>
      </c>
      <c r="I25">
        <f ca="1">IF(AND(ISNUMBER($I$231),$B$208=1),$I$231,HLOOKUP(INDIRECT(ADDRESS(2,COLUMN())),OFFSET($BN$2,0,0,ROW()-1,60),ROW()-1,FALSE))</f>
        <v>38096</v>
      </c>
      <c r="J25">
        <f ca="1">IF(AND(ISNUMBER($J$231),$B$208=1),$J$231,HLOOKUP(INDIRECT(ADDRESS(2,COLUMN())),OFFSET($BN$2,0,0,ROW()-1,60),ROW()-1,FALSE))</f>
        <v>38163</v>
      </c>
      <c r="K25">
        <f ca="1">IF(AND(ISNUMBER($K$231),$B$208=1),$K$231,HLOOKUP(INDIRECT(ADDRESS(2,COLUMN())),OFFSET($BN$2,0,0,ROW()-1,60),ROW()-1,FALSE))</f>
        <v>41855</v>
      </c>
      <c r="L25">
        <f ca="1">IF(AND(ISNUMBER($L$231),$B$208=1),$L$231,HLOOKUP(INDIRECT(ADDRESS(2,COLUMN())),OFFSET($BN$2,0,0,ROW()-1,60),ROW()-1,FALSE))</f>
        <v>44053</v>
      </c>
      <c r="M25">
        <f ca="1">IF(AND(ISNUMBER($M$231),$B$208=1),$M$231,HLOOKUP(INDIRECT(ADDRESS(2,COLUMN())),OFFSET($BN$2,0,0,ROW()-1,60),ROW()-1,FALSE))</f>
        <v>41690</v>
      </c>
      <c r="N25">
        <f ca="1">IF(AND(ISNUMBER($N$231),$B$208=1),$N$231,HLOOKUP(INDIRECT(ADDRESS(2,COLUMN())),OFFSET($BN$2,0,0,ROW()-1,60),ROW()-1,FALSE))</f>
        <v>42607</v>
      </c>
      <c r="O25">
        <f ca="1">IF(AND(ISNUMBER($O$231),$B$208=1),$O$231,HLOOKUP(INDIRECT(ADDRESS(2,COLUMN())),OFFSET($BN$2,0,0,ROW()-1,60),ROW()-1,FALSE))</f>
        <v>47689</v>
      </c>
      <c r="P25">
        <f ca="1">IF(AND(ISNUMBER($P$231),$B$208=1),$P$231,HLOOKUP(INDIRECT(ADDRESS(2,COLUMN())),OFFSET($BN$2,0,0,ROW()-1,60),ROW()-1,FALSE))</f>
        <v>47165</v>
      </c>
      <c r="Q25">
        <f ca="1">IF(AND(ISNUMBER($Q$231),$B$208=1),$Q$231,HLOOKUP(INDIRECT(ADDRESS(2,COLUMN())),OFFSET($BN$2,0,0,ROW()-1,60),ROW()-1,FALSE))</f>
        <v>48242</v>
      </c>
      <c r="R25">
        <f ca="1">IF(AND(ISNUMBER($R$231),$B$208=1),$R$231,HLOOKUP(INDIRECT(ADDRESS(2,COLUMN())),OFFSET($BN$2,0,0,ROW()-1,60),ROW()-1,FALSE))</f>
        <v>47181</v>
      </c>
      <c r="S25">
        <f ca="1">IF(AND(ISNUMBER($S$231),$B$208=1),$S$231,HLOOKUP(INDIRECT(ADDRESS(2,COLUMN())),OFFSET($BN$2,0,0,ROW()-1,60),ROW()-1,FALSE))</f>
        <v>55651</v>
      </c>
      <c r="T25">
        <f ca="1">IF(AND(ISNUMBER($T$231),$B$208=1),$T$231,HLOOKUP(INDIRECT(ADDRESS(2,COLUMN())),OFFSET($BN$2,0,0,ROW()-1,60),ROW()-1,FALSE))</f>
        <v>55720</v>
      </c>
      <c r="U25">
        <f ca="1">IF(AND(ISNUMBER($U$231),$B$208=1),$U$231,HLOOKUP(INDIRECT(ADDRESS(2,COLUMN())),OFFSET($BN$2,0,0,ROW()-1,60),ROW()-1,FALSE))</f>
        <v>51160</v>
      </c>
      <c r="V25">
        <f ca="1">IF(AND(ISNUMBER($V$231),$B$208=1),$V$231,HLOOKUP(INDIRECT(ADDRESS(2,COLUMN())),OFFSET($BN$2,0,0,ROW()-1,60),ROW()-1,FALSE))</f>
        <v>53165</v>
      </c>
      <c r="W25">
        <f ca="1">IF(AND(ISNUMBER($W$231),$B$208=1),$W$231,HLOOKUP(INDIRECT(ADDRESS(2,COLUMN())),OFFSET($BN$2,0,0,ROW()-1,60),ROW()-1,FALSE))</f>
        <v>57082</v>
      </c>
      <c r="X25">
        <f ca="1">IF(AND(ISNUMBER($X$231),$B$208=1),$X$231,HLOOKUP(INDIRECT(ADDRESS(2,COLUMN())),OFFSET($BN$2,0,0,ROW()-1,60),ROW()-1,FALSE))</f>
        <v>56272</v>
      </c>
      <c r="Y25">
        <f ca="1">IF(AND(ISNUMBER($Y$231),$B$208=1),$Y$231,HLOOKUP(INDIRECT(ADDRESS(2,COLUMN())),OFFSET($BN$2,0,0,ROW()-1,60),ROW()-1,FALSE))</f>
        <v>51657</v>
      </c>
      <c r="Z25">
        <f ca="1">IF(AND(ISNUMBER($Z$231),$B$208=1),$Z$231,HLOOKUP(INDIRECT(ADDRESS(2,COLUMN())),OFFSET($BN$2,0,0,ROW()-1,60),ROW()-1,FALSE))</f>
        <v>45152</v>
      </c>
      <c r="AA25">
        <f ca="1">IF(AND(ISNUMBER($AA$231),$B$208=1),$AA$231,HLOOKUP(INDIRECT(ADDRESS(2,COLUMN())),OFFSET($BN$2,0,0,ROW()-1,60),ROW()-1,FALSE))</f>
        <v>51596</v>
      </c>
      <c r="AB25">
        <f ca="1">IF(AND(ISNUMBER($AB$231),$B$208=1),$AB$231,HLOOKUP(INDIRECT(ADDRESS(2,COLUMN())),OFFSET($BN$2,0,0,ROW()-1,60),ROW()-1,FALSE))</f>
        <v>49773</v>
      </c>
      <c r="AC25">
        <f ca="1">IF(AND(ISNUMBER($AC$231),$B$208=1),$AC$231,HLOOKUP(INDIRECT(ADDRESS(2,COLUMN())),OFFSET($BN$2,0,0,ROW()-1,60),ROW()-1,FALSE))</f>
        <v>44779</v>
      </c>
      <c r="AD25">
        <f ca="1">IF(AND(ISNUMBER($AD$231),$B$208=1),$AD$231,HLOOKUP(INDIRECT(ADDRESS(2,COLUMN())),OFFSET($BN$2,0,0,ROW()-1,60),ROW()-1,FALSE))</f>
        <v>38806</v>
      </c>
      <c r="AE25">
        <f ca="1">IF(AND(ISNUMBER($AE$231),$B$208=1),$AE$231,HLOOKUP(INDIRECT(ADDRESS(2,COLUMN())),OFFSET($BN$2,0,0,ROW()-1,60),ROW()-1,FALSE))</f>
        <v>39158</v>
      </c>
      <c r="AF25">
        <f ca="1">IF(AND(ISNUMBER($AF$231),$B$208=1),$AF$231,HLOOKUP(INDIRECT(ADDRESS(2,COLUMN())),OFFSET($BN$2,0,0,ROW()-1,60),ROW()-1,FALSE))</f>
        <v>39908</v>
      </c>
      <c r="AG25">
        <f ca="1">IF(AND(ISNUMBER($AG$231),$B$208=1),$AG$231,HLOOKUP(INDIRECT(ADDRESS(2,COLUMN())),OFFSET($BN$2,0,0,ROW()-1,60),ROW()-1,FALSE))</f>
        <v>39680</v>
      </c>
      <c r="AH25">
        <f ca="1">IF(AND(ISNUMBER($AH$231),$B$208=1),$AH$231,HLOOKUP(INDIRECT(ADDRESS(2,COLUMN())),OFFSET($BN$2,0,0,ROW()-1,60),ROW()-1,FALSE))</f>
        <v>39028</v>
      </c>
      <c r="AI25">
        <f ca="1">IF(AND(ISNUMBER($AI$231),$B$208=1),$AI$231,HLOOKUP(INDIRECT(ADDRESS(2,COLUMN())),OFFSET($BN$2,0,0,ROW()-1,60),ROW()-1,FALSE))</f>
        <v>41762</v>
      </c>
      <c r="AJ25">
        <f ca="1">IF(AND(ISNUMBER($AJ$231),$B$208=1),$AJ$231,HLOOKUP(INDIRECT(ADDRESS(2,COLUMN())),OFFSET($BN$2,0,0,ROW()-1,60),ROW()-1,FALSE))</f>
        <v>44415</v>
      </c>
      <c r="AK25">
        <f ca="1">IF(AND(ISNUMBER($AK$231),$B$208=1),$AK$231,HLOOKUP(INDIRECT(ADDRESS(2,COLUMN())),OFFSET($BN$2,0,0,ROW()-1,60),ROW()-1,FALSE))</f>
        <v>44524</v>
      </c>
      <c r="AL25">
        <f ca="1">IF(AND(ISNUMBER($AL$231),$B$208=1),$AL$231,HLOOKUP(INDIRECT(ADDRESS(2,COLUMN())),OFFSET($BN$2,0,0,ROW()-1,60),ROW()-1,FALSE))</f>
        <v>43613</v>
      </c>
      <c r="AM25">
        <f ca="1">IF(AND(ISNUMBER($AM$231),$B$208=1),$AM$231,HLOOKUP(INDIRECT(ADDRESS(2,COLUMN())),OFFSET($BN$2,0,0,ROW()-1,60),ROW()-1,FALSE))</f>
        <v>50232</v>
      </c>
      <c r="AN25">
        <f ca="1">IF(AND(ISNUMBER($AN$231),$B$208=1),$AN$231,HLOOKUP(INDIRECT(ADDRESS(2,COLUMN())),OFFSET($BN$2,0,0,ROW()-1,60),ROW()-1,FALSE))</f>
        <v>52499</v>
      </c>
      <c r="AO25">
        <f ca="1">IF(AND(ISNUMBER($AO$231),$B$208=1),$AO$231,HLOOKUP(INDIRECT(ADDRESS(2,COLUMN())),OFFSET($BN$2,0,0,ROW()-1,60),ROW()-1,FALSE))</f>
        <v>54786</v>
      </c>
      <c r="AP25">
        <f ca="1">IF(AND(ISNUMBER($AP$231),$B$208=1),$AP$231,HLOOKUP(INDIRECT(ADDRESS(2,COLUMN())),OFFSET($BN$2,0,0,ROW()-1,60),ROW()-1,FALSE))</f>
        <v>51597</v>
      </c>
      <c r="AQ25">
        <f ca="1">IF(AND(ISNUMBER($AQ$231),$B$208=1),$AQ$231,HLOOKUP(INDIRECT(ADDRESS(2,COLUMN())),OFFSET($BN$2,0,0,ROW()-1,60),ROW()-1,FALSE))</f>
        <v>52391</v>
      </c>
      <c r="AR25">
        <f ca="1">IF(AND(ISNUMBER($AR$231),$B$208=1),$AR$231,HLOOKUP(INDIRECT(ADDRESS(2,COLUMN())),OFFSET($BN$2,0,0,ROW()-1,60),ROW()-1,FALSE))</f>
        <v>51996</v>
      </c>
      <c r="AS25">
        <f ca="1">IF(AND(ISNUMBER($AS$231),$B$208=1),$AS$231,HLOOKUP(INDIRECT(ADDRESS(2,COLUMN())),OFFSET($BN$2,0,0,ROW()-1,60),ROW()-1,FALSE))</f>
        <v>62257</v>
      </c>
      <c r="AT25">
        <f ca="1">IF(AND(ISNUMBER($AT$231),$B$208=1),$AT$231,HLOOKUP(INDIRECT(ADDRESS(2,COLUMN())),OFFSET($BN$2,0,0,ROW()-1,60),ROW()-1,FALSE))</f>
        <v>53741</v>
      </c>
      <c r="AU25">
        <f ca="1">IF(AND(ISNUMBER($AU$231),$B$208=1),$AU$231,HLOOKUP(INDIRECT(ADDRESS(2,COLUMN())),OFFSET($BN$2,0,0,ROW()-1,60),ROW()-1,FALSE))</f>
        <v>55445</v>
      </c>
      <c r="AV25">
        <f ca="1">IF(AND(ISNUMBER($AV$231),$B$208=1),$AV$231,HLOOKUP(INDIRECT(ADDRESS(2,COLUMN())),OFFSET($BN$2,0,0,ROW()-1,60),ROW()-1,FALSE))</f>
        <v>52071</v>
      </c>
      <c r="AW25">
        <f ca="1">IF(AND(ISNUMBER($AW$231),$B$208=1),$AW$231,HLOOKUP(INDIRECT(ADDRESS(2,COLUMN())),OFFSET($BN$2,0,0,ROW()-1,60),ROW()-1,FALSE))</f>
        <v>52352</v>
      </c>
      <c r="AX25">
        <f ca="1">IF(AND(ISNUMBER($AX$231),$B$208=1),$AX$231,HLOOKUP(INDIRECT(ADDRESS(2,COLUMN())),OFFSET($BN$2,0,0,ROW()-1,60),ROW()-1,FALSE))</f>
        <v>49000</v>
      </c>
      <c r="AY25">
        <f ca="1">IF(AND(ISNUMBER($AY$231),$B$208=1),$AY$231,HLOOKUP(INDIRECT(ADDRESS(2,COLUMN())),OFFSET($BN$2,0,0,ROW()-1,60),ROW()-1,FALSE))</f>
        <v>53337</v>
      </c>
      <c r="AZ25">
        <f ca="1">IF(AND(ISNUMBER($AZ$231),$B$208=1),$AZ$231,HLOOKUP(INDIRECT(ADDRESS(2,COLUMN())),OFFSET($BN$2,0,0,ROW()-1,60),ROW()-1,FALSE))</f>
        <v>55905</v>
      </c>
      <c r="BA25">
        <f ca="1">IF(AND(ISNUMBER($BA$231),$B$208=1),$BA$231,HLOOKUP(INDIRECT(ADDRESS(2,COLUMN())),OFFSET($BN$2,0,0,ROW()-1,60),ROW()-1,FALSE))</f>
        <v>61556</v>
      </c>
      <c r="BB25">
        <f ca="1">IF(AND(ISNUMBER($BB$231),$B$208=1),$BB$231,HLOOKUP(INDIRECT(ADDRESS(2,COLUMN())),OFFSET($BN$2,0,0,ROW()-1,60),ROW()-1,FALSE))</f>
        <v>18577</v>
      </c>
      <c r="BC25">
        <f ca="1">IF(AND(ISNUMBER($BC$231),$B$208=1),$BC$231,HLOOKUP(INDIRECT(ADDRESS(2,COLUMN())),OFFSET($BN$2,0,0,ROW()-1,60),ROW()-1,FALSE))</f>
        <v>70034</v>
      </c>
      <c r="BD25">
        <f ca="1">IF(AND(ISNUMBER($BD$231),$B$208=1),$BD$231,HLOOKUP(INDIRECT(ADDRESS(2,COLUMN())),OFFSET($BN$2,0,0,ROW()-1,60),ROW()-1,FALSE))</f>
        <v>66080</v>
      </c>
      <c r="BE25">
        <f ca="1">IF(AND(ISNUMBER($BE$231),$B$208=1),$BE$231,HLOOKUP(INDIRECT(ADDRESS(2,COLUMN())),OFFSET($BN$2,0,0,ROW()-1,60),ROW()-1,FALSE))</f>
        <v>60328</v>
      </c>
      <c r="BF25">
        <f ca="1">IF(AND(ISNUMBER($BF$231),$B$208=1),$BF$231,HLOOKUP(INDIRECT(ADDRESS(2,COLUMN())),OFFSET($BN$2,0,0,ROW()-1,60),ROW()-1,FALSE))</f>
        <v>59963</v>
      </c>
      <c r="BG25">
        <f ca="1">IF(AND(ISNUMBER($BG$231),$B$208=1),$BG$231,HLOOKUP(INDIRECT(ADDRESS(2,COLUMN())),OFFSET($BN$2,0,0,ROW()-1,60),ROW()-1,FALSE))</f>
        <v>69934</v>
      </c>
      <c r="BH25">
        <f ca="1">IF(AND(ISNUMBER($BH$231),$B$208=1),$BH$231,HLOOKUP(INDIRECT(ADDRESS(2,COLUMN())),OFFSET($BN$2,0,0,ROW()-1,60),ROW()-1,FALSE))</f>
        <v>60555</v>
      </c>
      <c r="BI25">
        <f ca="1">IF(AND(ISNUMBER($BI$231),$B$208=1),$BI$231,HLOOKUP(INDIRECT(ADDRESS(2,COLUMN())),OFFSET($BN$2,0,0,ROW()-1,60),ROW()-1,FALSE))</f>
        <v>61094</v>
      </c>
      <c r="BJ25" t="str">
        <f ca="1">IF(AND(ISNUMBER($BJ$231),$B$208=1),$BJ$231,HLOOKUP(INDIRECT(ADDRESS(2,COLUMN())),OFFSET($BN$2,0,0,ROW()-1,60),ROW()-1,FALSE))</f>
        <v/>
      </c>
      <c r="BK25">
        <f ca="1">IF(AND(ISNUMBER($BK$231),$B$208=1),$BK$231,HLOOKUP(INDIRECT(ADDRESS(2,COLUMN())),OFFSET($BN$2,0,0,ROW()-1,60),ROW()-1,FALSE))</f>
        <v>90517</v>
      </c>
      <c r="BL25" t="str">
        <f ca="1">IF(AND(ISNUMBER($BL$231),$B$208=1),$BL$231,HLOOKUP(INDIRECT(ADDRESS(2,COLUMN())),OFFSET($BN$2,0,0,ROW()-1,60),ROW()-1,FALSE))</f>
        <v/>
      </c>
      <c r="BM25">
        <f ca="1">IF(AND(ISNUMBER($BM$231),$B$208=1),$BM$231,HLOOKUP(INDIRECT(ADDRESS(2,COLUMN())),OFFSET($BN$2,0,0,ROW()-1,60),ROW()-1,FALSE))</f>
        <v>82931</v>
      </c>
      <c r="BN25">
        <f>45706</f>
        <v>45706</v>
      </c>
      <c r="BO25">
        <f>41430</f>
        <v>41430</v>
      </c>
      <c r="BP25">
        <f>37743</f>
        <v>37743</v>
      </c>
      <c r="BQ25">
        <f>38096</f>
        <v>38096</v>
      </c>
      <c r="BR25">
        <f>38163</f>
        <v>38163</v>
      </c>
      <c r="BS25">
        <f>41855</f>
        <v>41855</v>
      </c>
      <c r="BT25">
        <f>44053</f>
        <v>44053</v>
      </c>
      <c r="BU25">
        <f>41690</f>
        <v>41690</v>
      </c>
      <c r="BV25">
        <f>42607</f>
        <v>42607</v>
      </c>
      <c r="BW25">
        <f>47689</f>
        <v>47689</v>
      </c>
      <c r="BX25">
        <f>47165</f>
        <v>47165</v>
      </c>
      <c r="BY25">
        <f>48242</f>
        <v>48242</v>
      </c>
      <c r="BZ25">
        <f>47181</f>
        <v>47181</v>
      </c>
      <c r="CA25">
        <f>55651</f>
        <v>55651</v>
      </c>
      <c r="CB25">
        <f>55720</f>
        <v>55720</v>
      </c>
      <c r="CC25">
        <f>51160</f>
        <v>51160</v>
      </c>
      <c r="CD25">
        <f>53165</f>
        <v>53165</v>
      </c>
      <c r="CE25">
        <f>57082</f>
        <v>57082</v>
      </c>
      <c r="CF25">
        <f>56272</f>
        <v>56272</v>
      </c>
      <c r="CG25">
        <f>51657</f>
        <v>51657</v>
      </c>
      <c r="CH25">
        <f>45152</f>
        <v>45152</v>
      </c>
      <c r="CI25">
        <f>51596</f>
        <v>51596</v>
      </c>
      <c r="CJ25">
        <f>49773</f>
        <v>49773</v>
      </c>
      <c r="CK25">
        <f>44779</f>
        <v>44779</v>
      </c>
      <c r="CL25">
        <f>38806</f>
        <v>38806</v>
      </c>
      <c r="CM25">
        <f>39158</f>
        <v>39158</v>
      </c>
      <c r="CN25">
        <f>39908</f>
        <v>39908</v>
      </c>
      <c r="CO25">
        <f>39680</f>
        <v>39680</v>
      </c>
      <c r="CP25">
        <f>39028</f>
        <v>39028</v>
      </c>
      <c r="CQ25">
        <f>41762</f>
        <v>41762</v>
      </c>
      <c r="CR25">
        <f>44415</f>
        <v>44415</v>
      </c>
      <c r="CS25">
        <f>44524</f>
        <v>44524</v>
      </c>
      <c r="CT25">
        <f>43613</f>
        <v>43613</v>
      </c>
      <c r="CU25">
        <f>50232</f>
        <v>50232</v>
      </c>
      <c r="CV25">
        <f>52499</f>
        <v>52499</v>
      </c>
      <c r="CW25">
        <f>54786</f>
        <v>54786</v>
      </c>
      <c r="CX25">
        <f>51597</f>
        <v>51597</v>
      </c>
      <c r="CY25">
        <f>52391</f>
        <v>52391</v>
      </c>
      <c r="CZ25">
        <f>51996</f>
        <v>51996</v>
      </c>
      <c r="DA25">
        <f>62257</f>
        <v>62257</v>
      </c>
      <c r="DB25">
        <f>53741</f>
        <v>53741</v>
      </c>
      <c r="DC25">
        <f>55445</f>
        <v>55445</v>
      </c>
      <c r="DD25">
        <f>52071</f>
        <v>52071</v>
      </c>
      <c r="DE25">
        <f>52352</f>
        <v>52352</v>
      </c>
      <c r="DF25">
        <f>49000</f>
        <v>49000</v>
      </c>
      <c r="DG25">
        <f>53337</f>
        <v>53337</v>
      </c>
      <c r="DH25">
        <f>55905</f>
        <v>55905</v>
      </c>
      <c r="DI25">
        <f>61556</f>
        <v>61556</v>
      </c>
      <c r="DJ25">
        <f>18577</f>
        <v>18577</v>
      </c>
      <c r="DK25">
        <f>70034</f>
        <v>70034</v>
      </c>
      <c r="DL25">
        <f>66080</f>
        <v>66080</v>
      </c>
      <c r="DM25">
        <f>60328</f>
        <v>60328</v>
      </c>
      <c r="DN25">
        <f>59963</f>
        <v>59963</v>
      </c>
      <c r="DO25">
        <f>69934</f>
        <v>69934</v>
      </c>
      <c r="DP25">
        <f>60555</f>
        <v>60555</v>
      </c>
      <c r="DQ25">
        <f>61094</f>
        <v>61094</v>
      </c>
      <c r="DR25" t="str">
        <f>""</f>
        <v/>
      </c>
      <c r="DS25">
        <f>90517</f>
        <v>90517</v>
      </c>
      <c r="DT25" t="str">
        <f>""</f>
        <v/>
      </c>
      <c r="DU25">
        <f>82931</f>
        <v>82931</v>
      </c>
    </row>
    <row r="26" spans="1:125" x14ac:dyDescent="0.25">
      <c r="A26" t="str">
        <f>"    Jyske Bank A/S"</f>
        <v xml:space="preserve">    Jyske Bank A/S</v>
      </c>
      <c r="B26" t="str">
        <f>"JYSK DC Equity"</f>
        <v>JYSK DC Equity</v>
      </c>
      <c r="C26" t="str">
        <f t="shared" si="0"/>
        <v>BM105</v>
      </c>
      <c r="D26" t="str">
        <f t="shared" si="1"/>
        <v>BS_TRADING_ASSETS</v>
      </c>
      <c r="E26" t="str">
        <f t="shared" si="2"/>
        <v>Dynamic</v>
      </c>
      <c r="F26" t="str">
        <f ca="1">IF(AND(ISNUMBER($F$232),$B$208=1),$F$232,HLOOKUP(INDIRECT(ADDRESS(2,COLUMN())),OFFSET($BN$2,0,0,ROW()-1,60),ROW()-1,FALSE))</f>
        <v/>
      </c>
      <c r="G26" t="str">
        <f ca="1">IF(AND(ISNUMBER($G$232),$B$208=1),$G$232,HLOOKUP(INDIRECT(ADDRESS(2,COLUMN())),OFFSET($BN$2,0,0,ROW()-1,60),ROW()-1,FALSE))</f>
        <v/>
      </c>
      <c r="H26" t="str">
        <f ca="1">IF(AND(ISNUMBER($H$232),$B$208=1),$H$232,HLOOKUP(INDIRECT(ADDRESS(2,COLUMN())),OFFSET($BN$2,0,0,ROW()-1,60),ROW()-1,FALSE))</f>
        <v/>
      </c>
      <c r="I26" t="str">
        <f ca="1">IF(AND(ISNUMBER($I$232),$B$208=1),$I$232,HLOOKUP(INDIRECT(ADDRESS(2,COLUMN())),OFFSET($BN$2,0,0,ROW()-1,60),ROW()-1,FALSE))</f>
        <v/>
      </c>
      <c r="J26" t="str">
        <f ca="1">IF(AND(ISNUMBER($J$232),$B$208=1),$J$232,HLOOKUP(INDIRECT(ADDRESS(2,COLUMN())),OFFSET($BN$2,0,0,ROW()-1,60),ROW()-1,FALSE))</f>
        <v/>
      </c>
      <c r="K26" t="str">
        <f ca="1">IF(AND(ISNUMBER($K$232),$B$208=1),$K$232,HLOOKUP(INDIRECT(ADDRESS(2,COLUMN())),OFFSET($BN$2,0,0,ROW()-1,60),ROW()-1,FALSE))</f>
        <v/>
      </c>
      <c r="L26" t="str">
        <f ca="1">IF(AND(ISNUMBER($L$232),$B$208=1),$L$232,HLOOKUP(INDIRECT(ADDRESS(2,COLUMN())),OFFSET($BN$2,0,0,ROW()-1,60),ROW()-1,FALSE))</f>
        <v/>
      </c>
      <c r="M26" t="str">
        <f ca="1">IF(AND(ISNUMBER($M$232),$B$208=1),$M$232,HLOOKUP(INDIRECT(ADDRESS(2,COLUMN())),OFFSET($BN$2,0,0,ROW()-1,60),ROW()-1,FALSE))</f>
        <v/>
      </c>
      <c r="N26" t="str">
        <f ca="1">IF(AND(ISNUMBER($N$232),$B$208=1),$N$232,HLOOKUP(INDIRECT(ADDRESS(2,COLUMN())),OFFSET($BN$2,0,0,ROW()-1,60),ROW()-1,FALSE))</f>
        <v/>
      </c>
      <c r="O26" t="str">
        <f ca="1">IF(AND(ISNUMBER($O$232),$B$208=1),$O$232,HLOOKUP(INDIRECT(ADDRESS(2,COLUMN())),OFFSET($BN$2,0,0,ROW()-1,60),ROW()-1,FALSE))</f>
        <v/>
      </c>
      <c r="P26" t="str">
        <f ca="1">IF(AND(ISNUMBER($P$232),$B$208=1),$P$232,HLOOKUP(INDIRECT(ADDRESS(2,COLUMN())),OFFSET($BN$2,0,0,ROW()-1,60),ROW()-1,FALSE))</f>
        <v/>
      </c>
      <c r="Q26" t="str">
        <f ca="1">IF(AND(ISNUMBER($Q$232),$B$208=1),$Q$232,HLOOKUP(INDIRECT(ADDRESS(2,COLUMN())),OFFSET($BN$2,0,0,ROW()-1,60),ROW()-1,FALSE))</f>
        <v/>
      </c>
      <c r="R26" t="str">
        <f ca="1">IF(AND(ISNUMBER($R$232),$B$208=1),$R$232,HLOOKUP(INDIRECT(ADDRESS(2,COLUMN())),OFFSET($BN$2,0,0,ROW()-1,60),ROW()-1,FALSE))</f>
        <v/>
      </c>
      <c r="S26" t="str">
        <f ca="1">IF(AND(ISNUMBER($S$232),$B$208=1),$S$232,HLOOKUP(INDIRECT(ADDRESS(2,COLUMN())),OFFSET($BN$2,0,0,ROW()-1,60),ROW()-1,FALSE))</f>
        <v/>
      </c>
      <c r="T26" t="str">
        <f ca="1">IF(AND(ISNUMBER($T$232),$B$208=1),$T$232,HLOOKUP(INDIRECT(ADDRESS(2,COLUMN())),OFFSET($BN$2,0,0,ROW()-1,60),ROW()-1,FALSE))</f>
        <v/>
      </c>
      <c r="U26" t="str">
        <f ca="1">IF(AND(ISNUMBER($U$232),$B$208=1),$U$232,HLOOKUP(INDIRECT(ADDRESS(2,COLUMN())),OFFSET($BN$2,0,0,ROW()-1,60),ROW()-1,FALSE))</f>
        <v/>
      </c>
      <c r="V26" t="str">
        <f ca="1">IF(AND(ISNUMBER($V$232),$B$208=1),$V$232,HLOOKUP(INDIRECT(ADDRESS(2,COLUMN())),OFFSET($BN$2,0,0,ROW()-1,60),ROW()-1,FALSE))</f>
        <v/>
      </c>
      <c r="W26" t="str">
        <f ca="1">IF(AND(ISNUMBER($W$232),$B$208=1),$W$232,HLOOKUP(INDIRECT(ADDRESS(2,COLUMN())),OFFSET($BN$2,0,0,ROW()-1,60),ROW()-1,FALSE))</f>
        <v/>
      </c>
      <c r="X26" t="str">
        <f ca="1">IF(AND(ISNUMBER($X$232),$B$208=1),$X$232,HLOOKUP(INDIRECT(ADDRESS(2,COLUMN())),OFFSET($BN$2,0,0,ROW()-1,60),ROW()-1,FALSE))</f>
        <v/>
      </c>
      <c r="Y26" t="str">
        <f ca="1">IF(AND(ISNUMBER($Y$232),$B$208=1),$Y$232,HLOOKUP(INDIRECT(ADDRESS(2,COLUMN())),OFFSET($BN$2,0,0,ROW()-1,60),ROW()-1,FALSE))</f>
        <v/>
      </c>
      <c r="Z26" t="str">
        <f ca="1">IF(AND(ISNUMBER($Z$232),$B$208=1),$Z$232,HLOOKUP(INDIRECT(ADDRESS(2,COLUMN())),OFFSET($BN$2,0,0,ROW()-1,60),ROW()-1,FALSE))</f>
        <v/>
      </c>
      <c r="AA26" t="str">
        <f ca="1">IF(AND(ISNUMBER($AA$232),$B$208=1),$AA$232,HLOOKUP(INDIRECT(ADDRESS(2,COLUMN())),OFFSET($BN$2,0,0,ROW()-1,60),ROW()-1,FALSE))</f>
        <v/>
      </c>
      <c r="AB26" t="str">
        <f ca="1">IF(AND(ISNUMBER($AB$232),$B$208=1),$AB$232,HLOOKUP(INDIRECT(ADDRESS(2,COLUMN())),OFFSET($BN$2,0,0,ROW()-1,60),ROW()-1,FALSE))</f>
        <v/>
      </c>
      <c r="AC26" t="str">
        <f ca="1">IF(AND(ISNUMBER($AC$232),$B$208=1),$AC$232,HLOOKUP(INDIRECT(ADDRESS(2,COLUMN())),OFFSET($BN$2,0,0,ROW()-1,60),ROW()-1,FALSE))</f>
        <v/>
      </c>
      <c r="AD26" t="str">
        <f ca="1">IF(AND(ISNUMBER($AD$232),$B$208=1),$AD$232,HLOOKUP(INDIRECT(ADDRESS(2,COLUMN())),OFFSET($BN$2,0,0,ROW()-1,60),ROW()-1,FALSE))</f>
        <v/>
      </c>
      <c r="AE26" t="str">
        <f ca="1">IF(AND(ISNUMBER($AE$232),$B$208=1),$AE$232,HLOOKUP(INDIRECT(ADDRESS(2,COLUMN())),OFFSET($BN$2,0,0,ROW()-1,60),ROW()-1,FALSE))</f>
        <v/>
      </c>
      <c r="AF26" t="str">
        <f ca="1">IF(AND(ISNUMBER($AF$232),$B$208=1),$AF$232,HLOOKUP(INDIRECT(ADDRESS(2,COLUMN())),OFFSET($BN$2,0,0,ROW()-1,60),ROW()-1,FALSE))</f>
        <v/>
      </c>
      <c r="AG26" t="str">
        <f ca="1">IF(AND(ISNUMBER($AG$232),$B$208=1),$AG$232,HLOOKUP(INDIRECT(ADDRESS(2,COLUMN())),OFFSET($BN$2,0,0,ROW()-1,60),ROW()-1,FALSE))</f>
        <v/>
      </c>
      <c r="AH26" t="str">
        <f ca="1">IF(AND(ISNUMBER($AH$232),$B$208=1),$AH$232,HLOOKUP(INDIRECT(ADDRESS(2,COLUMN())),OFFSET($BN$2,0,0,ROW()-1,60),ROW()-1,FALSE))</f>
        <v/>
      </c>
      <c r="AI26" t="str">
        <f ca="1">IF(AND(ISNUMBER($AI$232),$B$208=1),$AI$232,HLOOKUP(INDIRECT(ADDRESS(2,COLUMN())),OFFSET($BN$2,0,0,ROW()-1,60),ROW()-1,FALSE))</f>
        <v/>
      </c>
      <c r="AJ26" t="str">
        <f ca="1">IF(AND(ISNUMBER($AJ$232),$B$208=1),$AJ$232,HLOOKUP(INDIRECT(ADDRESS(2,COLUMN())),OFFSET($BN$2,0,0,ROW()-1,60),ROW()-1,FALSE))</f>
        <v/>
      </c>
      <c r="AK26" t="str">
        <f ca="1">IF(AND(ISNUMBER($AK$232),$B$208=1),$AK$232,HLOOKUP(INDIRECT(ADDRESS(2,COLUMN())),OFFSET($BN$2,0,0,ROW()-1,60),ROW()-1,FALSE))</f>
        <v/>
      </c>
      <c r="AL26" t="str">
        <f ca="1">IF(AND(ISNUMBER($AL$232),$B$208=1),$AL$232,HLOOKUP(INDIRECT(ADDRESS(2,COLUMN())),OFFSET($BN$2,0,0,ROW()-1,60),ROW()-1,FALSE))</f>
        <v/>
      </c>
      <c r="AM26" t="str">
        <f ca="1">IF(AND(ISNUMBER($AM$232),$B$208=1),$AM$232,HLOOKUP(INDIRECT(ADDRESS(2,COLUMN())),OFFSET($BN$2,0,0,ROW()-1,60),ROW()-1,FALSE))</f>
        <v/>
      </c>
      <c r="AN26" t="str">
        <f ca="1">IF(AND(ISNUMBER($AN$232),$B$208=1),$AN$232,HLOOKUP(INDIRECT(ADDRESS(2,COLUMN())),OFFSET($BN$2,0,0,ROW()-1,60),ROW()-1,FALSE))</f>
        <v/>
      </c>
      <c r="AO26" t="str">
        <f ca="1">IF(AND(ISNUMBER($AO$232),$B$208=1),$AO$232,HLOOKUP(INDIRECT(ADDRESS(2,COLUMN())),OFFSET($BN$2,0,0,ROW()-1,60),ROW()-1,FALSE))</f>
        <v/>
      </c>
      <c r="AP26" t="str">
        <f ca="1">IF(AND(ISNUMBER($AP$232),$B$208=1),$AP$232,HLOOKUP(INDIRECT(ADDRESS(2,COLUMN())),OFFSET($BN$2,0,0,ROW()-1,60),ROW()-1,FALSE))</f>
        <v/>
      </c>
      <c r="AQ26" t="str">
        <f ca="1">IF(AND(ISNUMBER($AQ$232),$B$208=1),$AQ$232,HLOOKUP(INDIRECT(ADDRESS(2,COLUMN())),OFFSET($BN$2,0,0,ROW()-1,60),ROW()-1,FALSE))</f>
        <v/>
      </c>
      <c r="AR26" t="str">
        <f ca="1">IF(AND(ISNUMBER($AR$232),$B$208=1),$AR$232,HLOOKUP(INDIRECT(ADDRESS(2,COLUMN())),OFFSET($BN$2,0,0,ROW()-1,60),ROW()-1,FALSE))</f>
        <v/>
      </c>
      <c r="AS26" t="str">
        <f ca="1">IF(AND(ISNUMBER($AS$232),$B$208=1),$AS$232,HLOOKUP(INDIRECT(ADDRESS(2,COLUMN())),OFFSET($BN$2,0,0,ROW()-1,60),ROW()-1,FALSE))</f>
        <v/>
      </c>
      <c r="AT26" t="str">
        <f ca="1">IF(AND(ISNUMBER($AT$232),$B$208=1),$AT$232,HLOOKUP(INDIRECT(ADDRESS(2,COLUMN())),OFFSET($BN$2,0,0,ROW()-1,60),ROW()-1,FALSE))</f>
        <v/>
      </c>
      <c r="AU26" t="str">
        <f ca="1">IF(AND(ISNUMBER($AU$232),$B$208=1),$AU$232,HLOOKUP(INDIRECT(ADDRESS(2,COLUMN())),OFFSET($BN$2,0,0,ROW()-1,60),ROW()-1,FALSE))</f>
        <v/>
      </c>
      <c r="AV26" t="str">
        <f ca="1">IF(AND(ISNUMBER($AV$232),$B$208=1),$AV$232,HLOOKUP(INDIRECT(ADDRESS(2,COLUMN())),OFFSET($BN$2,0,0,ROW()-1,60),ROW()-1,FALSE))</f>
        <v/>
      </c>
      <c r="AW26" t="str">
        <f ca="1">IF(AND(ISNUMBER($AW$232),$B$208=1),$AW$232,HLOOKUP(INDIRECT(ADDRESS(2,COLUMN())),OFFSET($BN$2,0,0,ROW()-1,60),ROW()-1,FALSE))</f>
        <v/>
      </c>
      <c r="AX26" t="str">
        <f ca="1">IF(AND(ISNUMBER($AX$232),$B$208=1),$AX$232,HLOOKUP(INDIRECT(ADDRESS(2,COLUMN())),OFFSET($BN$2,0,0,ROW()-1,60),ROW()-1,FALSE))</f>
        <v/>
      </c>
      <c r="AY26" t="str">
        <f ca="1">IF(AND(ISNUMBER($AY$232),$B$208=1),$AY$232,HLOOKUP(INDIRECT(ADDRESS(2,COLUMN())),OFFSET($BN$2,0,0,ROW()-1,60),ROW()-1,FALSE))</f>
        <v/>
      </c>
      <c r="AZ26" t="str">
        <f ca="1">IF(AND(ISNUMBER($AZ$232),$B$208=1),$AZ$232,HLOOKUP(INDIRECT(ADDRESS(2,COLUMN())),OFFSET($BN$2,0,0,ROW()-1,60),ROW()-1,FALSE))</f>
        <v/>
      </c>
      <c r="BA26" t="str">
        <f ca="1">IF(AND(ISNUMBER($BA$232),$B$208=1),$BA$232,HLOOKUP(INDIRECT(ADDRESS(2,COLUMN())),OFFSET($BN$2,0,0,ROW()-1,60),ROW()-1,FALSE))</f>
        <v/>
      </c>
      <c r="BB26" t="str">
        <f ca="1">IF(AND(ISNUMBER($BB$232),$B$208=1),$BB$232,HLOOKUP(INDIRECT(ADDRESS(2,COLUMN())),OFFSET($BN$2,0,0,ROW()-1,60),ROW()-1,FALSE))</f>
        <v/>
      </c>
      <c r="BC26" t="str">
        <f ca="1">IF(AND(ISNUMBER($BC$232),$B$208=1),$BC$232,HLOOKUP(INDIRECT(ADDRESS(2,COLUMN())),OFFSET($BN$2,0,0,ROW()-1,60),ROW()-1,FALSE))</f>
        <v/>
      </c>
      <c r="BD26" t="str">
        <f ca="1">IF(AND(ISNUMBER($BD$232),$B$208=1),$BD$232,HLOOKUP(INDIRECT(ADDRESS(2,COLUMN())),OFFSET($BN$2,0,0,ROW()-1,60),ROW()-1,FALSE))</f>
        <v/>
      </c>
      <c r="BE26" t="str">
        <f ca="1">IF(AND(ISNUMBER($BE$232),$B$208=1),$BE$232,HLOOKUP(INDIRECT(ADDRESS(2,COLUMN())),OFFSET($BN$2,0,0,ROW()-1,60),ROW()-1,FALSE))</f>
        <v/>
      </c>
      <c r="BF26" t="str">
        <f ca="1">IF(AND(ISNUMBER($BF$232),$B$208=1),$BF$232,HLOOKUP(INDIRECT(ADDRESS(2,COLUMN())),OFFSET($BN$2,0,0,ROW()-1,60),ROW()-1,FALSE))</f>
        <v/>
      </c>
      <c r="BG26" t="str">
        <f ca="1">IF(AND(ISNUMBER($BG$232),$B$208=1),$BG$232,HLOOKUP(INDIRECT(ADDRESS(2,COLUMN())),OFFSET($BN$2,0,0,ROW()-1,60),ROW()-1,FALSE))</f>
        <v/>
      </c>
      <c r="BH26" t="str">
        <f ca="1">IF(AND(ISNUMBER($BH$232),$B$208=1),$BH$232,HLOOKUP(INDIRECT(ADDRESS(2,COLUMN())),OFFSET($BN$2,0,0,ROW()-1,60),ROW()-1,FALSE))</f>
        <v/>
      </c>
      <c r="BI26" t="str">
        <f ca="1">IF(AND(ISNUMBER($BI$232),$B$208=1),$BI$232,HLOOKUP(INDIRECT(ADDRESS(2,COLUMN())),OFFSET($BN$2,0,0,ROW()-1,60),ROW()-1,FALSE))</f>
        <v/>
      </c>
      <c r="BJ26" t="str">
        <f ca="1">IF(AND(ISNUMBER($BJ$232),$B$208=1),$BJ$232,HLOOKUP(INDIRECT(ADDRESS(2,COLUMN())),OFFSET($BN$2,0,0,ROW()-1,60),ROW()-1,FALSE))</f>
        <v/>
      </c>
      <c r="BK26" t="str">
        <f ca="1">IF(AND(ISNUMBER($BK$232),$B$208=1),$BK$232,HLOOKUP(INDIRECT(ADDRESS(2,COLUMN())),OFFSET($BN$2,0,0,ROW()-1,60),ROW()-1,FALSE))</f>
        <v/>
      </c>
      <c r="BL26" t="str">
        <f ca="1">IF(AND(ISNUMBER($BL$232),$B$208=1),$BL$232,HLOOKUP(INDIRECT(ADDRESS(2,COLUMN())),OFFSET($BN$2,0,0,ROW()-1,60),ROW()-1,FALSE))</f>
        <v/>
      </c>
      <c r="BM26" t="str">
        <f ca="1">IF(AND(ISNUMBER($BM$232),$B$208=1),$BM$232,HLOOKUP(INDIRECT(ADDRESS(2,COLUMN())),OFFSET($BN$2,0,0,ROW()-1,60),ROW()-1,FALSE))</f>
        <v/>
      </c>
      <c r="BN26" t="str">
        <f>""</f>
        <v/>
      </c>
      <c r="BO26" t="str">
        <f>""</f>
        <v/>
      </c>
      <c r="BP26" t="str">
        <f>""</f>
        <v/>
      </c>
      <c r="BQ26" t="str">
        <f>""</f>
        <v/>
      </c>
      <c r="BR26" t="str">
        <f>""</f>
        <v/>
      </c>
      <c r="BS26" t="str">
        <f>""</f>
        <v/>
      </c>
      <c r="BT26" t="str">
        <f>""</f>
        <v/>
      </c>
      <c r="BU26" t="str">
        <f>""</f>
        <v/>
      </c>
      <c r="BV26" t="str">
        <f>""</f>
        <v/>
      </c>
      <c r="BW26" t="str">
        <f>""</f>
        <v/>
      </c>
      <c r="BX26" t="str">
        <f>""</f>
        <v/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  <c r="CH26" t="str">
        <f>""</f>
        <v/>
      </c>
      <c r="CI26" t="str">
        <f>""</f>
        <v/>
      </c>
      <c r="CJ26" t="str">
        <f>""</f>
        <v/>
      </c>
      <c r="CK26" t="str">
        <f>""</f>
        <v/>
      </c>
      <c r="CL26" t="str">
        <f>""</f>
        <v/>
      </c>
      <c r="CM26" t="str">
        <f>""</f>
        <v/>
      </c>
      <c r="CN26" t="str">
        <f>""</f>
        <v/>
      </c>
      <c r="CO26" t="str">
        <f>""</f>
        <v/>
      </c>
      <c r="CP26" t="str">
        <f>""</f>
        <v/>
      </c>
      <c r="CQ26" t="str">
        <f>""</f>
        <v/>
      </c>
      <c r="CR26" t="str">
        <f>""</f>
        <v/>
      </c>
      <c r="CS26" t="str">
        <f>""</f>
        <v/>
      </c>
      <c r="CT26" t="str">
        <f>""</f>
        <v/>
      </c>
      <c r="CU26" t="str">
        <f>""</f>
        <v/>
      </c>
      <c r="CV26" t="str">
        <f>""</f>
        <v/>
      </c>
      <c r="CW26" t="str">
        <f>""</f>
        <v/>
      </c>
      <c r="CX26" t="str">
        <f>""</f>
        <v/>
      </c>
      <c r="CY26" t="str">
        <f>""</f>
        <v/>
      </c>
      <c r="CZ26" t="str">
        <f>""</f>
        <v/>
      </c>
      <c r="DA26" t="str">
        <f>""</f>
        <v/>
      </c>
      <c r="DB26" t="str">
        <f>""</f>
        <v/>
      </c>
      <c r="DC26" t="str">
        <f>""</f>
        <v/>
      </c>
      <c r="DD26" t="str">
        <f>""</f>
        <v/>
      </c>
      <c r="DE26" t="str">
        <f>""</f>
        <v/>
      </c>
      <c r="DF26" t="str">
        <f>""</f>
        <v/>
      </c>
      <c r="DG26" t="str">
        <f>""</f>
        <v/>
      </c>
      <c r="DH26" t="str">
        <f>""</f>
        <v/>
      </c>
      <c r="DI26" t="str">
        <f>""</f>
        <v/>
      </c>
      <c r="DJ26" t="str">
        <f>""</f>
        <v/>
      </c>
      <c r="DK26" t="str">
        <f>""</f>
        <v/>
      </c>
      <c r="DL26" t="str">
        <f>""</f>
        <v/>
      </c>
      <c r="DM26" t="str">
        <f>""</f>
        <v/>
      </c>
      <c r="DN26" t="str">
        <f>""</f>
        <v/>
      </c>
      <c r="DO26" t="str">
        <f>""</f>
        <v/>
      </c>
      <c r="DP26" t="str">
        <f>""</f>
        <v/>
      </c>
      <c r="DQ26" t="str">
        <f>""</f>
        <v/>
      </c>
      <c r="DR26" t="str">
        <f>""</f>
        <v/>
      </c>
      <c r="DS26" t="str">
        <f>""</f>
        <v/>
      </c>
      <c r="DT26" t="str">
        <f>""</f>
        <v/>
      </c>
      <c r="DU26" t="str">
        <f>""</f>
        <v/>
      </c>
    </row>
    <row r="27" spans="1:125" x14ac:dyDescent="0.25">
      <c r="A27" t="str">
        <f>"    KBC Group NV"</f>
        <v xml:space="preserve">    KBC Group NV</v>
      </c>
      <c r="B27" t="str">
        <f>"KBC BB Equity"</f>
        <v>KBC BB Equity</v>
      </c>
      <c r="C27" t="str">
        <f t="shared" si="0"/>
        <v>BM105</v>
      </c>
      <c r="D27" t="str">
        <f t="shared" si="1"/>
        <v>BS_TRADING_ASSETS</v>
      </c>
      <c r="E27" t="str">
        <f t="shared" si="2"/>
        <v>Dynamic</v>
      </c>
      <c r="F27">
        <f ca="1">IF(AND(ISNUMBER($F$233),$B$208=1),$F$233,HLOOKUP(INDIRECT(ADDRESS(2,COLUMN())),OFFSET($BN$2,0,0,ROW()-1,60),ROW()-1,FALSE))</f>
        <v>10509</v>
      </c>
      <c r="G27">
        <f ca="1">IF(AND(ISNUMBER($G$233),$B$208=1),$G$233,HLOOKUP(INDIRECT(ADDRESS(2,COLUMN())),OFFSET($BN$2,0,0,ROW()-1,60),ROW()-1,FALSE))</f>
        <v>9771</v>
      </c>
      <c r="H27">
        <f ca="1">IF(AND(ISNUMBER($H$233),$B$208=1),$H$233,HLOOKUP(INDIRECT(ADDRESS(2,COLUMN())),OFFSET($BN$2,0,0,ROW()-1,60),ROW()-1,FALSE))</f>
        <v>10361</v>
      </c>
      <c r="I27">
        <f ca="1">IF(AND(ISNUMBER($I$233),$B$208=1),$I$233,HLOOKUP(INDIRECT(ADDRESS(2,COLUMN())),OFFSET($BN$2,0,0,ROW()-1,60),ROW()-1,FALSE))</f>
        <v>9813</v>
      </c>
      <c r="J27">
        <f ca="1">IF(AND(ISNUMBER($J$233),$B$208=1),$J$233,HLOOKUP(INDIRECT(ADDRESS(2,COLUMN())),OFFSET($BN$2,0,0,ROW()-1,60),ROW()-1,FALSE))</f>
        <v>8327</v>
      </c>
      <c r="K27">
        <f ca="1">IF(AND(ISNUMBER($K$233),$B$208=1),$K$233,HLOOKUP(INDIRECT(ADDRESS(2,COLUMN())),OFFSET($BN$2,0,0,ROW()-1,60),ROW()-1,FALSE))</f>
        <v>10009</v>
      </c>
      <c r="L27">
        <f ca="1">IF(AND(ISNUMBER($L$233),$B$208=1),$L$233,HLOOKUP(INDIRECT(ADDRESS(2,COLUMN())),OFFSET($BN$2,0,0,ROW()-1,60),ROW()-1,FALSE))</f>
        <v>9422</v>
      </c>
      <c r="M27">
        <f ca="1">IF(AND(ISNUMBER($M$233),$B$208=1),$M$233,HLOOKUP(INDIRECT(ADDRESS(2,COLUMN())),OFFSET($BN$2,0,0,ROW()-1,60),ROW()-1,FALSE))</f>
        <v>9341</v>
      </c>
      <c r="N27">
        <f ca="1">IF(AND(ISNUMBER($N$233),$B$208=1),$N$233,HLOOKUP(INDIRECT(ADDRESS(2,COLUMN())),OFFSET($BN$2,0,0,ROW()-1,60),ROW()-1,FALSE))</f>
        <v>8471</v>
      </c>
      <c r="O27">
        <f ca="1">IF(AND(ISNUMBER($O$233),$B$208=1),$O$233,HLOOKUP(INDIRECT(ADDRESS(2,COLUMN())),OFFSET($BN$2,0,0,ROW()-1,60),ROW()-1,FALSE))</f>
        <v>12199</v>
      </c>
      <c r="P27">
        <f ca="1">IF(AND(ISNUMBER($P$233),$B$208=1),$P$233,HLOOKUP(INDIRECT(ADDRESS(2,COLUMN())),OFFSET($BN$2,0,0,ROW()-1,60),ROW()-1,FALSE))</f>
        <v>11001</v>
      </c>
      <c r="Q27">
        <f ca="1">IF(AND(ISNUMBER($Q$233),$B$208=1),$Q$233,HLOOKUP(INDIRECT(ADDRESS(2,COLUMN())),OFFSET($BN$2,0,0,ROW()-1,60),ROW()-1,FALSE))</f>
        <v>10095</v>
      </c>
      <c r="R27">
        <f ca="1">IF(AND(ISNUMBER($R$233),$B$208=1),$R$233,HLOOKUP(INDIRECT(ADDRESS(2,COLUMN())),OFFSET($BN$2,0,0,ROW()-1,60),ROW()-1,FALSE))</f>
        <v>8850</v>
      </c>
      <c r="S27">
        <f ca="1">IF(AND(ISNUMBER($S$233),$B$208=1),$S$233,HLOOKUP(INDIRECT(ADDRESS(2,COLUMN())),OFFSET($BN$2,0,0,ROW()-1,60),ROW()-1,FALSE))</f>
        <v>9018</v>
      </c>
      <c r="T27">
        <f ca="1">IF(AND(ISNUMBER($T$233),$B$208=1),$T$233,HLOOKUP(INDIRECT(ADDRESS(2,COLUMN())),OFFSET($BN$2,0,0,ROW()-1,60),ROW()-1,FALSE))</f>
        <v>9728</v>
      </c>
      <c r="U27">
        <f ca="1">IF(AND(ISNUMBER($U$233),$B$208=1),$U$233,HLOOKUP(INDIRECT(ADDRESS(2,COLUMN())),OFFSET($BN$2,0,0,ROW()-1,60),ROW()-1,FALSE))</f>
        <v>9728</v>
      </c>
      <c r="V27">
        <f ca="1">IF(AND(ISNUMBER($V$233),$B$208=1),$V$233,HLOOKUP(INDIRECT(ADDRESS(2,COLUMN())),OFFSET($BN$2,0,0,ROW()-1,60),ROW()-1,FALSE))</f>
        <v>8695</v>
      </c>
      <c r="W27">
        <f ca="1">IF(AND(ISNUMBER($W$233),$B$208=1),$W$233,HLOOKUP(INDIRECT(ADDRESS(2,COLUMN())),OFFSET($BN$2,0,0,ROW()-1,60),ROW()-1,FALSE))</f>
        <v>10922</v>
      </c>
      <c r="X27">
        <f ca="1">IF(AND(ISNUMBER($X$233),$B$208=1),$X$233,HLOOKUP(INDIRECT(ADDRESS(2,COLUMN())),OFFSET($BN$2,0,0,ROW()-1,60),ROW()-1,FALSE))</f>
        <v>10321</v>
      </c>
      <c r="Y27">
        <f ca="1">IF(AND(ISNUMBER($Y$233),$B$208=1),$Y$233,HLOOKUP(INDIRECT(ADDRESS(2,COLUMN())),OFFSET($BN$2,0,0,ROW()-1,60),ROW()-1,FALSE))</f>
        <v>11574</v>
      </c>
      <c r="Z27">
        <f ca="1">IF(AND(ISNUMBER($Z$233),$B$208=1),$Z$233,HLOOKUP(INDIRECT(ADDRESS(2,COLUMN())),OFFSET($BN$2,0,0,ROW()-1,60),ROW()-1,FALSE))</f>
        <v>7266</v>
      </c>
      <c r="AA27">
        <f ca="1">IF(AND(ISNUMBER($AA$233),$B$208=1),$AA$233,HLOOKUP(INDIRECT(ADDRESS(2,COLUMN())),OFFSET($BN$2,0,0,ROW()-1,60),ROW()-1,FALSE))</f>
        <v>8915</v>
      </c>
      <c r="AB27">
        <f ca="1">IF(AND(ISNUMBER($AB$233),$B$208=1),$AB$233,HLOOKUP(INDIRECT(ADDRESS(2,COLUMN())),OFFSET($BN$2,0,0,ROW()-1,60),ROW()-1,FALSE))</f>
        <v>7460</v>
      </c>
      <c r="AC27">
        <f ca="1">IF(AND(ISNUMBER($AC$233),$B$208=1),$AC$233,HLOOKUP(INDIRECT(ADDRESS(2,COLUMN())),OFFSET($BN$2,0,0,ROW()-1,60),ROW()-1,FALSE))</f>
        <v>7948</v>
      </c>
      <c r="AD27">
        <f ca="1">IF(AND(ISNUMBER($AD$233),$B$208=1),$AD$233,HLOOKUP(INDIRECT(ADDRESS(2,COLUMN())),OFFSET($BN$2,0,0,ROW()-1,60),ROW()-1,FALSE))</f>
        <v>6426</v>
      </c>
      <c r="AE27">
        <f ca="1">IF(AND(ISNUMBER($AE$233),$B$208=1),$AE$233,HLOOKUP(INDIRECT(ADDRESS(2,COLUMN())),OFFSET($BN$2,0,0,ROW()-1,60),ROW()-1,FALSE))</f>
        <v>0</v>
      </c>
      <c r="AF27">
        <f ca="1">IF(AND(ISNUMBER($AF$233),$B$208=1),$AF$233,HLOOKUP(INDIRECT(ADDRESS(2,COLUMN())),OFFSET($BN$2,0,0,ROW()-1,60),ROW()-1,FALSE))</f>
        <v>7580</v>
      </c>
      <c r="AG27">
        <f ca="1">IF(AND(ISNUMBER($AG$233),$B$208=1),$AG$233,HLOOKUP(INDIRECT(ADDRESS(2,COLUMN())),OFFSET($BN$2,0,0,ROW()-1,60),ROW()-1,FALSE))</f>
        <v>7869</v>
      </c>
      <c r="AH27">
        <f ca="1">IF(AND(ISNUMBER($AH$233),$B$208=1),$AH$233,HLOOKUP(INDIRECT(ADDRESS(2,COLUMN())),OFFSET($BN$2,0,0,ROW()-1,60),ROW()-1,FALSE))</f>
        <v>7431</v>
      </c>
      <c r="AI27">
        <f ca="1">IF(AND(ISNUMBER($AI$233),$B$208=1),$AI$233,HLOOKUP(INDIRECT(ADDRESS(2,COLUMN())),OFFSET($BN$2,0,0,ROW()-1,60),ROW()-1,FALSE))</f>
        <v>8390</v>
      </c>
      <c r="AJ27">
        <f ca="1">IF(AND(ISNUMBER($AJ$233),$B$208=1),$AJ$233,HLOOKUP(INDIRECT(ADDRESS(2,COLUMN())),OFFSET($BN$2,0,0,ROW()-1,60),ROW()-1,FALSE))</f>
        <v>9055</v>
      </c>
      <c r="AK27">
        <f ca="1">IF(AND(ISNUMBER($AK$233),$B$208=1),$AK$233,HLOOKUP(INDIRECT(ADDRESS(2,COLUMN())),OFFSET($BN$2,0,0,ROW()-1,60),ROW()-1,FALSE))</f>
        <v>8972</v>
      </c>
      <c r="AL27">
        <f ca="1">IF(AND(ISNUMBER($AL$233),$B$208=1),$AL$233,HLOOKUP(INDIRECT(ADDRESS(2,COLUMN())),OFFSET($BN$2,0,0,ROW()-1,60),ROW()-1,FALSE))</f>
        <v>9683</v>
      </c>
      <c r="AM27">
        <f ca="1">IF(AND(ISNUMBER($AM$233),$B$208=1),$AM$233,HLOOKUP(INDIRECT(ADDRESS(2,COLUMN())),OFFSET($BN$2,0,0,ROW()-1,60),ROW()-1,FALSE))</f>
        <v>10448</v>
      </c>
      <c r="AN27">
        <f ca="1">IF(AND(ISNUMBER($AN$233),$B$208=1),$AN$233,HLOOKUP(INDIRECT(ADDRESS(2,COLUMN())),OFFSET($BN$2,0,0,ROW()-1,60),ROW()-1,FALSE))</f>
        <v>12086</v>
      </c>
      <c r="AO27">
        <f ca="1">IF(AND(ISNUMBER($AO$233),$B$208=1),$AO$233,HLOOKUP(INDIRECT(ADDRESS(2,COLUMN())),OFFSET($BN$2,0,0,ROW()-1,60),ROW()-1,FALSE))</f>
        <v>12049</v>
      </c>
      <c r="AP27">
        <f ca="1">IF(AND(ISNUMBER($AP$233),$B$208=1),$AP$233,HLOOKUP(INDIRECT(ADDRESS(2,COLUMN())),OFFSET($BN$2,0,0,ROW()-1,60),ROW()-1,FALSE))</f>
        <v>10385</v>
      </c>
      <c r="AQ27">
        <f ca="1">IF(AND(ISNUMBER($AQ$233),$B$208=1),$AQ$233,HLOOKUP(INDIRECT(ADDRESS(2,COLUMN())),OFFSET($BN$2,0,0,ROW()-1,60),ROW()-1,FALSE))</f>
        <v>11030</v>
      </c>
      <c r="AR27">
        <f ca="1">IF(AND(ISNUMBER($AR$233),$B$208=1),$AR$233,HLOOKUP(INDIRECT(ADDRESS(2,COLUMN())),OFFSET($BN$2,0,0,ROW()-1,60),ROW()-1,FALSE))</f>
        <v>11311</v>
      </c>
      <c r="AS27">
        <f ca="1">IF(AND(ISNUMBER($AS$233),$B$208=1),$AS$233,HLOOKUP(INDIRECT(ADDRESS(2,COLUMN())),OFFSET($BN$2,0,0,ROW()-1,60),ROW()-1,FALSE))</f>
        <v>13954</v>
      </c>
      <c r="AT27">
        <f ca="1">IF(AND(ISNUMBER($AT$233),$B$208=1),$AT$233,HLOOKUP(INDIRECT(ADDRESS(2,COLUMN())),OFFSET($BN$2,0,0,ROW()-1,60),ROW()-1,FALSE))</f>
        <v>12182</v>
      </c>
      <c r="AU27">
        <f ca="1">IF(AND(ISNUMBER($AU$233),$B$208=1),$AU$233,HLOOKUP(INDIRECT(ADDRESS(2,COLUMN())),OFFSET($BN$2,0,0,ROW()-1,60),ROW()-1,FALSE))</f>
        <v>13032</v>
      </c>
      <c r="AV27">
        <f ca="1">IF(AND(ISNUMBER($AV$233),$B$208=1),$AV$233,HLOOKUP(INDIRECT(ADDRESS(2,COLUMN())),OFFSET($BN$2,0,0,ROW()-1,60),ROW()-1,FALSE))</f>
        <v>12717</v>
      </c>
      <c r="AW27">
        <f ca="1">IF(AND(ISNUMBER($AW$233),$B$208=1),$AW$233,HLOOKUP(INDIRECT(ADDRESS(2,COLUMN())),OFFSET($BN$2,0,0,ROW()-1,60),ROW()-1,FALSE))</f>
        <v>11929</v>
      </c>
      <c r="AX27">
        <f ca="1">IF(AND(ISNUMBER($AX$233),$B$208=1),$AX$233,HLOOKUP(INDIRECT(ADDRESS(2,COLUMN())),OFFSET($BN$2,0,0,ROW()-1,60),ROW()-1,FALSE))</f>
        <v>16885</v>
      </c>
      <c r="AY27">
        <f ca="1">IF(AND(ISNUMBER($AY$233),$B$208=1),$AY$233,HLOOKUP(INDIRECT(ADDRESS(2,COLUMN())),OFFSET($BN$2,0,0,ROW()-1,60),ROW()-1,FALSE))</f>
        <v>15770</v>
      </c>
      <c r="AZ27">
        <f ca="1">IF(AND(ISNUMBER($AZ$233),$B$208=1),$AZ$233,HLOOKUP(INDIRECT(ADDRESS(2,COLUMN())),OFFSET($BN$2,0,0,ROW()-1,60),ROW()-1,FALSE))</f>
        <v>17585</v>
      </c>
      <c r="BA27">
        <f ca="1">IF(AND(ISNUMBER($BA$233),$B$208=1),$BA$233,HLOOKUP(INDIRECT(ADDRESS(2,COLUMN())),OFFSET($BN$2,0,0,ROW()-1,60),ROW()-1,FALSE))</f>
        <v>20376</v>
      </c>
      <c r="BB27">
        <f ca="1">IF(AND(ISNUMBER($BB$233),$B$208=1),$BB$233,HLOOKUP(INDIRECT(ADDRESS(2,COLUMN())),OFFSET($BN$2,0,0,ROW()-1,60),ROW()-1,FALSE))</f>
        <v>21159</v>
      </c>
      <c r="BC27">
        <f ca="1">IF(AND(ISNUMBER($BC$233),$B$208=1),$BC$233,HLOOKUP(INDIRECT(ADDRESS(2,COLUMN())),OFFSET($BN$2,0,0,ROW()-1,60),ROW()-1,FALSE))</f>
        <v>23816</v>
      </c>
      <c r="BD27">
        <f ca="1">IF(AND(ISNUMBER($BD$233),$B$208=1),$BD$233,HLOOKUP(INDIRECT(ADDRESS(2,COLUMN())),OFFSET($BN$2,0,0,ROW()-1,60),ROW()-1,FALSE))</f>
        <v>23656</v>
      </c>
      <c r="BE27">
        <f ca="1">IF(AND(ISNUMBER($BE$233),$B$208=1),$BE$233,HLOOKUP(INDIRECT(ADDRESS(2,COLUMN())),OFFSET($BN$2,0,0,ROW()-1,60),ROW()-1,FALSE))</f>
        <v>25068</v>
      </c>
      <c r="BF27">
        <f ca="1">IF(AND(ISNUMBER($BF$233),$B$208=1),$BF$233,HLOOKUP(INDIRECT(ADDRESS(2,COLUMN())),OFFSET($BN$2,0,0,ROW()-1,60),ROW()-1,FALSE))</f>
        <v>26936</v>
      </c>
      <c r="BG27">
        <f ca="1">IF(AND(ISNUMBER($BG$233),$B$208=1),$BG$233,HLOOKUP(INDIRECT(ADDRESS(2,COLUMN())),OFFSET($BN$2,0,0,ROW()-1,60),ROW()-1,FALSE))</f>
        <v>30922</v>
      </c>
      <c r="BH27" t="str">
        <f ca="1">IF(AND(ISNUMBER($BH$233),$B$208=1),$BH$233,HLOOKUP(INDIRECT(ADDRESS(2,COLUMN())),OFFSET($BN$2,0,0,ROW()-1,60),ROW()-1,FALSE))</f>
        <v/>
      </c>
      <c r="BI27">
        <f ca="1">IF(AND(ISNUMBER($BI$233),$B$208=1),$BI$233,HLOOKUP(INDIRECT(ADDRESS(2,COLUMN())),OFFSET($BN$2,0,0,ROW()-1,60),ROW()-1,FALSE))</f>
        <v>29506</v>
      </c>
      <c r="BJ27">
        <f ca="1">IF(AND(ISNUMBER($BJ$233),$B$208=1),$BJ$233,HLOOKUP(INDIRECT(ADDRESS(2,COLUMN())),OFFSET($BN$2,0,0,ROW()-1,60),ROW()-1,FALSE))</f>
        <v>30287</v>
      </c>
      <c r="BK27">
        <f ca="1">IF(AND(ISNUMBER($BK$233),$B$208=1),$BK$233,HLOOKUP(INDIRECT(ADDRESS(2,COLUMN())),OFFSET($BN$2,0,0,ROW()-1,60),ROW()-1,FALSE))</f>
        <v>36418</v>
      </c>
      <c r="BL27" t="str">
        <f ca="1">IF(AND(ISNUMBER($BL$233),$B$208=1),$BL$233,HLOOKUP(INDIRECT(ADDRESS(2,COLUMN())),OFFSET($BN$2,0,0,ROW()-1,60),ROW()-1,FALSE))</f>
        <v/>
      </c>
      <c r="BM27" t="str">
        <f ca="1">IF(AND(ISNUMBER($BM$233),$B$208=1),$BM$233,HLOOKUP(INDIRECT(ADDRESS(2,COLUMN())),OFFSET($BN$2,0,0,ROW()-1,60),ROW()-1,FALSE))</f>
        <v/>
      </c>
      <c r="BN27">
        <f>10509</f>
        <v>10509</v>
      </c>
      <c r="BO27">
        <f>9771</f>
        <v>9771</v>
      </c>
      <c r="BP27">
        <f>10361</f>
        <v>10361</v>
      </c>
      <c r="BQ27">
        <f>9813</f>
        <v>9813</v>
      </c>
      <c r="BR27">
        <f>8327</f>
        <v>8327</v>
      </c>
      <c r="BS27">
        <f>10009</f>
        <v>10009</v>
      </c>
      <c r="BT27">
        <f>9422</f>
        <v>9422</v>
      </c>
      <c r="BU27">
        <f>9341</f>
        <v>9341</v>
      </c>
      <c r="BV27">
        <f>8471</f>
        <v>8471</v>
      </c>
      <c r="BW27">
        <f>12199</f>
        <v>12199</v>
      </c>
      <c r="BX27">
        <f>11001</f>
        <v>11001</v>
      </c>
      <c r="BY27">
        <f>10095</f>
        <v>10095</v>
      </c>
      <c r="BZ27">
        <f>8850</f>
        <v>8850</v>
      </c>
      <c r="CA27">
        <f>9018</f>
        <v>9018</v>
      </c>
      <c r="CB27">
        <f>9728</f>
        <v>9728</v>
      </c>
      <c r="CC27">
        <f>9728</f>
        <v>9728</v>
      </c>
      <c r="CD27">
        <f>8695</f>
        <v>8695</v>
      </c>
      <c r="CE27">
        <f>10922</f>
        <v>10922</v>
      </c>
      <c r="CF27">
        <f>10321</f>
        <v>10321</v>
      </c>
      <c r="CG27">
        <f>11574</f>
        <v>11574</v>
      </c>
      <c r="CH27">
        <f>7266</f>
        <v>7266</v>
      </c>
      <c r="CI27">
        <f>8915</f>
        <v>8915</v>
      </c>
      <c r="CJ27">
        <f>7460</f>
        <v>7460</v>
      </c>
      <c r="CK27">
        <f>7948</f>
        <v>7948</v>
      </c>
      <c r="CL27">
        <f>6426</f>
        <v>6426</v>
      </c>
      <c r="CM27">
        <f>0</f>
        <v>0</v>
      </c>
      <c r="CN27">
        <f>7580</f>
        <v>7580</v>
      </c>
      <c r="CO27">
        <f>7869</f>
        <v>7869</v>
      </c>
      <c r="CP27">
        <f>7431</f>
        <v>7431</v>
      </c>
      <c r="CQ27">
        <f>8390</f>
        <v>8390</v>
      </c>
      <c r="CR27">
        <f>9055</f>
        <v>9055</v>
      </c>
      <c r="CS27">
        <f>8972</f>
        <v>8972</v>
      </c>
      <c r="CT27">
        <f>9683</f>
        <v>9683</v>
      </c>
      <c r="CU27">
        <f>10448</f>
        <v>10448</v>
      </c>
      <c r="CV27">
        <f>12086</f>
        <v>12086</v>
      </c>
      <c r="CW27">
        <f>12049</f>
        <v>12049</v>
      </c>
      <c r="CX27">
        <f>10385</f>
        <v>10385</v>
      </c>
      <c r="CY27">
        <f>11030</f>
        <v>11030</v>
      </c>
      <c r="CZ27">
        <f>11311</f>
        <v>11311</v>
      </c>
      <c r="DA27">
        <f>13954</f>
        <v>13954</v>
      </c>
      <c r="DB27">
        <f>12182</f>
        <v>12182</v>
      </c>
      <c r="DC27">
        <f>13032</f>
        <v>13032</v>
      </c>
      <c r="DD27">
        <f>12717</f>
        <v>12717</v>
      </c>
      <c r="DE27">
        <f>11929</f>
        <v>11929</v>
      </c>
      <c r="DF27">
        <f>16885</f>
        <v>16885</v>
      </c>
      <c r="DG27">
        <f>15770</f>
        <v>15770</v>
      </c>
      <c r="DH27">
        <f>17585</f>
        <v>17585</v>
      </c>
      <c r="DI27">
        <f>20376</f>
        <v>20376</v>
      </c>
      <c r="DJ27">
        <f>21159</f>
        <v>21159</v>
      </c>
      <c r="DK27">
        <f>23816</f>
        <v>23816</v>
      </c>
      <c r="DL27">
        <f>23656</f>
        <v>23656</v>
      </c>
      <c r="DM27">
        <f>25068</f>
        <v>25068</v>
      </c>
      <c r="DN27">
        <f>26936</f>
        <v>26936</v>
      </c>
      <c r="DO27">
        <f>30922</f>
        <v>30922</v>
      </c>
      <c r="DP27" t="str">
        <f>""</f>
        <v/>
      </c>
      <c r="DQ27">
        <f>29506</f>
        <v>29506</v>
      </c>
      <c r="DR27">
        <f>30287</f>
        <v>30287</v>
      </c>
      <c r="DS27">
        <f>36418</f>
        <v>36418</v>
      </c>
      <c r="DT27" t="str">
        <f>""</f>
        <v/>
      </c>
      <c r="DU27" t="str">
        <f>""</f>
        <v/>
      </c>
    </row>
    <row r="28" spans="1:125" x14ac:dyDescent="0.25">
      <c r="A28" t="str">
        <f>"    Komercni Banka AS"</f>
        <v xml:space="preserve">    Komercni Banka AS</v>
      </c>
      <c r="B28" t="str">
        <f>"KOMB CP Equity"</f>
        <v>KOMB CP Equity</v>
      </c>
      <c r="C28" t="str">
        <f t="shared" si="0"/>
        <v>BM105</v>
      </c>
      <c r="D28" t="str">
        <f t="shared" si="1"/>
        <v>BS_TRADING_ASSETS</v>
      </c>
      <c r="E28" t="str">
        <f t="shared" si="2"/>
        <v>Dynamic</v>
      </c>
      <c r="F28">
        <f ca="1">IF(AND(ISNUMBER($F$234),$B$208=1),$F$234,HLOOKUP(INDIRECT(ADDRESS(2,COLUMN())),OFFSET($BN$2,0,0,ROW()-1,60),ROW()-1,FALSE))</f>
        <v>1660.988826</v>
      </c>
      <c r="G28">
        <f ca="1">IF(AND(ISNUMBER($G$234),$B$208=1),$G$234,HLOOKUP(INDIRECT(ADDRESS(2,COLUMN())),OFFSET($BN$2,0,0,ROW()-1,60),ROW()-1,FALSE))</f>
        <v>1841.599113</v>
      </c>
      <c r="H28">
        <f ca="1">IF(AND(ISNUMBER($H$234),$B$208=1),$H$234,HLOOKUP(INDIRECT(ADDRESS(2,COLUMN())),OFFSET($BN$2,0,0,ROW()-1,60),ROW()-1,FALSE))</f>
        <v>1827.91751</v>
      </c>
      <c r="I28">
        <f ca="1">IF(AND(ISNUMBER($I$234),$B$208=1),$I$234,HLOOKUP(INDIRECT(ADDRESS(2,COLUMN())),OFFSET($BN$2,0,0,ROW()-1,60),ROW()-1,FALSE))</f>
        <v>1993.01649</v>
      </c>
      <c r="J28">
        <f ca="1">IF(AND(ISNUMBER($J$234),$B$208=1),$J$234,HLOOKUP(INDIRECT(ADDRESS(2,COLUMN())),OFFSET($BN$2,0,0,ROW()-1,60),ROW()-1,FALSE))</f>
        <v>1962.778425</v>
      </c>
      <c r="K28">
        <f ca="1">IF(AND(ISNUMBER($K$234),$B$208=1),$K$234,HLOOKUP(INDIRECT(ADDRESS(2,COLUMN())),OFFSET($BN$2,0,0,ROW()-1,60),ROW()-1,FALSE))</f>
        <v>1944.701654</v>
      </c>
      <c r="L28">
        <f ca="1">IF(AND(ISNUMBER($L$234),$B$208=1),$L$234,HLOOKUP(INDIRECT(ADDRESS(2,COLUMN())),OFFSET($BN$2,0,0,ROW()-1,60),ROW()-1,FALSE))</f>
        <v>2028.092983</v>
      </c>
      <c r="M28">
        <f ca="1">IF(AND(ISNUMBER($M$234),$B$208=1),$M$234,HLOOKUP(INDIRECT(ADDRESS(2,COLUMN())),OFFSET($BN$2,0,0,ROW()-1,60),ROW()-1,FALSE))</f>
        <v>2364.2637359999999</v>
      </c>
      <c r="N28">
        <f ca="1">IF(AND(ISNUMBER($N$234),$B$208=1),$N$234,HLOOKUP(INDIRECT(ADDRESS(2,COLUMN())),OFFSET($BN$2,0,0,ROW()-1,60),ROW()-1,FALSE))</f>
        <v>2373.8628869999998</v>
      </c>
      <c r="O28">
        <f ca="1">IF(AND(ISNUMBER($O$234),$B$208=1),$O$234,HLOOKUP(INDIRECT(ADDRESS(2,COLUMN())),OFFSET($BN$2,0,0,ROW()-1,60),ROW()-1,FALSE))</f>
        <v>2503.9977319999998</v>
      </c>
      <c r="P28">
        <f ca="1">IF(AND(ISNUMBER($P$234),$B$208=1),$P$234,HLOOKUP(INDIRECT(ADDRESS(2,COLUMN())),OFFSET($BN$2,0,0,ROW()-1,60),ROW()-1,FALSE))</f>
        <v>2205.6468789999999</v>
      </c>
      <c r="Q28">
        <f ca="1">IF(AND(ISNUMBER($Q$234),$B$208=1),$Q$234,HLOOKUP(INDIRECT(ADDRESS(2,COLUMN())),OFFSET($BN$2,0,0,ROW()-1,60),ROW()-1,FALSE))</f>
        <v>1788.5721169999999</v>
      </c>
      <c r="R28">
        <f ca="1">IF(AND(ISNUMBER($R$234),$B$208=1),$R$234,HLOOKUP(INDIRECT(ADDRESS(2,COLUMN())),OFFSET($BN$2,0,0,ROW()-1,60),ROW()-1,FALSE))</f>
        <v>1654.0409870000001</v>
      </c>
      <c r="S28">
        <f ca="1">IF(AND(ISNUMBER($S$234),$B$208=1),$S$234,HLOOKUP(INDIRECT(ADDRESS(2,COLUMN())),OFFSET($BN$2,0,0,ROW()-1,60),ROW()-1,FALSE))</f>
        <v>1237.075891</v>
      </c>
      <c r="T28">
        <f ca="1">IF(AND(ISNUMBER($T$234),$B$208=1),$T$234,HLOOKUP(INDIRECT(ADDRESS(2,COLUMN())),OFFSET($BN$2,0,0,ROW()-1,60),ROW()-1,FALSE))</f>
        <v>1163.35121</v>
      </c>
      <c r="U28">
        <f ca="1">IF(AND(ISNUMBER($U$234),$B$208=1),$U$234,HLOOKUP(INDIRECT(ADDRESS(2,COLUMN())),OFFSET($BN$2,0,0,ROW()-1,60),ROW()-1,FALSE))</f>
        <v>1134.40185</v>
      </c>
      <c r="V28">
        <f ca="1">IF(AND(ISNUMBER($V$234),$B$208=1),$V$234,HLOOKUP(INDIRECT(ADDRESS(2,COLUMN())),OFFSET($BN$2,0,0,ROW()-1,60),ROW()-1,FALSE))</f>
        <v>974.79286560000003</v>
      </c>
      <c r="W28">
        <f ca="1">IF(AND(ISNUMBER($W$234),$B$208=1),$W$234,HLOOKUP(INDIRECT(ADDRESS(2,COLUMN())),OFFSET($BN$2,0,0,ROW()-1,60),ROW()-1,FALSE))</f>
        <v>1406.175802</v>
      </c>
      <c r="X28">
        <f ca="1">IF(AND(ISNUMBER($X$234),$B$208=1),$X$234,HLOOKUP(INDIRECT(ADDRESS(2,COLUMN())),OFFSET($BN$2,0,0,ROW()-1,60),ROW()-1,FALSE))</f>
        <v>1644.2692629999999</v>
      </c>
      <c r="Y28">
        <f ca="1">IF(AND(ISNUMBER($Y$234),$B$208=1),$Y$234,HLOOKUP(INDIRECT(ADDRESS(2,COLUMN())),OFFSET($BN$2,0,0,ROW()-1,60),ROW()-1,FALSE))</f>
        <v>1511.061483</v>
      </c>
      <c r="Z28">
        <f ca="1">IF(AND(ISNUMBER($Z$234),$B$208=1),$Z$234,HLOOKUP(INDIRECT(ADDRESS(2,COLUMN())),OFFSET($BN$2,0,0,ROW()-1,60),ROW()-1,FALSE))</f>
        <v>900.77662329999998</v>
      </c>
      <c r="AA28">
        <f ca="1">IF(AND(ISNUMBER($AA$234),$B$208=1),$AA$234,HLOOKUP(INDIRECT(ADDRESS(2,COLUMN())),OFFSET($BN$2,0,0,ROW()-1,60),ROW()-1,FALSE))</f>
        <v>1329.1928809999999</v>
      </c>
      <c r="AB28">
        <f ca="1">IF(AND(ISNUMBER($AB$234),$B$208=1),$AB$234,HLOOKUP(INDIRECT(ADDRESS(2,COLUMN())),OFFSET($BN$2,0,0,ROW()-1,60),ROW()-1,FALSE))</f>
        <v>1083.918054</v>
      </c>
      <c r="AC28">
        <f ca="1">IF(AND(ISNUMBER($AC$234),$B$208=1),$AC$234,HLOOKUP(INDIRECT(ADDRESS(2,COLUMN())),OFFSET($BN$2,0,0,ROW()-1,60),ROW()-1,FALSE))</f>
        <v>935.93621189999999</v>
      </c>
      <c r="AD28">
        <f ca="1">IF(AND(ISNUMBER($AD$234),$B$208=1),$AD$234,HLOOKUP(INDIRECT(ADDRESS(2,COLUMN())),OFFSET($BN$2,0,0,ROW()-1,60),ROW()-1,FALSE))</f>
        <v>869.2269182</v>
      </c>
      <c r="AE28">
        <f ca="1">IF(AND(ISNUMBER($AE$234),$B$208=1),$AE$234,HLOOKUP(INDIRECT(ADDRESS(2,COLUMN())),OFFSET($BN$2,0,0,ROW()-1,60),ROW()-1,FALSE))</f>
        <v>1220.1122250000001</v>
      </c>
      <c r="AF28">
        <f ca="1">IF(AND(ISNUMBER($AF$234),$B$208=1),$AF$234,HLOOKUP(INDIRECT(ADDRESS(2,COLUMN())),OFFSET($BN$2,0,0,ROW()-1,60),ROW()-1,FALSE))</f>
        <v>1108.0900859999999</v>
      </c>
      <c r="AG28">
        <f ca="1">IF(AND(ISNUMBER($AG$234),$B$208=1),$AG$234,HLOOKUP(INDIRECT(ADDRESS(2,COLUMN())),OFFSET($BN$2,0,0,ROW()-1,60),ROW()-1,FALSE))</f>
        <v>854.30144250000001</v>
      </c>
      <c r="AH28">
        <f ca="1">IF(AND(ISNUMBER($AH$234),$B$208=1),$AH$234,HLOOKUP(INDIRECT(ADDRESS(2,COLUMN())),OFFSET($BN$2,0,0,ROW()-1,60),ROW()-1,FALSE))</f>
        <v>737.75366699999995</v>
      </c>
      <c r="AI28">
        <f ca="1">IF(AND(ISNUMBER($AI$234),$B$208=1),$AI$234,HLOOKUP(INDIRECT(ADDRESS(2,COLUMN())),OFFSET($BN$2,0,0,ROW()-1,60),ROW()-1,FALSE))</f>
        <v>777.14415480000002</v>
      </c>
      <c r="AJ28">
        <f ca="1">IF(AND(ISNUMBER($AJ$234),$B$208=1),$AJ$234,HLOOKUP(INDIRECT(ADDRESS(2,COLUMN())),OFFSET($BN$2,0,0,ROW()-1,60),ROW()-1,FALSE))</f>
        <v>974.74290770000005</v>
      </c>
      <c r="AK28">
        <f ca="1">IF(AND(ISNUMBER($AK$234),$B$208=1),$AK$234,HLOOKUP(INDIRECT(ADDRESS(2,COLUMN())),OFFSET($BN$2,0,0,ROW()-1,60),ROW()-1,FALSE))</f>
        <v>890.09441700000002</v>
      </c>
      <c r="AL28">
        <f ca="1">IF(AND(ISNUMBER($AL$234),$B$208=1),$AL$234,HLOOKUP(INDIRECT(ADDRESS(2,COLUMN())),OFFSET($BN$2,0,0,ROW()-1,60),ROW()-1,FALSE))</f>
        <v>1099.354063</v>
      </c>
      <c r="AM28">
        <f ca="1">IF(AND(ISNUMBER($AM$234),$B$208=1),$AM$234,HLOOKUP(INDIRECT(ADDRESS(2,COLUMN())),OFFSET($BN$2,0,0,ROW()-1,60),ROW()-1,FALSE))</f>
        <v>1215.3036239999999</v>
      </c>
      <c r="AN28">
        <f ca="1">IF(AND(ISNUMBER($AN$234),$B$208=1),$AN$234,HLOOKUP(INDIRECT(ADDRESS(2,COLUMN())),OFFSET($BN$2,0,0,ROW()-1,60),ROW()-1,FALSE))</f>
        <v>1239.828354</v>
      </c>
      <c r="AO28">
        <f ca="1">IF(AND(ISNUMBER($AO$234),$B$208=1),$AO$234,HLOOKUP(INDIRECT(ADDRESS(2,COLUMN())),OFFSET($BN$2,0,0,ROW()-1,60),ROW()-1,FALSE))</f>
        <v>1150.2975489999999</v>
      </c>
      <c r="AP28">
        <f ca="1">IF(AND(ISNUMBER($AP$234),$B$208=1),$AP$234,HLOOKUP(INDIRECT(ADDRESS(2,COLUMN())),OFFSET($BN$2,0,0,ROW()-1,60),ROW()-1,FALSE))</f>
        <v>1080.5833279999999</v>
      </c>
      <c r="AQ28" t="str">
        <f ca="1">IF(AND(ISNUMBER($AQ$234),$B$208=1),$AQ$234,HLOOKUP(INDIRECT(ADDRESS(2,COLUMN())),OFFSET($BN$2,0,0,ROW()-1,60),ROW()-1,FALSE))</f>
        <v/>
      </c>
      <c r="AR28" t="str">
        <f ca="1">IF(AND(ISNUMBER($AR$234),$B$208=1),$AR$234,HLOOKUP(INDIRECT(ADDRESS(2,COLUMN())),OFFSET($BN$2,0,0,ROW()-1,60),ROW()-1,FALSE))</f>
        <v/>
      </c>
      <c r="AS28" t="str">
        <f ca="1">IF(AND(ISNUMBER($AS$234),$B$208=1),$AS$234,HLOOKUP(INDIRECT(ADDRESS(2,COLUMN())),OFFSET($BN$2,0,0,ROW()-1,60),ROW()-1,FALSE))</f>
        <v/>
      </c>
      <c r="AT28" t="str">
        <f ca="1">IF(AND(ISNUMBER($AT$234),$B$208=1),$AT$234,HLOOKUP(INDIRECT(ADDRESS(2,COLUMN())),OFFSET($BN$2,0,0,ROW()-1,60),ROW()-1,FALSE))</f>
        <v/>
      </c>
      <c r="AU28" t="str">
        <f ca="1">IF(AND(ISNUMBER($AU$234),$B$208=1),$AU$234,HLOOKUP(INDIRECT(ADDRESS(2,COLUMN())),OFFSET($BN$2,0,0,ROW()-1,60),ROW()-1,FALSE))</f>
        <v/>
      </c>
      <c r="AV28" t="str">
        <f ca="1">IF(AND(ISNUMBER($AV$234),$B$208=1),$AV$234,HLOOKUP(INDIRECT(ADDRESS(2,COLUMN())),OFFSET($BN$2,0,0,ROW()-1,60),ROW()-1,FALSE))</f>
        <v/>
      </c>
      <c r="AW28" t="str">
        <f ca="1">IF(AND(ISNUMBER($AW$234),$B$208=1),$AW$234,HLOOKUP(INDIRECT(ADDRESS(2,COLUMN())),OFFSET($BN$2,0,0,ROW()-1,60),ROW()-1,FALSE))</f>
        <v/>
      </c>
      <c r="AX28" t="str">
        <f ca="1">IF(AND(ISNUMBER($AX$234),$B$208=1),$AX$234,HLOOKUP(INDIRECT(ADDRESS(2,COLUMN())),OFFSET($BN$2,0,0,ROW()-1,60),ROW()-1,FALSE))</f>
        <v/>
      </c>
      <c r="AY28" t="str">
        <f ca="1">IF(AND(ISNUMBER($AY$234),$B$208=1),$AY$234,HLOOKUP(INDIRECT(ADDRESS(2,COLUMN())),OFFSET($BN$2,0,0,ROW()-1,60),ROW()-1,FALSE))</f>
        <v/>
      </c>
      <c r="AZ28" t="str">
        <f ca="1">IF(AND(ISNUMBER($AZ$234),$B$208=1),$AZ$234,HLOOKUP(INDIRECT(ADDRESS(2,COLUMN())),OFFSET($BN$2,0,0,ROW()-1,60),ROW()-1,FALSE))</f>
        <v/>
      </c>
      <c r="BA28" t="str">
        <f ca="1">IF(AND(ISNUMBER($BA$234),$B$208=1),$BA$234,HLOOKUP(INDIRECT(ADDRESS(2,COLUMN())),OFFSET($BN$2,0,0,ROW()-1,60),ROW()-1,FALSE))</f>
        <v/>
      </c>
      <c r="BB28" t="str">
        <f ca="1">IF(AND(ISNUMBER($BB$234),$B$208=1),$BB$234,HLOOKUP(INDIRECT(ADDRESS(2,COLUMN())),OFFSET($BN$2,0,0,ROW()-1,60),ROW()-1,FALSE))</f>
        <v/>
      </c>
      <c r="BC28" t="str">
        <f ca="1">IF(AND(ISNUMBER($BC$234),$B$208=1),$BC$234,HLOOKUP(INDIRECT(ADDRESS(2,COLUMN())),OFFSET($BN$2,0,0,ROW()-1,60),ROW()-1,FALSE))</f>
        <v/>
      </c>
      <c r="BD28" t="str">
        <f ca="1">IF(AND(ISNUMBER($BD$234),$B$208=1),$BD$234,HLOOKUP(INDIRECT(ADDRESS(2,COLUMN())),OFFSET($BN$2,0,0,ROW()-1,60),ROW()-1,FALSE))</f>
        <v/>
      </c>
      <c r="BE28" t="str">
        <f ca="1">IF(AND(ISNUMBER($BE$234),$B$208=1),$BE$234,HLOOKUP(INDIRECT(ADDRESS(2,COLUMN())),OFFSET($BN$2,0,0,ROW()-1,60),ROW()-1,FALSE))</f>
        <v/>
      </c>
      <c r="BF28" t="str">
        <f ca="1">IF(AND(ISNUMBER($BF$234),$B$208=1),$BF$234,HLOOKUP(INDIRECT(ADDRESS(2,COLUMN())),OFFSET($BN$2,0,0,ROW()-1,60),ROW()-1,FALSE))</f>
        <v/>
      </c>
      <c r="BG28" t="str">
        <f ca="1">IF(AND(ISNUMBER($BG$234),$B$208=1),$BG$234,HLOOKUP(INDIRECT(ADDRESS(2,COLUMN())),OFFSET($BN$2,0,0,ROW()-1,60),ROW()-1,FALSE))</f>
        <v/>
      </c>
      <c r="BH28" t="str">
        <f ca="1">IF(AND(ISNUMBER($BH$234),$B$208=1),$BH$234,HLOOKUP(INDIRECT(ADDRESS(2,COLUMN())),OFFSET($BN$2,0,0,ROW()-1,60),ROW()-1,FALSE))</f>
        <v/>
      </c>
      <c r="BI28" t="str">
        <f ca="1">IF(AND(ISNUMBER($BI$234),$B$208=1),$BI$234,HLOOKUP(INDIRECT(ADDRESS(2,COLUMN())),OFFSET($BN$2,0,0,ROW()-1,60),ROW()-1,FALSE))</f>
        <v/>
      </c>
      <c r="BJ28" t="str">
        <f ca="1">IF(AND(ISNUMBER($BJ$234),$B$208=1),$BJ$234,HLOOKUP(INDIRECT(ADDRESS(2,COLUMN())),OFFSET($BN$2,0,0,ROW()-1,60),ROW()-1,FALSE))</f>
        <v/>
      </c>
      <c r="BK28" t="str">
        <f ca="1">IF(AND(ISNUMBER($BK$234),$B$208=1),$BK$234,HLOOKUP(INDIRECT(ADDRESS(2,COLUMN())),OFFSET($BN$2,0,0,ROW()-1,60),ROW()-1,FALSE))</f>
        <v/>
      </c>
      <c r="BL28" t="str">
        <f ca="1">IF(AND(ISNUMBER($BL$234),$B$208=1),$BL$234,HLOOKUP(INDIRECT(ADDRESS(2,COLUMN())),OFFSET($BN$2,0,0,ROW()-1,60),ROW()-1,FALSE))</f>
        <v/>
      </c>
      <c r="BM28" t="str">
        <f ca="1">IF(AND(ISNUMBER($BM$234),$B$208=1),$BM$234,HLOOKUP(INDIRECT(ADDRESS(2,COLUMN())),OFFSET($BN$2,0,0,ROW()-1,60),ROW()-1,FALSE))</f>
        <v/>
      </c>
      <c r="BN28">
        <f>1660.988826</f>
        <v>1660.988826</v>
      </c>
      <c r="BO28">
        <f>1841.599113</f>
        <v>1841.599113</v>
      </c>
      <c r="BP28">
        <f>1827.91751</f>
        <v>1827.91751</v>
      </c>
      <c r="BQ28">
        <f>1993.01649</f>
        <v>1993.01649</v>
      </c>
      <c r="BR28">
        <f>1962.778425</f>
        <v>1962.778425</v>
      </c>
      <c r="BS28">
        <f>1944.701654</f>
        <v>1944.701654</v>
      </c>
      <c r="BT28">
        <f>2028.092983</f>
        <v>2028.092983</v>
      </c>
      <c r="BU28">
        <f>2364.263736</f>
        <v>2364.2637359999999</v>
      </c>
      <c r="BV28">
        <f>2373.862887</f>
        <v>2373.8628869999998</v>
      </c>
      <c r="BW28">
        <f>2503.997732</f>
        <v>2503.9977319999998</v>
      </c>
      <c r="BX28">
        <f>2205.646879</f>
        <v>2205.6468789999999</v>
      </c>
      <c r="BY28">
        <f>1788.572117</f>
        <v>1788.5721169999999</v>
      </c>
      <c r="BZ28">
        <f>1654.040987</f>
        <v>1654.0409870000001</v>
      </c>
      <c r="CA28">
        <f>1237.075891</f>
        <v>1237.075891</v>
      </c>
      <c r="CB28">
        <f>1163.35121</f>
        <v>1163.35121</v>
      </c>
      <c r="CC28">
        <f>1134.40185</f>
        <v>1134.40185</v>
      </c>
      <c r="CD28">
        <f>974.7928656</f>
        <v>974.79286560000003</v>
      </c>
      <c r="CE28">
        <f>1406.175802</f>
        <v>1406.175802</v>
      </c>
      <c r="CF28">
        <f>1644.269263</f>
        <v>1644.2692629999999</v>
      </c>
      <c r="CG28">
        <f>1511.061483</f>
        <v>1511.061483</v>
      </c>
      <c r="CH28">
        <f>900.7766233</f>
        <v>900.77662329999998</v>
      </c>
      <c r="CI28">
        <f>1329.192881</f>
        <v>1329.1928809999999</v>
      </c>
      <c r="CJ28">
        <f>1083.918054</f>
        <v>1083.918054</v>
      </c>
      <c r="CK28">
        <f>935.9362119</f>
        <v>935.93621189999999</v>
      </c>
      <c r="CL28">
        <f>869.2269182</f>
        <v>869.2269182</v>
      </c>
      <c r="CM28">
        <f>1220.112225</f>
        <v>1220.1122250000001</v>
      </c>
      <c r="CN28">
        <f>1108.090086</f>
        <v>1108.0900859999999</v>
      </c>
      <c r="CO28">
        <f>854.3014425</f>
        <v>854.30144250000001</v>
      </c>
      <c r="CP28">
        <f>737.753667</f>
        <v>737.75366699999995</v>
      </c>
      <c r="CQ28">
        <f>777.1441548</f>
        <v>777.14415480000002</v>
      </c>
      <c r="CR28">
        <f>974.7429077</f>
        <v>974.74290770000005</v>
      </c>
      <c r="CS28">
        <f>890.094417</f>
        <v>890.09441700000002</v>
      </c>
      <c r="CT28">
        <f>1099.354063</f>
        <v>1099.354063</v>
      </c>
      <c r="CU28">
        <f>1215.303624</f>
        <v>1215.3036239999999</v>
      </c>
      <c r="CV28">
        <f>1239.828354</f>
        <v>1239.828354</v>
      </c>
      <c r="CW28">
        <f>1150.297549</f>
        <v>1150.2975489999999</v>
      </c>
      <c r="CX28">
        <f>1080.583328</f>
        <v>1080.5833279999999</v>
      </c>
      <c r="CY28" t="str">
        <f>""</f>
        <v/>
      </c>
      <c r="CZ28" t="str">
        <f>""</f>
        <v/>
      </c>
      <c r="DA28" t="str">
        <f>""</f>
        <v/>
      </c>
      <c r="DB28" t="str">
        <f>""</f>
        <v/>
      </c>
      <c r="DC28" t="str">
        <f>""</f>
        <v/>
      </c>
      <c r="DD28" t="str">
        <f>""</f>
        <v/>
      </c>
      <c r="DE28" t="str">
        <f>""</f>
        <v/>
      </c>
      <c r="DF28" t="str">
        <f>""</f>
        <v/>
      </c>
      <c r="DG28" t="str">
        <f>""</f>
        <v/>
      </c>
      <c r="DH28" t="str">
        <f>""</f>
        <v/>
      </c>
      <c r="DI28" t="str">
        <f>""</f>
        <v/>
      </c>
      <c r="DJ28" t="str">
        <f>""</f>
        <v/>
      </c>
      <c r="DK28" t="str">
        <f>""</f>
        <v/>
      </c>
      <c r="DL28" t="str">
        <f>""</f>
        <v/>
      </c>
      <c r="DM28" t="str">
        <f>""</f>
        <v/>
      </c>
      <c r="DN28" t="str">
        <f>""</f>
        <v/>
      </c>
      <c r="DO28" t="str">
        <f>""</f>
        <v/>
      </c>
      <c r="DP28" t="str">
        <f>""</f>
        <v/>
      </c>
      <c r="DQ28" t="str">
        <f>""</f>
        <v/>
      </c>
      <c r="DR28" t="str">
        <f>""</f>
        <v/>
      </c>
      <c r="DS28" t="str">
        <f>""</f>
        <v/>
      </c>
      <c r="DT28" t="str">
        <f>""</f>
        <v/>
      </c>
      <c r="DU28" t="str">
        <f>""</f>
        <v/>
      </c>
    </row>
    <row r="29" spans="1:125" x14ac:dyDescent="0.25">
      <c r="A29" t="str">
        <f>"    Lloyds Banking Group PLC"</f>
        <v xml:space="preserve">    Lloyds Banking Group PLC</v>
      </c>
      <c r="B29" t="str">
        <f>"LLOY LN Equity"</f>
        <v>LLOY LN Equity</v>
      </c>
      <c r="C29" t="str">
        <f t="shared" si="0"/>
        <v>BM105</v>
      </c>
      <c r="D29" t="str">
        <f t="shared" si="1"/>
        <v>BS_TRADING_ASSETS</v>
      </c>
      <c r="E29" t="str">
        <f t="shared" si="2"/>
        <v>Dynamic</v>
      </c>
      <c r="F29" t="str">
        <f ca="1">IF(AND(ISNUMBER($F$235),$B$208=1),$F$235,HLOOKUP(INDIRECT(ADDRESS(2,COLUMN())),OFFSET($BN$2,0,0,ROW()-1,60),ROW()-1,FALSE))</f>
        <v/>
      </c>
      <c r="G29" t="str">
        <f ca="1">IF(AND(ISNUMBER($G$235),$B$208=1),$G$235,HLOOKUP(INDIRECT(ADDRESS(2,COLUMN())),OFFSET($BN$2,0,0,ROW()-1,60),ROW()-1,FALSE))</f>
        <v/>
      </c>
      <c r="H29" t="str">
        <f ca="1">IF(AND(ISNUMBER($H$235),$B$208=1),$H$235,HLOOKUP(INDIRECT(ADDRESS(2,COLUMN())),OFFSET($BN$2,0,0,ROW()-1,60),ROW()-1,FALSE))</f>
        <v/>
      </c>
      <c r="I29" t="str">
        <f ca="1">IF(AND(ISNUMBER($I$235),$B$208=1),$I$235,HLOOKUP(INDIRECT(ADDRESS(2,COLUMN())),OFFSET($BN$2,0,0,ROW()-1,60),ROW()-1,FALSE))</f>
        <v/>
      </c>
      <c r="J29" t="str">
        <f ca="1">IF(AND(ISNUMBER($J$235),$B$208=1),$J$235,HLOOKUP(INDIRECT(ADDRESS(2,COLUMN())),OFFSET($BN$2,0,0,ROW()-1,60),ROW()-1,FALSE))</f>
        <v/>
      </c>
      <c r="K29" t="str">
        <f ca="1">IF(AND(ISNUMBER($K$235),$B$208=1),$K$235,HLOOKUP(INDIRECT(ADDRESS(2,COLUMN())),OFFSET($BN$2,0,0,ROW()-1,60),ROW()-1,FALSE))</f>
        <v/>
      </c>
      <c r="L29" t="str">
        <f ca="1">IF(AND(ISNUMBER($L$235),$B$208=1),$L$235,HLOOKUP(INDIRECT(ADDRESS(2,COLUMN())),OFFSET($BN$2,0,0,ROW()-1,60),ROW()-1,FALSE))</f>
        <v/>
      </c>
      <c r="M29" t="str">
        <f ca="1">IF(AND(ISNUMBER($M$235),$B$208=1),$M$235,HLOOKUP(INDIRECT(ADDRESS(2,COLUMN())),OFFSET($BN$2,0,0,ROW()-1,60),ROW()-1,FALSE))</f>
        <v/>
      </c>
      <c r="N29" t="str">
        <f ca="1">IF(AND(ISNUMBER($N$235),$B$208=1),$N$235,HLOOKUP(INDIRECT(ADDRESS(2,COLUMN())),OFFSET($BN$2,0,0,ROW()-1,60),ROW()-1,FALSE))</f>
        <v/>
      </c>
      <c r="O29" t="str">
        <f ca="1">IF(AND(ISNUMBER($O$235),$B$208=1),$O$235,HLOOKUP(INDIRECT(ADDRESS(2,COLUMN())),OFFSET($BN$2,0,0,ROW()-1,60),ROW()-1,FALSE))</f>
        <v/>
      </c>
      <c r="P29" t="str">
        <f ca="1">IF(AND(ISNUMBER($P$235),$B$208=1),$P$235,HLOOKUP(INDIRECT(ADDRESS(2,COLUMN())),OFFSET($BN$2,0,0,ROW()-1,60),ROW()-1,FALSE))</f>
        <v/>
      </c>
      <c r="Q29" t="str">
        <f ca="1">IF(AND(ISNUMBER($Q$235),$B$208=1),$Q$235,HLOOKUP(INDIRECT(ADDRESS(2,COLUMN())),OFFSET($BN$2,0,0,ROW()-1,60),ROW()-1,FALSE))</f>
        <v/>
      </c>
      <c r="R29" t="str">
        <f ca="1">IF(AND(ISNUMBER($R$235),$B$208=1),$R$235,HLOOKUP(INDIRECT(ADDRESS(2,COLUMN())),OFFSET($BN$2,0,0,ROW()-1,60),ROW()-1,FALSE))</f>
        <v/>
      </c>
      <c r="S29" t="str">
        <f ca="1">IF(AND(ISNUMBER($S$235),$B$208=1),$S$235,HLOOKUP(INDIRECT(ADDRESS(2,COLUMN())),OFFSET($BN$2,0,0,ROW()-1,60),ROW()-1,FALSE))</f>
        <v/>
      </c>
      <c r="T29" t="str">
        <f ca="1">IF(AND(ISNUMBER($T$235),$B$208=1),$T$235,HLOOKUP(INDIRECT(ADDRESS(2,COLUMN())),OFFSET($BN$2,0,0,ROW()-1,60),ROW()-1,FALSE))</f>
        <v/>
      </c>
      <c r="U29" t="str">
        <f ca="1">IF(AND(ISNUMBER($U$235),$B$208=1),$U$235,HLOOKUP(INDIRECT(ADDRESS(2,COLUMN())),OFFSET($BN$2,0,0,ROW()-1,60),ROW()-1,FALSE))</f>
        <v/>
      </c>
      <c r="V29" t="str">
        <f ca="1">IF(AND(ISNUMBER($V$235),$B$208=1),$V$235,HLOOKUP(INDIRECT(ADDRESS(2,COLUMN())),OFFSET($BN$2,0,0,ROW()-1,60),ROW()-1,FALSE))</f>
        <v/>
      </c>
      <c r="W29" t="str">
        <f ca="1">IF(AND(ISNUMBER($W$235),$B$208=1),$W$235,HLOOKUP(INDIRECT(ADDRESS(2,COLUMN())),OFFSET($BN$2,0,0,ROW()-1,60),ROW()-1,FALSE))</f>
        <v/>
      </c>
      <c r="X29" t="str">
        <f ca="1">IF(AND(ISNUMBER($X$235),$B$208=1),$X$235,HLOOKUP(INDIRECT(ADDRESS(2,COLUMN())),OFFSET($BN$2,0,0,ROW()-1,60),ROW()-1,FALSE))</f>
        <v/>
      </c>
      <c r="Y29" t="str">
        <f ca="1">IF(AND(ISNUMBER($Y$235),$B$208=1),$Y$235,HLOOKUP(INDIRECT(ADDRESS(2,COLUMN())),OFFSET($BN$2,0,0,ROW()-1,60),ROW()-1,FALSE))</f>
        <v/>
      </c>
      <c r="Z29" t="str">
        <f ca="1">IF(AND(ISNUMBER($Z$235),$B$208=1),$Z$235,HLOOKUP(INDIRECT(ADDRESS(2,COLUMN())),OFFSET($BN$2,0,0,ROW()-1,60),ROW()-1,FALSE))</f>
        <v/>
      </c>
      <c r="AA29" t="str">
        <f ca="1">IF(AND(ISNUMBER($AA$235),$B$208=1),$AA$235,HLOOKUP(INDIRECT(ADDRESS(2,COLUMN())),OFFSET($BN$2,0,0,ROW()-1,60),ROW()-1,FALSE))</f>
        <v/>
      </c>
      <c r="AB29" t="str">
        <f ca="1">IF(AND(ISNUMBER($AB$235),$B$208=1),$AB$235,HLOOKUP(INDIRECT(ADDRESS(2,COLUMN())),OFFSET($BN$2,0,0,ROW()-1,60),ROW()-1,FALSE))</f>
        <v/>
      </c>
      <c r="AC29" t="str">
        <f ca="1">IF(AND(ISNUMBER($AC$235),$B$208=1),$AC$235,HLOOKUP(INDIRECT(ADDRESS(2,COLUMN())),OFFSET($BN$2,0,0,ROW()-1,60),ROW()-1,FALSE))</f>
        <v/>
      </c>
      <c r="AD29" t="str">
        <f ca="1">IF(AND(ISNUMBER($AD$235),$B$208=1),$AD$235,HLOOKUP(INDIRECT(ADDRESS(2,COLUMN())),OFFSET($BN$2,0,0,ROW()-1,60),ROW()-1,FALSE))</f>
        <v/>
      </c>
      <c r="AE29" t="str">
        <f ca="1">IF(AND(ISNUMBER($AE$235),$B$208=1),$AE$235,HLOOKUP(INDIRECT(ADDRESS(2,COLUMN())),OFFSET($BN$2,0,0,ROW()-1,60),ROW()-1,FALSE))</f>
        <v/>
      </c>
      <c r="AF29" t="str">
        <f ca="1">IF(AND(ISNUMBER($AF$235),$B$208=1),$AF$235,HLOOKUP(INDIRECT(ADDRESS(2,COLUMN())),OFFSET($BN$2,0,0,ROW()-1,60),ROW()-1,FALSE))</f>
        <v/>
      </c>
      <c r="AG29" t="str">
        <f ca="1">IF(AND(ISNUMBER($AG$235),$B$208=1),$AG$235,HLOOKUP(INDIRECT(ADDRESS(2,COLUMN())),OFFSET($BN$2,0,0,ROW()-1,60),ROW()-1,FALSE))</f>
        <v/>
      </c>
      <c r="AH29" t="str">
        <f ca="1">IF(AND(ISNUMBER($AH$235),$B$208=1),$AH$235,HLOOKUP(INDIRECT(ADDRESS(2,COLUMN())),OFFSET($BN$2,0,0,ROW()-1,60),ROW()-1,FALSE))</f>
        <v/>
      </c>
      <c r="AI29" t="str">
        <f ca="1">IF(AND(ISNUMBER($AI$235),$B$208=1),$AI$235,HLOOKUP(INDIRECT(ADDRESS(2,COLUMN())),OFFSET($BN$2,0,0,ROW()-1,60),ROW()-1,FALSE))</f>
        <v/>
      </c>
      <c r="AJ29" t="str">
        <f ca="1">IF(AND(ISNUMBER($AJ$235),$B$208=1),$AJ$235,HLOOKUP(INDIRECT(ADDRESS(2,COLUMN())),OFFSET($BN$2,0,0,ROW()-1,60),ROW()-1,FALSE))</f>
        <v/>
      </c>
      <c r="AK29" t="str">
        <f ca="1">IF(AND(ISNUMBER($AK$235),$B$208=1),$AK$235,HLOOKUP(INDIRECT(ADDRESS(2,COLUMN())),OFFSET($BN$2,0,0,ROW()-1,60),ROW()-1,FALSE))</f>
        <v/>
      </c>
      <c r="AL29" t="str">
        <f ca="1">IF(AND(ISNUMBER($AL$235),$B$208=1),$AL$235,HLOOKUP(INDIRECT(ADDRESS(2,COLUMN())),OFFSET($BN$2,0,0,ROW()-1,60),ROW()-1,FALSE))</f>
        <v/>
      </c>
      <c r="AM29" t="str">
        <f ca="1">IF(AND(ISNUMBER($AM$235),$B$208=1),$AM$235,HLOOKUP(INDIRECT(ADDRESS(2,COLUMN())),OFFSET($BN$2,0,0,ROW()-1,60),ROW()-1,FALSE))</f>
        <v/>
      </c>
      <c r="AN29" t="str">
        <f ca="1">IF(AND(ISNUMBER($AN$235),$B$208=1),$AN$235,HLOOKUP(INDIRECT(ADDRESS(2,COLUMN())),OFFSET($BN$2,0,0,ROW()-1,60),ROW()-1,FALSE))</f>
        <v/>
      </c>
      <c r="AO29" t="str">
        <f ca="1">IF(AND(ISNUMBER($AO$235),$B$208=1),$AO$235,HLOOKUP(INDIRECT(ADDRESS(2,COLUMN())),OFFSET($BN$2,0,0,ROW()-1,60),ROW()-1,FALSE))</f>
        <v/>
      </c>
      <c r="AP29" t="str">
        <f ca="1">IF(AND(ISNUMBER($AP$235),$B$208=1),$AP$235,HLOOKUP(INDIRECT(ADDRESS(2,COLUMN())),OFFSET($BN$2,0,0,ROW()-1,60),ROW()-1,FALSE))</f>
        <v/>
      </c>
      <c r="AQ29" t="str">
        <f ca="1">IF(AND(ISNUMBER($AQ$235),$B$208=1),$AQ$235,HLOOKUP(INDIRECT(ADDRESS(2,COLUMN())),OFFSET($BN$2,0,0,ROW()-1,60),ROW()-1,FALSE))</f>
        <v/>
      </c>
      <c r="AR29" t="str">
        <f ca="1">IF(AND(ISNUMBER($AR$235),$B$208=1),$AR$235,HLOOKUP(INDIRECT(ADDRESS(2,COLUMN())),OFFSET($BN$2,0,0,ROW()-1,60),ROW()-1,FALSE))</f>
        <v/>
      </c>
      <c r="AS29" t="str">
        <f ca="1">IF(AND(ISNUMBER($AS$235),$B$208=1),$AS$235,HLOOKUP(INDIRECT(ADDRESS(2,COLUMN())),OFFSET($BN$2,0,0,ROW()-1,60),ROW()-1,FALSE))</f>
        <v/>
      </c>
      <c r="AT29">
        <f ca="1">IF(AND(ISNUMBER($AT$235),$B$208=1),$AT$235,HLOOKUP(INDIRECT(ADDRESS(2,COLUMN())),OFFSET($BN$2,0,0,ROW()-1,60),ROW()-1,FALSE))</f>
        <v>62445.042479999996</v>
      </c>
      <c r="AU29" t="str">
        <f ca="1">IF(AND(ISNUMBER($AU$235),$B$208=1),$AU$235,HLOOKUP(INDIRECT(ADDRESS(2,COLUMN())),OFFSET($BN$2,0,0,ROW()-1,60),ROW()-1,FALSE))</f>
        <v/>
      </c>
      <c r="AV29" t="str">
        <f ca="1">IF(AND(ISNUMBER($AV$235),$B$208=1),$AV$235,HLOOKUP(INDIRECT(ADDRESS(2,COLUMN())),OFFSET($BN$2,0,0,ROW()-1,60),ROW()-1,FALSE))</f>
        <v/>
      </c>
      <c r="AW29" t="str">
        <f ca="1">IF(AND(ISNUMBER($AW$235),$B$208=1),$AW$235,HLOOKUP(INDIRECT(ADDRESS(2,COLUMN())),OFFSET($BN$2,0,0,ROW()-1,60),ROW()-1,FALSE))</f>
        <v/>
      </c>
      <c r="AX29" t="str">
        <f ca="1">IF(AND(ISNUMBER($AX$235),$B$208=1),$AX$235,HLOOKUP(INDIRECT(ADDRESS(2,COLUMN())),OFFSET($BN$2,0,0,ROW()-1,60),ROW()-1,FALSE))</f>
        <v/>
      </c>
      <c r="AY29" t="str">
        <f ca="1">IF(AND(ISNUMBER($AY$235),$B$208=1),$AY$235,HLOOKUP(INDIRECT(ADDRESS(2,COLUMN())),OFFSET($BN$2,0,0,ROW()-1,60),ROW()-1,FALSE))</f>
        <v/>
      </c>
      <c r="AZ29" t="str">
        <f ca="1">IF(AND(ISNUMBER($AZ$235),$B$208=1),$AZ$235,HLOOKUP(INDIRECT(ADDRESS(2,COLUMN())),OFFSET($BN$2,0,0,ROW()-1,60),ROW()-1,FALSE))</f>
        <v/>
      </c>
      <c r="BA29" t="str">
        <f ca="1">IF(AND(ISNUMBER($BA$235),$B$208=1),$BA$235,HLOOKUP(INDIRECT(ADDRESS(2,COLUMN())),OFFSET($BN$2,0,0,ROW()-1,60),ROW()-1,FALSE))</f>
        <v/>
      </c>
      <c r="BB29" t="str">
        <f ca="1">IF(AND(ISNUMBER($BB$235),$B$208=1),$BB$235,HLOOKUP(INDIRECT(ADDRESS(2,COLUMN())),OFFSET($BN$2,0,0,ROW()-1,60),ROW()-1,FALSE))</f>
        <v/>
      </c>
      <c r="BC29" t="str">
        <f ca="1">IF(AND(ISNUMBER($BC$235),$B$208=1),$BC$235,HLOOKUP(INDIRECT(ADDRESS(2,COLUMN())),OFFSET($BN$2,0,0,ROW()-1,60),ROW()-1,FALSE))</f>
        <v/>
      </c>
      <c r="BD29" t="str">
        <f ca="1">IF(AND(ISNUMBER($BD$235),$B$208=1),$BD$235,HLOOKUP(INDIRECT(ADDRESS(2,COLUMN())),OFFSET($BN$2,0,0,ROW()-1,60),ROW()-1,FALSE))</f>
        <v/>
      </c>
      <c r="BE29" t="str">
        <f ca="1">IF(AND(ISNUMBER($BE$235),$B$208=1),$BE$235,HLOOKUP(INDIRECT(ADDRESS(2,COLUMN())),OFFSET($BN$2,0,0,ROW()-1,60),ROW()-1,FALSE))</f>
        <v/>
      </c>
      <c r="BF29" t="str">
        <f ca="1">IF(AND(ISNUMBER($BF$235),$B$208=1),$BF$235,HLOOKUP(INDIRECT(ADDRESS(2,COLUMN())),OFFSET($BN$2,0,0,ROW()-1,60),ROW()-1,FALSE))</f>
        <v/>
      </c>
      <c r="BG29" t="str">
        <f ca="1">IF(AND(ISNUMBER($BG$235),$B$208=1),$BG$235,HLOOKUP(INDIRECT(ADDRESS(2,COLUMN())),OFFSET($BN$2,0,0,ROW()-1,60),ROW()-1,FALSE))</f>
        <v/>
      </c>
      <c r="BH29">
        <f ca="1">IF(AND(ISNUMBER($BH$235),$B$208=1),$BH$235,HLOOKUP(INDIRECT(ADDRESS(2,COLUMN())),OFFSET($BN$2,0,0,ROW()-1,60),ROW()-1,FALSE))</f>
        <v>24682.942589999999</v>
      </c>
      <c r="BI29" t="str">
        <f ca="1">IF(AND(ISNUMBER($BI$235),$B$208=1),$BI$235,HLOOKUP(INDIRECT(ADDRESS(2,COLUMN())),OFFSET($BN$2,0,0,ROW()-1,60),ROW()-1,FALSE))</f>
        <v/>
      </c>
      <c r="BJ29" t="str">
        <f ca="1">IF(AND(ISNUMBER($BJ$235),$B$208=1),$BJ$235,HLOOKUP(INDIRECT(ADDRESS(2,COLUMN())),OFFSET($BN$2,0,0,ROW()-1,60),ROW()-1,FALSE))</f>
        <v/>
      </c>
      <c r="BK29" t="str">
        <f ca="1">IF(AND(ISNUMBER($BK$235),$B$208=1),$BK$235,HLOOKUP(INDIRECT(ADDRESS(2,COLUMN())),OFFSET($BN$2,0,0,ROW()-1,60),ROW()-1,FALSE))</f>
        <v/>
      </c>
      <c r="BL29">
        <f ca="1">IF(AND(ISNUMBER($BL$235),$B$208=1),$BL$235,HLOOKUP(INDIRECT(ADDRESS(2,COLUMN())),OFFSET($BN$2,0,0,ROW()-1,60),ROW()-1,FALSE))</f>
        <v>32324.816589999999</v>
      </c>
      <c r="BM29" t="str">
        <f ca="1">IF(AND(ISNUMBER($BM$235),$B$208=1),$BM$235,HLOOKUP(INDIRECT(ADDRESS(2,COLUMN())),OFFSET($BN$2,0,0,ROW()-1,60),ROW()-1,FALSE))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  <c r="BT29" t="str">
        <f>""</f>
        <v/>
      </c>
      <c r="BU29" t="str">
        <f>""</f>
        <v/>
      </c>
      <c r="BV29" t="str">
        <f>""</f>
        <v/>
      </c>
      <c r="BW29" t="str">
        <f>""</f>
        <v/>
      </c>
      <c r="BX29" t="str">
        <f>""</f>
        <v/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""</f>
        <v/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  <c r="CI29" t="str">
        <f>""</f>
        <v/>
      </c>
      <c r="CJ29" t="str">
        <f>""</f>
        <v/>
      </c>
      <c r="CK29" t="str">
        <f>""</f>
        <v/>
      </c>
      <c r="CL29" t="str">
        <f>""</f>
        <v/>
      </c>
      <c r="CM29" t="str">
        <f>""</f>
        <v/>
      </c>
      <c r="CN29" t="str">
        <f>""</f>
        <v/>
      </c>
      <c r="CO29" t="str">
        <f>""</f>
        <v/>
      </c>
      <c r="CP29" t="str">
        <f>""</f>
        <v/>
      </c>
      <c r="CQ29" t="str">
        <f>""</f>
        <v/>
      </c>
      <c r="CR29" t="str">
        <f>""</f>
        <v/>
      </c>
      <c r="CS29" t="str">
        <f>""</f>
        <v/>
      </c>
      <c r="CT29" t="str">
        <f>""</f>
        <v/>
      </c>
      <c r="CU29" t="str">
        <f>""</f>
        <v/>
      </c>
      <c r="CV29" t="str">
        <f>""</f>
        <v/>
      </c>
      <c r="CW29" t="str">
        <f>""</f>
        <v/>
      </c>
      <c r="CX29" t="str">
        <f>""</f>
        <v/>
      </c>
      <c r="CY29" t="str">
        <f>""</f>
        <v/>
      </c>
      <c r="CZ29" t="str">
        <f>""</f>
        <v/>
      </c>
      <c r="DA29" t="str">
        <f>""</f>
        <v/>
      </c>
      <c r="DB29">
        <f>62445.04248</f>
        <v>62445.042479999996</v>
      </c>
      <c r="DC29" t="str">
        <f>""</f>
        <v/>
      </c>
      <c r="DD29" t="str">
        <f>""</f>
        <v/>
      </c>
      <c r="DE29" t="str">
        <f>""</f>
        <v/>
      </c>
      <c r="DF29" t="str">
        <f>""</f>
        <v/>
      </c>
      <c r="DG29" t="str">
        <f>""</f>
        <v/>
      </c>
      <c r="DH29" t="str">
        <f>""</f>
        <v/>
      </c>
      <c r="DI29" t="str">
        <f>""</f>
        <v/>
      </c>
      <c r="DJ29" t="str">
        <f>""</f>
        <v/>
      </c>
      <c r="DK29" t="str">
        <f>""</f>
        <v/>
      </c>
      <c r="DL29" t="str">
        <f>""</f>
        <v/>
      </c>
      <c r="DM29" t="str">
        <f>""</f>
        <v/>
      </c>
      <c r="DN29" t="str">
        <f>""</f>
        <v/>
      </c>
      <c r="DO29" t="str">
        <f>""</f>
        <v/>
      </c>
      <c r="DP29">
        <f>24682.94259</f>
        <v>24682.942589999999</v>
      </c>
      <c r="DQ29" t="str">
        <f>""</f>
        <v/>
      </c>
      <c r="DR29" t="str">
        <f>""</f>
        <v/>
      </c>
      <c r="DS29" t="str">
        <f>""</f>
        <v/>
      </c>
      <c r="DT29">
        <f>32324.81659</f>
        <v>32324.816589999999</v>
      </c>
      <c r="DU29" t="str">
        <f>""</f>
        <v/>
      </c>
    </row>
    <row r="30" spans="1:125" x14ac:dyDescent="0.25">
      <c r="A30" t="str">
        <f>"    Mediobanca Banca di Credito Finanziario SpA"</f>
        <v xml:space="preserve">    Mediobanca Banca di Credito Finanziario SpA</v>
      </c>
      <c r="B30" t="str">
        <f>"MB IM Equity"</f>
        <v>MB IM Equity</v>
      </c>
      <c r="C30" t="str">
        <f t="shared" si="0"/>
        <v>BM105</v>
      </c>
      <c r="D30" t="str">
        <f t="shared" si="1"/>
        <v>BS_TRADING_ASSETS</v>
      </c>
      <c r="E30" t="str">
        <f t="shared" si="2"/>
        <v>Dynamic</v>
      </c>
      <c r="F30">
        <f ca="1">IF(AND(ISNUMBER($F$236),$B$208=1),$F$236,HLOOKUP(INDIRECT(ADDRESS(2,COLUMN())),OFFSET($BN$2,0,0,ROW()-1,60),ROW()-1,FALSE))</f>
        <v>15171.8</v>
      </c>
      <c r="G30">
        <f ca="1">IF(AND(ISNUMBER($G$236),$B$208=1),$G$236,HLOOKUP(INDIRECT(ADDRESS(2,COLUMN())),OFFSET($BN$2,0,0,ROW()-1,60),ROW()-1,FALSE))</f>
        <v>15362.6</v>
      </c>
      <c r="H30">
        <f ca="1">IF(AND(ISNUMBER($H$236),$B$208=1),$H$236,HLOOKUP(INDIRECT(ADDRESS(2,COLUMN())),OFFSET($BN$2,0,0,ROW()-1,60),ROW()-1,FALSE))</f>
        <v>15409.450999999999</v>
      </c>
      <c r="I30">
        <f ca="1">IF(AND(ISNUMBER($I$236),$B$208=1),$I$236,HLOOKUP(INDIRECT(ADDRESS(2,COLUMN())),OFFSET($BN$2,0,0,ROW()-1,60),ROW()-1,FALSE))</f>
        <v>12925.5</v>
      </c>
      <c r="J30">
        <f ca="1">IF(AND(ISNUMBER($J$236),$B$208=1),$J$236,HLOOKUP(INDIRECT(ADDRESS(2,COLUMN())),OFFSET($BN$2,0,0,ROW()-1,60),ROW()-1,FALSE))</f>
        <v>11132.017</v>
      </c>
      <c r="K30">
        <f ca="1">IF(AND(ISNUMBER($K$236),$B$208=1),$K$236,HLOOKUP(INDIRECT(ADDRESS(2,COLUMN())),OFFSET($BN$2,0,0,ROW()-1,60),ROW()-1,FALSE))</f>
        <v>10388.200000000001</v>
      </c>
      <c r="L30">
        <f ca="1">IF(AND(ISNUMBER($L$236),$B$208=1),$L$236,HLOOKUP(INDIRECT(ADDRESS(2,COLUMN())),OFFSET($BN$2,0,0,ROW()-1,60),ROW()-1,FALSE))</f>
        <v>9546.2119999999995</v>
      </c>
      <c r="M30">
        <f ca="1">IF(AND(ISNUMBER($M$236),$B$208=1),$M$236,HLOOKUP(INDIRECT(ADDRESS(2,COLUMN())),OFFSET($BN$2,0,0,ROW()-1,60),ROW()-1,FALSE))</f>
        <v>10028.1</v>
      </c>
      <c r="N30">
        <f ca="1">IF(AND(ISNUMBER($N$236),$B$208=1),$N$236,HLOOKUP(INDIRECT(ADDRESS(2,COLUMN())),OFFSET($BN$2,0,0,ROW()-1,60),ROW()-1,FALSE))</f>
        <v>8689.6759999999995</v>
      </c>
      <c r="O30">
        <f ca="1">IF(AND(ISNUMBER($O$236),$B$208=1),$O$236,HLOOKUP(INDIRECT(ADDRESS(2,COLUMN())),OFFSET($BN$2,0,0,ROW()-1,60),ROW()-1,FALSE))</f>
        <v>9867.2999999999993</v>
      </c>
      <c r="P30">
        <f ca="1">IF(AND(ISNUMBER($P$236),$B$208=1),$P$236,HLOOKUP(INDIRECT(ADDRESS(2,COLUMN())),OFFSET($BN$2,0,0,ROW()-1,60),ROW()-1,FALSE))</f>
        <v>9530.9349999999995</v>
      </c>
      <c r="Q30">
        <f ca="1">IF(AND(ISNUMBER($Q$236),$B$208=1),$Q$236,HLOOKUP(INDIRECT(ADDRESS(2,COLUMN())),OFFSET($BN$2,0,0,ROW()-1,60),ROW()-1,FALSE))</f>
        <v>9694.6</v>
      </c>
      <c r="R30">
        <f ca="1">IF(AND(ISNUMBER($R$236),$B$208=1),$R$236,HLOOKUP(INDIRECT(ADDRESS(2,COLUMN())),OFFSET($BN$2,0,0,ROW()-1,60),ROW()-1,FALSE))</f>
        <v>12123.172</v>
      </c>
      <c r="S30">
        <f ca="1">IF(AND(ISNUMBER($S$236),$B$208=1),$S$236,HLOOKUP(INDIRECT(ADDRESS(2,COLUMN())),OFFSET($BN$2,0,0,ROW()-1,60),ROW()-1,FALSE))</f>
        <v>12217.1</v>
      </c>
      <c r="T30">
        <f ca="1">IF(AND(ISNUMBER($T$236),$B$208=1),$T$236,HLOOKUP(INDIRECT(ADDRESS(2,COLUMN())),OFFSET($BN$2,0,0,ROW()-1,60),ROW()-1,FALSE))</f>
        <v>11273.736999999999</v>
      </c>
      <c r="U30">
        <f ca="1">IF(AND(ISNUMBER($U$236),$B$208=1),$U$236,HLOOKUP(INDIRECT(ADDRESS(2,COLUMN())),OFFSET($BN$2,0,0,ROW()-1,60),ROW()-1,FALSE))</f>
        <v>11417.7</v>
      </c>
      <c r="V30">
        <f ca="1">IF(AND(ISNUMBER($V$236),$B$208=1),$V$236,HLOOKUP(INDIRECT(ADDRESS(2,COLUMN())),OFFSET($BN$2,0,0,ROW()-1,60),ROW()-1,FALSE))</f>
        <v>11559.705</v>
      </c>
      <c r="W30">
        <f ca="1">IF(AND(ISNUMBER($W$236),$B$208=1),$W$236,HLOOKUP(INDIRECT(ADDRESS(2,COLUMN())),OFFSET($BN$2,0,0,ROW()-1,60),ROW()-1,FALSE))</f>
        <v>9612</v>
      </c>
      <c r="X30">
        <f ca="1">IF(AND(ISNUMBER($X$236),$B$208=1),$X$236,HLOOKUP(INDIRECT(ADDRESS(2,COLUMN())),OFFSET($BN$2,0,0,ROW()-1,60),ROW()-1,FALSE))</f>
        <v>8818.59</v>
      </c>
      <c r="Y30">
        <f ca="1">IF(AND(ISNUMBER($Y$236),$B$208=1),$Y$236,HLOOKUP(INDIRECT(ADDRESS(2,COLUMN())),OFFSET($BN$2,0,0,ROW()-1,60),ROW()-1,FALSE))</f>
        <v>11559.7</v>
      </c>
      <c r="Z30">
        <f ca="1">IF(AND(ISNUMBER($Z$236),$B$208=1),$Z$236,HLOOKUP(INDIRECT(ADDRESS(2,COLUMN())),OFFSET($BN$2,0,0,ROW()-1,60),ROW()-1,FALSE))</f>
        <v>12526.807000000001</v>
      </c>
      <c r="AA30">
        <f ca="1">IF(AND(ISNUMBER($AA$236),$B$208=1),$AA$236,HLOOKUP(INDIRECT(ADDRESS(2,COLUMN())),OFFSET($BN$2,0,0,ROW()-1,60),ROW()-1,FALSE))</f>
        <v>12144.4</v>
      </c>
      <c r="AB30">
        <f ca="1">IF(AND(ISNUMBER($AB$236),$B$208=1),$AB$236,HLOOKUP(INDIRECT(ADDRESS(2,COLUMN())),OFFSET($BN$2,0,0,ROW()-1,60),ROW()-1,FALSE))</f>
        <v>9765.6530000000002</v>
      </c>
      <c r="AC30">
        <f ca="1">IF(AND(ISNUMBER($AC$236),$B$208=1),$AC$236,HLOOKUP(INDIRECT(ADDRESS(2,COLUMN())),OFFSET($BN$2,0,0,ROW()-1,60),ROW()-1,FALSE))</f>
        <v>9728.7999999999993</v>
      </c>
      <c r="AD30">
        <f ca="1">IF(AND(ISNUMBER($AD$236),$B$208=1),$AD$236,HLOOKUP(INDIRECT(ADDRESS(2,COLUMN())),OFFSET($BN$2,0,0,ROW()-1,60),ROW()-1,FALSE))</f>
        <v>9315.3989999999994</v>
      </c>
      <c r="AE30">
        <f ca="1">IF(AND(ISNUMBER($AE$236),$B$208=1),$AE$236,HLOOKUP(INDIRECT(ADDRESS(2,COLUMN())),OFFSET($BN$2,0,0,ROW()-1,60),ROW()-1,FALSE))</f>
        <v>8403.7999999999993</v>
      </c>
      <c r="AF30">
        <f ca="1">IF(AND(ISNUMBER($AF$236),$B$208=1),$AF$236,HLOOKUP(INDIRECT(ADDRESS(2,COLUMN())),OFFSET($BN$2,0,0,ROW()-1,60),ROW()-1,FALSE))</f>
        <v>8204.9110000000001</v>
      </c>
      <c r="AG30">
        <f ca="1">IF(AND(ISNUMBER($AG$236),$B$208=1),$AG$236,HLOOKUP(INDIRECT(ADDRESS(2,COLUMN())),OFFSET($BN$2,0,0,ROW()-1,60),ROW()-1,FALSE))</f>
        <v>8491.7000000000007</v>
      </c>
      <c r="AH30">
        <f ca="1">IF(AND(ISNUMBER($AH$236),$B$208=1),$AH$236,HLOOKUP(INDIRECT(ADDRESS(2,COLUMN())),OFFSET($BN$2,0,0,ROW()-1,60),ROW()-1,FALSE))</f>
        <v>10105.026</v>
      </c>
      <c r="AI30">
        <f ca="1">IF(AND(ISNUMBER($AI$236),$B$208=1),$AI$236,HLOOKUP(INDIRECT(ADDRESS(2,COLUMN())),OFFSET($BN$2,0,0,ROW()-1,60),ROW()-1,FALSE))</f>
        <v>8304.5</v>
      </c>
      <c r="AJ30">
        <f ca="1">IF(AND(ISNUMBER($AJ$236),$B$208=1),$AJ$236,HLOOKUP(INDIRECT(ADDRESS(2,COLUMN())),OFFSET($BN$2,0,0,ROW()-1,60),ROW()-1,FALSE))</f>
        <v>7833.9030000000002</v>
      </c>
      <c r="AK30">
        <f ca="1">IF(AND(ISNUMBER($AK$236),$B$208=1),$AK$236,HLOOKUP(INDIRECT(ADDRESS(2,COLUMN())),OFFSET($BN$2,0,0,ROW()-1,60),ROW()-1,FALSE))</f>
        <v>10235.799999999999</v>
      </c>
      <c r="AL30">
        <f ca="1">IF(AND(ISNUMBER($AL$236),$B$208=1),$AL$236,HLOOKUP(INDIRECT(ADDRESS(2,COLUMN())),OFFSET($BN$2,0,0,ROW()-1,60),ROW()-1,FALSE))</f>
        <v>10335.710999999999</v>
      </c>
      <c r="AM30">
        <f ca="1">IF(AND(ISNUMBER($AM$236),$B$208=1),$AM$236,HLOOKUP(INDIRECT(ADDRESS(2,COLUMN())),OFFSET($BN$2,0,0,ROW()-1,60),ROW()-1,FALSE))</f>
        <v>9937.2000000000007</v>
      </c>
      <c r="AN30">
        <f ca="1">IF(AND(ISNUMBER($AN$236),$B$208=1),$AN$236,HLOOKUP(INDIRECT(ADDRESS(2,COLUMN())),OFFSET($BN$2,0,0,ROW()-1,60),ROW()-1,FALSE))</f>
        <v>9505.2950000000001</v>
      </c>
      <c r="AO30">
        <f ca="1">IF(AND(ISNUMBER($AO$236),$B$208=1),$AO$236,HLOOKUP(INDIRECT(ADDRESS(2,COLUMN())),OFFSET($BN$2,0,0,ROW()-1,60),ROW()-1,FALSE))</f>
        <v>10139.6</v>
      </c>
      <c r="AP30">
        <f ca="1">IF(AND(ISNUMBER($AP$236),$B$208=1),$AP$236,HLOOKUP(INDIRECT(ADDRESS(2,COLUMN())),OFFSET($BN$2,0,0,ROW()-1,60),ROW()-1,FALSE))</f>
        <v>13108.228999999999</v>
      </c>
      <c r="AQ30">
        <f ca="1">IF(AND(ISNUMBER($AQ$236),$B$208=1),$AQ$236,HLOOKUP(INDIRECT(ADDRESS(2,COLUMN())),OFFSET($BN$2,0,0,ROW()-1,60),ROW()-1,FALSE))</f>
        <v>12697.6</v>
      </c>
      <c r="AR30">
        <f ca="1">IF(AND(ISNUMBER($AR$236),$B$208=1),$AR$236,HLOOKUP(INDIRECT(ADDRESS(2,COLUMN())),OFFSET($BN$2,0,0,ROW()-1,60),ROW()-1,FALSE))</f>
        <v>11860.786</v>
      </c>
      <c r="AS30">
        <f ca="1">IF(AND(ISNUMBER($AS$236),$B$208=1),$AS$236,HLOOKUP(INDIRECT(ADDRESS(2,COLUMN())),OFFSET($BN$2,0,0,ROW()-1,60),ROW()-1,FALSE))</f>
        <v>14300</v>
      </c>
      <c r="AT30">
        <f ca="1">IF(AND(ISNUMBER($AT$236),$B$208=1),$AT$236,HLOOKUP(INDIRECT(ADDRESS(2,COLUMN())),OFFSET($BN$2,0,0,ROW()-1,60),ROW()-1,FALSE))</f>
        <v>13626.858</v>
      </c>
      <c r="AU30">
        <f ca="1">IF(AND(ISNUMBER($AU$236),$B$208=1),$AU$236,HLOOKUP(INDIRECT(ADDRESS(2,COLUMN())),OFFSET($BN$2,0,0,ROW()-1,60),ROW()-1,FALSE))</f>
        <v>13232</v>
      </c>
      <c r="AV30">
        <f ca="1">IF(AND(ISNUMBER($AV$236),$B$208=1),$AV$236,HLOOKUP(INDIRECT(ADDRESS(2,COLUMN())),OFFSET($BN$2,0,0,ROW()-1,60),ROW()-1,FALSE))</f>
        <v>12406.967000000001</v>
      </c>
      <c r="AW30">
        <f ca="1">IF(AND(ISNUMBER($AW$236),$B$208=1),$AW$236,HLOOKUP(INDIRECT(ADDRESS(2,COLUMN())),OFFSET($BN$2,0,0,ROW()-1,60),ROW()-1,FALSE))</f>
        <v>13671.2</v>
      </c>
      <c r="AX30">
        <f ca="1">IF(AND(ISNUMBER($AX$236),$B$208=1),$AX$236,HLOOKUP(INDIRECT(ADDRESS(2,COLUMN())),OFFSET($BN$2,0,0,ROW()-1,60),ROW()-1,FALSE))</f>
        <v>7734.7259999999997</v>
      </c>
      <c r="AY30">
        <f ca="1">IF(AND(ISNUMBER($AY$236),$B$208=1),$AY$236,HLOOKUP(INDIRECT(ADDRESS(2,COLUMN())),OFFSET($BN$2,0,0,ROW()-1,60),ROW()-1,FALSE))</f>
        <v>14876.3</v>
      </c>
      <c r="AZ30">
        <f ca="1">IF(AND(ISNUMBER($AZ$236),$B$208=1),$AZ$236,HLOOKUP(INDIRECT(ADDRESS(2,COLUMN())),OFFSET($BN$2,0,0,ROW()-1,60),ROW()-1,FALSE))</f>
        <v>13047.073</v>
      </c>
      <c r="BA30">
        <f ca="1">IF(AND(ISNUMBER($BA$236),$B$208=1),$BA$236,HLOOKUP(INDIRECT(ADDRESS(2,COLUMN())),OFFSET($BN$2,0,0,ROW()-1,60),ROW()-1,FALSE))</f>
        <v>13378.6</v>
      </c>
      <c r="BB30">
        <f ca="1">IF(AND(ISNUMBER($BB$236),$B$208=1),$BB$236,HLOOKUP(INDIRECT(ADDRESS(2,COLUMN())),OFFSET($BN$2,0,0,ROW()-1,60),ROW()-1,FALSE))</f>
        <v>7196.8059999999996</v>
      </c>
      <c r="BC30">
        <f ca="1">IF(AND(ISNUMBER($BC$236),$B$208=1),$BC$236,HLOOKUP(INDIRECT(ADDRESS(2,COLUMN())),OFFSET($BN$2,0,0,ROW()-1,60),ROW()-1,FALSE))</f>
        <v>14693.5</v>
      </c>
      <c r="BD30">
        <f ca="1">IF(AND(ISNUMBER($BD$236),$B$208=1),$BD$236,HLOOKUP(INDIRECT(ADDRESS(2,COLUMN())),OFFSET($BN$2,0,0,ROW()-1,60),ROW()-1,FALSE))</f>
        <v>6125.402</v>
      </c>
      <c r="BE30">
        <f ca="1">IF(AND(ISNUMBER($BE$236),$B$208=1),$BE$236,HLOOKUP(INDIRECT(ADDRESS(2,COLUMN())),OFFSET($BN$2,0,0,ROW()-1,60),ROW()-1,FALSE))</f>
        <v>13920.4</v>
      </c>
      <c r="BF30">
        <f ca="1">IF(AND(ISNUMBER($BF$236),$B$208=1),$BF$236,HLOOKUP(INDIRECT(ADDRESS(2,COLUMN())),OFFSET($BN$2,0,0,ROW()-1,60),ROW()-1,FALSE))</f>
        <v>6414.8540000000003</v>
      </c>
      <c r="BG30">
        <f ca="1">IF(AND(ISNUMBER($BG$236),$B$208=1),$BG$236,HLOOKUP(INDIRECT(ADDRESS(2,COLUMN())),OFFSET($BN$2,0,0,ROW()-1,60),ROW()-1,FALSE))</f>
        <v>14858.1</v>
      </c>
      <c r="BH30" t="str">
        <f ca="1">IF(AND(ISNUMBER($BH$236),$B$208=1),$BH$236,HLOOKUP(INDIRECT(ADDRESS(2,COLUMN())),OFFSET($BN$2,0,0,ROW()-1,60),ROW()-1,FALSE))</f>
        <v/>
      </c>
      <c r="BI30" t="str">
        <f ca="1">IF(AND(ISNUMBER($BI$236),$B$208=1),$BI$236,HLOOKUP(INDIRECT(ADDRESS(2,COLUMN())),OFFSET($BN$2,0,0,ROW()-1,60),ROW()-1,FALSE))</f>
        <v/>
      </c>
      <c r="BJ30" t="str">
        <f ca="1">IF(AND(ISNUMBER($BJ$236),$B$208=1),$BJ$236,HLOOKUP(INDIRECT(ADDRESS(2,COLUMN())),OFFSET($BN$2,0,0,ROW()-1,60),ROW()-1,FALSE))</f>
        <v/>
      </c>
      <c r="BK30" t="str">
        <f ca="1">IF(AND(ISNUMBER($BK$236),$B$208=1),$BK$236,HLOOKUP(INDIRECT(ADDRESS(2,COLUMN())),OFFSET($BN$2,0,0,ROW()-1,60),ROW()-1,FALSE))</f>
        <v/>
      </c>
      <c r="BL30" t="str">
        <f ca="1">IF(AND(ISNUMBER($BL$236),$B$208=1),$BL$236,HLOOKUP(INDIRECT(ADDRESS(2,COLUMN())),OFFSET($BN$2,0,0,ROW()-1,60),ROW()-1,FALSE))</f>
        <v/>
      </c>
      <c r="BM30" t="str">
        <f ca="1">IF(AND(ISNUMBER($BM$236),$B$208=1),$BM$236,HLOOKUP(INDIRECT(ADDRESS(2,COLUMN())),OFFSET($BN$2,0,0,ROW()-1,60),ROW()-1,FALSE))</f>
        <v/>
      </c>
      <c r="BN30">
        <f>15171.8</f>
        <v>15171.8</v>
      </c>
      <c r="BO30">
        <f>15362.6</f>
        <v>15362.6</v>
      </c>
      <c r="BP30">
        <f>15409.451</f>
        <v>15409.450999999999</v>
      </c>
      <c r="BQ30">
        <f>12925.5</f>
        <v>12925.5</v>
      </c>
      <c r="BR30">
        <f>11132.017</f>
        <v>11132.017</v>
      </c>
      <c r="BS30">
        <f>10388.2</f>
        <v>10388.200000000001</v>
      </c>
      <c r="BT30">
        <f>9546.212</f>
        <v>9546.2119999999995</v>
      </c>
      <c r="BU30">
        <f>10028.1</f>
        <v>10028.1</v>
      </c>
      <c r="BV30">
        <f>8689.676</f>
        <v>8689.6759999999995</v>
      </c>
      <c r="BW30">
        <f>9867.3</f>
        <v>9867.2999999999993</v>
      </c>
      <c r="BX30">
        <f>9530.935</f>
        <v>9530.9349999999995</v>
      </c>
      <c r="BY30">
        <f>9694.6</f>
        <v>9694.6</v>
      </c>
      <c r="BZ30">
        <f>12123.172</f>
        <v>12123.172</v>
      </c>
      <c r="CA30">
        <f>12217.1</f>
        <v>12217.1</v>
      </c>
      <c r="CB30">
        <f>11273.737</f>
        <v>11273.736999999999</v>
      </c>
      <c r="CC30">
        <f>11417.7</f>
        <v>11417.7</v>
      </c>
      <c r="CD30">
        <f>11559.705</f>
        <v>11559.705</v>
      </c>
      <c r="CE30">
        <f>9612</f>
        <v>9612</v>
      </c>
      <c r="CF30">
        <f>8818.59</f>
        <v>8818.59</v>
      </c>
      <c r="CG30">
        <f>11559.7</f>
        <v>11559.7</v>
      </c>
      <c r="CH30">
        <f>12526.807</f>
        <v>12526.807000000001</v>
      </c>
      <c r="CI30">
        <f>12144.4</f>
        <v>12144.4</v>
      </c>
      <c r="CJ30">
        <f>9765.653</f>
        <v>9765.6530000000002</v>
      </c>
      <c r="CK30">
        <f>9728.8</f>
        <v>9728.7999999999993</v>
      </c>
      <c r="CL30">
        <f>9315.399</f>
        <v>9315.3989999999994</v>
      </c>
      <c r="CM30">
        <f>8403.8</f>
        <v>8403.7999999999993</v>
      </c>
      <c r="CN30">
        <f>8204.911</f>
        <v>8204.9110000000001</v>
      </c>
      <c r="CO30">
        <f>8491.7</f>
        <v>8491.7000000000007</v>
      </c>
      <c r="CP30">
        <f>10105.026</f>
        <v>10105.026</v>
      </c>
      <c r="CQ30">
        <f>8304.5</f>
        <v>8304.5</v>
      </c>
      <c r="CR30">
        <f>7833.903</f>
        <v>7833.9030000000002</v>
      </c>
      <c r="CS30">
        <f>10235.8</f>
        <v>10235.799999999999</v>
      </c>
      <c r="CT30">
        <f>10335.711</f>
        <v>10335.710999999999</v>
      </c>
      <c r="CU30">
        <f>9937.2</f>
        <v>9937.2000000000007</v>
      </c>
      <c r="CV30">
        <f>9505.295</f>
        <v>9505.2950000000001</v>
      </c>
      <c r="CW30">
        <f>10139.6</f>
        <v>10139.6</v>
      </c>
      <c r="CX30">
        <f>13108.229</f>
        <v>13108.228999999999</v>
      </c>
      <c r="CY30">
        <f>12697.6</f>
        <v>12697.6</v>
      </c>
      <c r="CZ30">
        <f>11860.786</f>
        <v>11860.786</v>
      </c>
      <c r="DA30">
        <f>14300</f>
        <v>14300</v>
      </c>
      <c r="DB30">
        <f>13626.858</f>
        <v>13626.858</v>
      </c>
      <c r="DC30">
        <f>13232</f>
        <v>13232</v>
      </c>
      <c r="DD30">
        <f>12406.967</f>
        <v>12406.967000000001</v>
      </c>
      <c r="DE30">
        <f>13671.2</f>
        <v>13671.2</v>
      </c>
      <c r="DF30">
        <f>7734.726</f>
        <v>7734.7259999999997</v>
      </c>
      <c r="DG30">
        <f>14876.3</f>
        <v>14876.3</v>
      </c>
      <c r="DH30">
        <f>13047.073</f>
        <v>13047.073</v>
      </c>
      <c r="DI30">
        <f>13378.6</f>
        <v>13378.6</v>
      </c>
      <c r="DJ30">
        <f>7196.806</f>
        <v>7196.8059999999996</v>
      </c>
      <c r="DK30">
        <f>14693.5</f>
        <v>14693.5</v>
      </c>
      <c r="DL30">
        <f>6125.402</f>
        <v>6125.402</v>
      </c>
      <c r="DM30">
        <f>13920.4</f>
        <v>13920.4</v>
      </c>
      <c r="DN30">
        <f>6414.854</f>
        <v>6414.8540000000003</v>
      </c>
      <c r="DO30">
        <f>14858.1</f>
        <v>14858.1</v>
      </c>
      <c r="DP30" t="str">
        <f>""</f>
        <v/>
      </c>
      <c r="DQ30" t="str">
        <f>""</f>
        <v/>
      </c>
      <c r="DR30" t="str">
        <f>""</f>
        <v/>
      </c>
      <c r="DS30" t="str">
        <f>""</f>
        <v/>
      </c>
      <c r="DT30" t="str">
        <f>""</f>
        <v/>
      </c>
      <c r="DU30" t="str">
        <f>""</f>
        <v/>
      </c>
    </row>
    <row r="31" spans="1:125" x14ac:dyDescent="0.25">
      <c r="A31" t="str">
        <f>"    NatWest Group PLC"</f>
        <v xml:space="preserve">    NatWest Group PLC</v>
      </c>
      <c r="B31" t="str">
        <f>"NWG LN Equity"</f>
        <v>NWG LN Equity</v>
      </c>
      <c r="C31" t="str">
        <f t="shared" si="0"/>
        <v>BM105</v>
      </c>
      <c r="D31" t="str">
        <f t="shared" si="1"/>
        <v>BS_TRADING_ASSETS</v>
      </c>
      <c r="E31" t="str">
        <f t="shared" si="2"/>
        <v>Dynamic</v>
      </c>
      <c r="F31">
        <f ca="1">IF(AND(ISNUMBER($F$237),$B$208=1),$F$237,HLOOKUP(INDIRECT(ADDRESS(2,COLUMN())),OFFSET($BN$2,0,0,ROW()-1,60),ROW()-1,FALSE))</f>
        <v>59174.019039999999</v>
      </c>
      <c r="G31">
        <f ca="1">IF(AND(ISNUMBER($G$237),$B$208=1),$G$237,HLOOKUP(INDIRECT(ADDRESS(2,COLUMN())),OFFSET($BN$2,0,0,ROW()-1,60),ROW()-1,FALSE))</f>
        <v>65453.165589999997</v>
      </c>
      <c r="H31">
        <f ca="1">IF(AND(ISNUMBER($H$237),$B$208=1),$H$237,HLOOKUP(INDIRECT(ADDRESS(2,COLUMN())),OFFSET($BN$2,0,0,ROW()-1,60),ROW()-1,FALSE))</f>
        <v>54236.964169999999</v>
      </c>
      <c r="I31">
        <f ca="1">IF(AND(ISNUMBER($I$237),$B$208=1),$I$237,HLOOKUP(INDIRECT(ADDRESS(2,COLUMN())),OFFSET($BN$2,0,0,ROW()-1,60),ROW()-1,FALSE))</f>
        <v>58809.504119999998</v>
      </c>
      <c r="J31">
        <f ca="1">IF(AND(ISNUMBER($J$237),$B$208=1),$J$237,HLOOKUP(INDIRECT(ADDRESS(2,COLUMN())),OFFSET($BN$2,0,0,ROW()-1,60),ROW()-1,FALSE))</f>
        <v>52545.861620000003</v>
      </c>
      <c r="K31">
        <f ca="1">IF(AND(ISNUMBER($K$237),$B$208=1),$K$237,HLOOKUP(INDIRECT(ADDRESS(2,COLUMN())),OFFSET($BN$2,0,0,ROW()-1,60),ROW()-1,FALSE))</f>
        <v>57257.886749999998</v>
      </c>
      <c r="L31">
        <f ca="1">IF(AND(ISNUMBER($L$237),$B$208=1),$L$237,HLOOKUP(INDIRECT(ADDRESS(2,COLUMN())),OFFSET($BN$2,0,0,ROW()-1,60),ROW()-1,FALSE))</f>
        <v>56944.805639999999</v>
      </c>
      <c r="M31">
        <f ca="1">IF(AND(ISNUMBER($M$237),$B$208=1),$M$237,HLOOKUP(INDIRECT(ADDRESS(2,COLUMN())),OFFSET($BN$2,0,0,ROW()-1,60),ROW()-1,FALSE))</f>
        <v>57322.9401</v>
      </c>
      <c r="N31">
        <f ca="1">IF(AND(ISNUMBER($N$237),$B$208=1),$N$237,HLOOKUP(INDIRECT(ADDRESS(2,COLUMN())),OFFSET($BN$2,0,0,ROW()-1,60),ROW()-1,FALSE))</f>
        <v>51478.904490000001</v>
      </c>
      <c r="O31">
        <f ca="1">IF(AND(ISNUMBER($O$237),$B$208=1),$O$237,HLOOKUP(INDIRECT(ADDRESS(2,COLUMN())),OFFSET($BN$2,0,0,ROW()-1,60),ROW()-1,FALSE))</f>
        <v>65748.854949999994</v>
      </c>
      <c r="P31">
        <f ca="1">IF(AND(ISNUMBER($P$237),$B$208=1),$P$237,HLOOKUP(INDIRECT(ADDRESS(2,COLUMN())),OFFSET($BN$2,0,0,ROW()-1,60),ROW()-1,FALSE))</f>
        <v>76205.275970000002</v>
      </c>
      <c r="Q31">
        <f ca="1">IF(AND(ISNUMBER($Q$237),$B$208=1),$Q$237,HLOOKUP(INDIRECT(ADDRESS(2,COLUMN())),OFFSET($BN$2,0,0,ROW()-1,60),ROW()-1,FALSE))</f>
        <v>77005.779639999993</v>
      </c>
      <c r="R31">
        <f ca="1">IF(AND(ISNUMBER($R$237),$B$208=1),$R$237,HLOOKUP(INDIRECT(ADDRESS(2,COLUMN())),OFFSET($BN$2,0,0,ROW()-1,60),ROW()-1,FALSE))</f>
        <v>70323.513959999997</v>
      </c>
      <c r="S31">
        <f ca="1">IF(AND(ISNUMBER($S$237),$B$208=1),$S$237,HLOOKUP(INDIRECT(ADDRESS(2,COLUMN())),OFFSET($BN$2,0,0,ROW()-1,60),ROW()-1,FALSE))</f>
        <v>77195.711429999996</v>
      </c>
      <c r="T31">
        <f ca="1">IF(AND(ISNUMBER($T$237),$B$208=1),$T$237,HLOOKUP(INDIRECT(ADDRESS(2,COLUMN())),OFFSET($BN$2,0,0,ROW()-1,60),ROW()-1,FALSE))</f>
        <v>81752.974929999997</v>
      </c>
      <c r="U31">
        <f ca="1">IF(AND(ISNUMBER($U$237),$B$208=1),$U$237,HLOOKUP(INDIRECT(ADDRESS(2,COLUMN())),OFFSET($BN$2,0,0,ROW()-1,60),ROW()-1,FALSE))</f>
        <v>76995.778720000002</v>
      </c>
      <c r="V31">
        <f ca="1">IF(AND(ISNUMBER($V$237),$B$208=1),$V$237,HLOOKUP(INDIRECT(ADDRESS(2,COLUMN())),OFFSET($BN$2,0,0,ROW()-1,60),ROW()-1,FALSE))</f>
        <v>77037.422489999997</v>
      </c>
      <c r="W31">
        <f ca="1">IF(AND(ISNUMBER($W$237),$B$208=1),$W$237,HLOOKUP(INDIRECT(ADDRESS(2,COLUMN())),OFFSET($BN$2,0,0,ROW()-1,60),ROW()-1,FALSE))</f>
        <v>78003.499400000001</v>
      </c>
      <c r="X31">
        <f ca="1">IF(AND(ISNUMBER($X$237),$B$208=1),$X$237,HLOOKUP(INDIRECT(ADDRESS(2,COLUMN())),OFFSET($BN$2,0,0,ROW()-1,60),ROW()-1,FALSE))</f>
        <v>79717.544959999999</v>
      </c>
      <c r="Y31">
        <f ca="1">IF(AND(ISNUMBER($Y$237),$B$208=1),$Y$237,HLOOKUP(INDIRECT(ADDRESS(2,COLUMN())),OFFSET($BN$2,0,0,ROW()-1,60),ROW()-1,FALSE))</f>
        <v>92488.334149999995</v>
      </c>
      <c r="Z31">
        <f ca="1">IF(AND(ISNUMBER($Z$237),$B$208=1),$Z$237,HLOOKUP(INDIRECT(ADDRESS(2,COLUMN())),OFFSET($BN$2,0,0,ROW()-1,60),ROW()-1,FALSE))</f>
        <v>90646.445359999998</v>
      </c>
      <c r="AA31">
        <f ca="1">IF(AND(ISNUMBER($AA$237),$B$208=1),$AA$237,HLOOKUP(INDIRECT(ADDRESS(2,COLUMN())),OFFSET($BN$2,0,0,ROW()-1,60),ROW()-1,FALSE))</f>
        <v>103258.31879999999</v>
      </c>
      <c r="AB31">
        <f ca="1">IF(AND(ISNUMBER($AB$237),$B$208=1),$AB$237,HLOOKUP(INDIRECT(ADDRESS(2,COLUMN())),OFFSET($BN$2,0,0,ROW()-1,60),ROW()-1,FALSE))</f>
        <v>95404.171140000006</v>
      </c>
      <c r="AC31">
        <f ca="1">IF(AND(ISNUMBER($AC$237),$B$208=1),$AC$237,HLOOKUP(INDIRECT(ADDRESS(2,COLUMN())),OFFSET($BN$2,0,0,ROW()-1,60),ROW()-1,FALSE))</f>
        <v>103171.6686</v>
      </c>
      <c r="AD31">
        <f ca="1">IF(AND(ISNUMBER($AD$237),$B$208=1),$AD$237,HLOOKUP(INDIRECT(ADDRESS(2,COLUMN())),OFFSET($BN$2,0,0,ROW()-1,60),ROW()-1,FALSE))</f>
        <v>83606.948480000006</v>
      </c>
      <c r="AE31" t="str">
        <f ca="1">IF(AND(ISNUMBER($AE$237),$B$208=1),$AE$237,HLOOKUP(INDIRECT(ADDRESS(2,COLUMN())),OFFSET($BN$2,0,0,ROW()-1,60),ROW()-1,FALSE))</f>
        <v/>
      </c>
      <c r="AF31" t="str">
        <f ca="1">IF(AND(ISNUMBER($AF$237),$B$208=1),$AF$237,HLOOKUP(INDIRECT(ADDRESS(2,COLUMN())),OFFSET($BN$2,0,0,ROW()-1,60),ROW()-1,FALSE))</f>
        <v/>
      </c>
      <c r="AG31" t="str">
        <f ca="1">IF(AND(ISNUMBER($AG$237),$B$208=1),$AG$237,HLOOKUP(INDIRECT(ADDRESS(2,COLUMN())),OFFSET($BN$2,0,0,ROW()-1,60),ROW()-1,FALSE))</f>
        <v/>
      </c>
      <c r="AH31" t="str">
        <f ca="1">IF(AND(ISNUMBER($AH$237),$B$208=1),$AH$237,HLOOKUP(INDIRECT(ADDRESS(2,COLUMN())),OFFSET($BN$2,0,0,ROW()-1,60),ROW()-1,FALSE))</f>
        <v/>
      </c>
      <c r="AI31" t="str">
        <f ca="1">IF(AND(ISNUMBER($AI$237),$B$208=1),$AI$237,HLOOKUP(INDIRECT(ADDRESS(2,COLUMN())),OFFSET($BN$2,0,0,ROW()-1,60),ROW()-1,FALSE))</f>
        <v/>
      </c>
      <c r="AJ31" t="str">
        <f ca="1">IF(AND(ISNUMBER($AJ$237),$B$208=1),$AJ$237,HLOOKUP(INDIRECT(ADDRESS(2,COLUMN())),OFFSET($BN$2,0,0,ROW()-1,60),ROW()-1,FALSE))</f>
        <v/>
      </c>
      <c r="AK31" t="str">
        <f ca="1">IF(AND(ISNUMBER($AK$237),$B$208=1),$AK$237,HLOOKUP(INDIRECT(ADDRESS(2,COLUMN())),OFFSET($BN$2,0,0,ROW()-1,60),ROW()-1,FALSE))</f>
        <v/>
      </c>
      <c r="AL31" t="str">
        <f ca="1">IF(AND(ISNUMBER($AL$237),$B$208=1),$AL$237,HLOOKUP(INDIRECT(ADDRESS(2,COLUMN())),OFFSET($BN$2,0,0,ROW()-1,60),ROW()-1,FALSE))</f>
        <v/>
      </c>
      <c r="AM31" t="str">
        <f ca="1">IF(AND(ISNUMBER($AM$237),$B$208=1),$AM$237,HLOOKUP(INDIRECT(ADDRESS(2,COLUMN())),OFFSET($BN$2,0,0,ROW()-1,60),ROW()-1,FALSE))</f>
        <v/>
      </c>
      <c r="AN31" t="str">
        <f ca="1">IF(AND(ISNUMBER($AN$237),$B$208=1),$AN$237,HLOOKUP(INDIRECT(ADDRESS(2,COLUMN())),OFFSET($BN$2,0,0,ROW()-1,60),ROW()-1,FALSE))</f>
        <v/>
      </c>
      <c r="AO31" t="str">
        <f ca="1">IF(AND(ISNUMBER($AO$237),$B$208=1),$AO$237,HLOOKUP(INDIRECT(ADDRESS(2,COLUMN())),OFFSET($BN$2,0,0,ROW()-1,60),ROW()-1,FALSE))</f>
        <v/>
      </c>
      <c r="AP31" t="str">
        <f ca="1">IF(AND(ISNUMBER($AP$237),$B$208=1),$AP$237,HLOOKUP(INDIRECT(ADDRESS(2,COLUMN())),OFFSET($BN$2,0,0,ROW()-1,60),ROW()-1,FALSE))</f>
        <v/>
      </c>
      <c r="AQ31" t="str">
        <f ca="1">IF(AND(ISNUMBER($AQ$237),$B$208=1),$AQ$237,HLOOKUP(INDIRECT(ADDRESS(2,COLUMN())),OFFSET($BN$2,0,0,ROW()-1,60),ROW()-1,FALSE))</f>
        <v/>
      </c>
      <c r="AR31" t="str">
        <f ca="1">IF(AND(ISNUMBER($AR$237),$B$208=1),$AR$237,HLOOKUP(INDIRECT(ADDRESS(2,COLUMN())),OFFSET($BN$2,0,0,ROW()-1,60),ROW()-1,FALSE))</f>
        <v/>
      </c>
      <c r="AS31" t="str">
        <f ca="1">IF(AND(ISNUMBER($AS$237),$B$208=1),$AS$237,HLOOKUP(INDIRECT(ADDRESS(2,COLUMN())),OFFSET($BN$2,0,0,ROW()-1,60),ROW()-1,FALSE))</f>
        <v/>
      </c>
      <c r="AT31" t="str">
        <f ca="1">IF(AND(ISNUMBER($AT$237),$B$208=1),$AT$237,HLOOKUP(INDIRECT(ADDRESS(2,COLUMN())),OFFSET($BN$2,0,0,ROW()-1,60),ROW()-1,FALSE))</f>
        <v/>
      </c>
      <c r="AU31" t="str">
        <f ca="1">IF(AND(ISNUMBER($AU$237),$B$208=1),$AU$237,HLOOKUP(INDIRECT(ADDRESS(2,COLUMN())),OFFSET($BN$2,0,0,ROW()-1,60),ROW()-1,FALSE))</f>
        <v/>
      </c>
      <c r="AV31" t="str">
        <f ca="1">IF(AND(ISNUMBER($AV$237),$B$208=1),$AV$237,HLOOKUP(INDIRECT(ADDRESS(2,COLUMN())),OFFSET($BN$2,0,0,ROW()-1,60),ROW()-1,FALSE))</f>
        <v/>
      </c>
      <c r="AW31">
        <f ca="1">IF(AND(ISNUMBER($AW$237),$B$208=1),$AW$237,HLOOKUP(INDIRECT(ADDRESS(2,COLUMN())),OFFSET($BN$2,0,0,ROW()-1,60),ROW()-1,FALSE))</f>
        <v>214807.23980000001</v>
      </c>
      <c r="AX31" t="str">
        <f ca="1">IF(AND(ISNUMBER($AX$237),$B$208=1),$AX$237,HLOOKUP(INDIRECT(ADDRESS(2,COLUMN())),OFFSET($BN$2,0,0,ROW()-1,60),ROW()-1,FALSE))</f>
        <v/>
      </c>
      <c r="AY31">
        <f ca="1">IF(AND(ISNUMBER($AY$237),$B$208=1),$AY$237,HLOOKUP(INDIRECT(ADDRESS(2,COLUMN())),OFFSET($BN$2,0,0,ROW()-1,60),ROW()-1,FALSE))</f>
        <v>250581.15520000001</v>
      </c>
      <c r="AZ31">
        <f ca="1">IF(AND(ISNUMBER($AZ$237),$B$208=1),$AZ$237,HLOOKUP(INDIRECT(ADDRESS(2,COLUMN())),OFFSET($BN$2,0,0,ROW()-1,60),ROW()-1,FALSE))</f>
        <v>207075.29370000001</v>
      </c>
      <c r="BA31">
        <f ca="1">IF(AND(ISNUMBER($BA$237),$B$208=1),$BA$237,HLOOKUP(INDIRECT(ADDRESS(2,COLUMN())),OFFSET($BN$2,0,0,ROW()-1,60),ROW()-1,FALSE))</f>
        <v>282356.26610000001</v>
      </c>
      <c r="BB31">
        <f ca="1">IF(AND(ISNUMBER($BB$237),$B$208=1),$BB$237,HLOOKUP(INDIRECT(ADDRESS(2,COLUMN())),OFFSET($BN$2,0,0,ROW()-1,60),ROW()-1,FALSE))</f>
        <v>276419.22210000001</v>
      </c>
      <c r="BC31">
        <f ca="1">IF(AND(ISNUMBER($BC$237),$B$208=1),$BC$237,HLOOKUP(INDIRECT(ADDRESS(2,COLUMN())),OFFSET($BN$2,0,0,ROW()-1,60),ROW()-1,FALSE))</f>
        <v>297357.71169999999</v>
      </c>
      <c r="BD31" t="str">
        <f ca="1">IF(AND(ISNUMBER($BD$237),$B$208=1),$BD$237,HLOOKUP(INDIRECT(ADDRESS(2,COLUMN())),OFFSET($BN$2,0,0,ROW()-1,60),ROW()-1,FALSE))</f>
        <v/>
      </c>
      <c r="BE31" t="str">
        <f ca="1">IF(AND(ISNUMBER($BE$237),$B$208=1),$BE$237,HLOOKUP(INDIRECT(ADDRESS(2,COLUMN())),OFFSET($BN$2,0,0,ROW()-1,60),ROW()-1,FALSE))</f>
        <v/>
      </c>
      <c r="BF31">
        <f ca="1">IF(AND(ISNUMBER($BF$237),$B$208=1),$BF$237,HLOOKUP(INDIRECT(ADDRESS(2,COLUMN())),OFFSET($BN$2,0,0,ROW()-1,60),ROW()-1,FALSE))</f>
        <v>279643.0662</v>
      </c>
      <c r="BG31">
        <f ca="1">IF(AND(ISNUMBER($BG$237),$B$208=1),$BG$237,HLOOKUP(INDIRECT(ADDRESS(2,COLUMN())),OFFSET($BN$2,0,0,ROW()-1,60),ROW()-1,FALSE))</f>
        <v>327256.00540000002</v>
      </c>
      <c r="BH31">
        <f ca="1">IF(AND(ISNUMBER($BH$237),$B$208=1),$BH$237,HLOOKUP(INDIRECT(ADDRESS(2,COLUMN())),OFFSET($BN$2,0,0,ROW()-1,60),ROW()-1,FALSE))</f>
        <v>314893.26850000001</v>
      </c>
      <c r="BI31">
        <f ca="1">IF(AND(ISNUMBER($BI$237),$B$208=1),$BI$237,HLOOKUP(INDIRECT(ADDRESS(2,COLUMN())),OFFSET($BN$2,0,0,ROW()-1,60),ROW()-1,FALSE))</f>
        <v>316031.74739999999</v>
      </c>
      <c r="BJ31">
        <f ca="1">IF(AND(ISNUMBER($BJ$237),$B$208=1),$BJ$237,HLOOKUP(INDIRECT(ADDRESS(2,COLUMN())),OFFSET($BN$2,0,0,ROW()-1,60),ROW()-1,FALSE))</f>
        <v>137707.28</v>
      </c>
      <c r="BK31">
        <f ca="1">IF(AND(ISNUMBER($BK$237),$B$208=1),$BK$237,HLOOKUP(INDIRECT(ADDRESS(2,COLUMN())),OFFSET($BN$2,0,0,ROW()-1,60),ROW()-1,FALSE))</f>
        <v>121701.4626</v>
      </c>
      <c r="BL31">
        <f ca="1">IF(AND(ISNUMBER($BL$237),$B$208=1),$BL$237,HLOOKUP(INDIRECT(ADDRESS(2,COLUMN())),OFFSET($BN$2,0,0,ROW()-1,60),ROW()-1,FALSE))</f>
        <v>125936.0401</v>
      </c>
      <c r="BM31">
        <f ca="1">IF(AND(ISNUMBER($BM$237),$B$208=1),$BM$237,HLOOKUP(INDIRECT(ADDRESS(2,COLUMN())),OFFSET($BN$2,0,0,ROW()-1,60),ROW()-1,FALSE))</f>
        <v>127490.8014</v>
      </c>
      <c r="BN31">
        <f>59174.01904</f>
        <v>59174.019039999999</v>
      </c>
      <c r="BO31">
        <f>65453.16559</f>
        <v>65453.165589999997</v>
      </c>
      <c r="BP31">
        <f>54236.96417</f>
        <v>54236.964169999999</v>
      </c>
      <c r="BQ31">
        <f>58809.50412</f>
        <v>58809.504119999998</v>
      </c>
      <c r="BR31">
        <f>52545.86162</f>
        <v>52545.861620000003</v>
      </c>
      <c r="BS31">
        <f>57257.88675</f>
        <v>57257.886749999998</v>
      </c>
      <c r="BT31">
        <f>56944.80564</f>
        <v>56944.805639999999</v>
      </c>
      <c r="BU31">
        <f>57322.9401</f>
        <v>57322.9401</v>
      </c>
      <c r="BV31">
        <f>51478.90449</f>
        <v>51478.904490000001</v>
      </c>
      <c r="BW31">
        <f>65748.85495</f>
        <v>65748.854949999994</v>
      </c>
      <c r="BX31">
        <f>76205.27597</f>
        <v>76205.275970000002</v>
      </c>
      <c r="BY31">
        <f>77005.77964</f>
        <v>77005.779639999993</v>
      </c>
      <c r="BZ31">
        <f>70323.51396</f>
        <v>70323.513959999997</v>
      </c>
      <c r="CA31">
        <f>77195.71143</f>
        <v>77195.711429999996</v>
      </c>
      <c r="CB31">
        <f>81752.97493</f>
        <v>81752.974929999997</v>
      </c>
      <c r="CC31">
        <f>76995.77872</f>
        <v>76995.778720000002</v>
      </c>
      <c r="CD31">
        <f>77037.42249</f>
        <v>77037.422489999997</v>
      </c>
      <c r="CE31">
        <f>78003.4994</f>
        <v>78003.499400000001</v>
      </c>
      <c r="CF31">
        <f>79717.54496</f>
        <v>79717.544959999999</v>
      </c>
      <c r="CG31">
        <f>92488.33415</f>
        <v>92488.334149999995</v>
      </c>
      <c r="CH31">
        <f>90646.44536</f>
        <v>90646.445359999998</v>
      </c>
      <c r="CI31">
        <f>103258.3188</f>
        <v>103258.31879999999</v>
      </c>
      <c r="CJ31">
        <f>95404.17114</f>
        <v>95404.171140000006</v>
      </c>
      <c r="CK31">
        <f>103171.6686</f>
        <v>103171.6686</v>
      </c>
      <c r="CL31">
        <f>83606.94848</f>
        <v>83606.948480000006</v>
      </c>
      <c r="CM31" t="str">
        <f>""</f>
        <v/>
      </c>
      <c r="CN31" t="str">
        <f>""</f>
        <v/>
      </c>
      <c r="CO31" t="str">
        <f>""</f>
        <v/>
      </c>
      <c r="CP31" t="str">
        <f>""</f>
        <v/>
      </c>
      <c r="CQ31" t="str">
        <f>""</f>
        <v/>
      </c>
      <c r="CR31" t="str">
        <f>""</f>
        <v/>
      </c>
      <c r="CS31" t="str">
        <f>""</f>
        <v/>
      </c>
      <c r="CT31" t="str">
        <f>""</f>
        <v/>
      </c>
      <c r="CU31" t="str">
        <f>""</f>
        <v/>
      </c>
      <c r="CV31" t="str">
        <f>""</f>
        <v/>
      </c>
      <c r="CW31" t="str">
        <f>""</f>
        <v/>
      </c>
      <c r="CX31" t="str">
        <f>""</f>
        <v/>
      </c>
      <c r="CY31" t="str">
        <f>""</f>
        <v/>
      </c>
      <c r="CZ31" t="str">
        <f>""</f>
        <v/>
      </c>
      <c r="DA31" t="str">
        <f>""</f>
        <v/>
      </c>
      <c r="DB31" t="str">
        <f>""</f>
        <v/>
      </c>
      <c r="DC31" t="str">
        <f>""</f>
        <v/>
      </c>
      <c r="DD31" t="str">
        <f>""</f>
        <v/>
      </c>
      <c r="DE31">
        <f>214807.2398</f>
        <v>214807.23980000001</v>
      </c>
      <c r="DF31" t="str">
        <f>""</f>
        <v/>
      </c>
      <c r="DG31">
        <f>250581.1552</f>
        <v>250581.15520000001</v>
      </c>
      <c r="DH31">
        <f>207075.2937</f>
        <v>207075.29370000001</v>
      </c>
      <c r="DI31">
        <f>282356.2661</f>
        <v>282356.26610000001</v>
      </c>
      <c r="DJ31">
        <f>276419.2221</f>
        <v>276419.22210000001</v>
      </c>
      <c r="DK31">
        <f>297357.7117</f>
        <v>297357.71169999999</v>
      </c>
      <c r="DL31" t="str">
        <f>""</f>
        <v/>
      </c>
      <c r="DM31" t="str">
        <f>""</f>
        <v/>
      </c>
      <c r="DN31">
        <f>279643.0662</f>
        <v>279643.0662</v>
      </c>
      <c r="DO31">
        <f>327256.0054</f>
        <v>327256.00540000002</v>
      </c>
      <c r="DP31">
        <f>314893.2685</f>
        <v>314893.26850000001</v>
      </c>
      <c r="DQ31">
        <f>316031.7474</f>
        <v>316031.74739999999</v>
      </c>
      <c r="DR31">
        <f>137707.28</f>
        <v>137707.28</v>
      </c>
      <c r="DS31">
        <f>121701.4626</f>
        <v>121701.4626</v>
      </c>
      <c r="DT31">
        <f>125936.0401</f>
        <v>125936.0401</v>
      </c>
      <c r="DU31">
        <f>127490.8014</f>
        <v>127490.8014</v>
      </c>
    </row>
    <row r="32" spans="1:125" x14ac:dyDescent="0.25">
      <c r="A32" t="str">
        <f>"    Nordea Bank Abp"</f>
        <v xml:space="preserve">    Nordea Bank Abp</v>
      </c>
      <c r="B32" t="str">
        <f>"NDA FH Equity"</f>
        <v>NDA FH Equity</v>
      </c>
      <c r="C32" t="str">
        <f t="shared" si="0"/>
        <v>BM105</v>
      </c>
      <c r="D32" t="str">
        <f t="shared" si="1"/>
        <v>BS_TRADING_ASSETS</v>
      </c>
      <c r="E32" t="str">
        <f t="shared" si="2"/>
        <v>Dynamic</v>
      </c>
      <c r="F32" t="str">
        <f ca="1">IF(AND(ISNUMBER($F$238),$B$208=1),$F$238,HLOOKUP(INDIRECT(ADDRESS(2,COLUMN())),OFFSET($BN$2,0,0,ROW()-1,60),ROW()-1,FALSE))</f>
        <v/>
      </c>
      <c r="G32" t="str">
        <f ca="1">IF(AND(ISNUMBER($G$238),$B$208=1),$G$238,HLOOKUP(INDIRECT(ADDRESS(2,COLUMN())),OFFSET($BN$2,0,0,ROW()-1,60),ROW()-1,FALSE))</f>
        <v/>
      </c>
      <c r="H32" t="str">
        <f ca="1">IF(AND(ISNUMBER($H$238),$B$208=1),$H$238,HLOOKUP(INDIRECT(ADDRESS(2,COLUMN())),OFFSET($BN$2,0,0,ROW()-1,60),ROW()-1,FALSE))</f>
        <v/>
      </c>
      <c r="I32" t="str">
        <f ca="1">IF(AND(ISNUMBER($I$238),$B$208=1),$I$238,HLOOKUP(INDIRECT(ADDRESS(2,COLUMN())),OFFSET($BN$2,0,0,ROW()-1,60),ROW()-1,FALSE))</f>
        <v/>
      </c>
      <c r="J32" t="str">
        <f ca="1">IF(AND(ISNUMBER($J$238),$B$208=1),$J$238,HLOOKUP(INDIRECT(ADDRESS(2,COLUMN())),OFFSET($BN$2,0,0,ROW()-1,60),ROW()-1,FALSE))</f>
        <v/>
      </c>
      <c r="K32" t="str">
        <f ca="1">IF(AND(ISNUMBER($K$238),$B$208=1),$K$238,HLOOKUP(INDIRECT(ADDRESS(2,COLUMN())),OFFSET($BN$2,0,0,ROW()-1,60),ROW()-1,FALSE))</f>
        <v/>
      </c>
      <c r="L32" t="str">
        <f ca="1">IF(AND(ISNUMBER($L$238),$B$208=1),$L$238,HLOOKUP(INDIRECT(ADDRESS(2,COLUMN())),OFFSET($BN$2,0,0,ROW()-1,60),ROW()-1,FALSE))</f>
        <v/>
      </c>
      <c r="M32" t="str">
        <f ca="1">IF(AND(ISNUMBER($M$238),$B$208=1),$M$238,HLOOKUP(INDIRECT(ADDRESS(2,COLUMN())),OFFSET($BN$2,0,0,ROW()-1,60),ROW()-1,FALSE))</f>
        <v/>
      </c>
      <c r="N32" t="str">
        <f ca="1">IF(AND(ISNUMBER($N$238),$B$208=1),$N$238,HLOOKUP(INDIRECT(ADDRESS(2,COLUMN())),OFFSET($BN$2,0,0,ROW()-1,60),ROW()-1,FALSE))</f>
        <v/>
      </c>
      <c r="O32" t="str">
        <f ca="1">IF(AND(ISNUMBER($O$238),$B$208=1),$O$238,HLOOKUP(INDIRECT(ADDRESS(2,COLUMN())),OFFSET($BN$2,0,0,ROW()-1,60),ROW()-1,FALSE))</f>
        <v/>
      </c>
      <c r="P32" t="str">
        <f ca="1">IF(AND(ISNUMBER($P$238),$B$208=1),$P$238,HLOOKUP(INDIRECT(ADDRESS(2,COLUMN())),OFFSET($BN$2,0,0,ROW()-1,60),ROW()-1,FALSE))</f>
        <v/>
      </c>
      <c r="Q32" t="str">
        <f ca="1">IF(AND(ISNUMBER($Q$238),$B$208=1),$Q$238,HLOOKUP(INDIRECT(ADDRESS(2,COLUMN())),OFFSET($BN$2,0,0,ROW()-1,60),ROW()-1,FALSE))</f>
        <v/>
      </c>
      <c r="R32" t="str">
        <f ca="1">IF(AND(ISNUMBER($R$238),$B$208=1),$R$238,HLOOKUP(INDIRECT(ADDRESS(2,COLUMN())),OFFSET($BN$2,0,0,ROW()-1,60),ROW()-1,FALSE))</f>
        <v/>
      </c>
      <c r="S32" t="str">
        <f ca="1">IF(AND(ISNUMBER($S$238),$B$208=1),$S$238,HLOOKUP(INDIRECT(ADDRESS(2,COLUMN())),OFFSET($BN$2,0,0,ROW()-1,60),ROW()-1,FALSE))</f>
        <v/>
      </c>
      <c r="T32" t="str">
        <f ca="1">IF(AND(ISNUMBER($T$238),$B$208=1),$T$238,HLOOKUP(INDIRECT(ADDRESS(2,COLUMN())),OFFSET($BN$2,0,0,ROW()-1,60),ROW()-1,FALSE))</f>
        <v/>
      </c>
      <c r="U32" t="str">
        <f ca="1">IF(AND(ISNUMBER($U$238),$B$208=1),$U$238,HLOOKUP(INDIRECT(ADDRESS(2,COLUMN())),OFFSET($BN$2,0,0,ROW()-1,60),ROW()-1,FALSE))</f>
        <v/>
      </c>
      <c r="V32" t="str">
        <f ca="1">IF(AND(ISNUMBER($V$238),$B$208=1),$V$238,HLOOKUP(INDIRECT(ADDRESS(2,COLUMN())),OFFSET($BN$2,0,0,ROW()-1,60),ROW()-1,FALSE))</f>
        <v/>
      </c>
      <c r="W32" t="str">
        <f ca="1">IF(AND(ISNUMBER($W$238),$B$208=1),$W$238,HLOOKUP(INDIRECT(ADDRESS(2,COLUMN())),OFFSET($BN$2,0,0,ROW()-1,60),ROW()-1,FALSE))</f>
        <v/>
      </c>
      <c r="X32" t="str">
        <f ca="1">IF(AND(ISNUMBER($X$238),$B$208=1),$X$238,HLOOKUP(INDIRECT(ADDRESS(2,COLUMN())),OFFSET($BN$2,0,0,ROW()-1,60),ROW()-1,FALSE))</f>
        <v/>
      </c>
      <c r="Y32" t="str">
        <f ca="1">IF(AND(ISNUMBER($Y$238),$B$208=1),$Y$238,HLOOKUP(INDIRECT(ADDRESS(2,COLUMN())),OFFSET($BN$2,0,0,ROW()-1,60),ROW()-1,FALSE))</f>
        <v/>
      </c>
      <c r="Z32" t="str">
        <f ca="1">IF(AND(ISNUMBER($Z$238),$B$208=1),$Z$238,HLOOKUP(INDIRECT(ADDRESS(2,COLUMN())),OFFSET($BN$2,0,0,ROW()-1,60),ROW()-1,FALSE))</f>
        <v/>
      </c>
      <c r="AA32" t="str">
        <f ca="1">IF(AND(ISNUMBER($AA$238),$B$208=1),$AA$238,HLOOKUP(INDIRECT(ADDRESS(2,COLUMN())),OFFSET($BN$2,0,0,ROW()-1,60),ROW()-1,FALSE))</f>
        <v/>
      </c>
      <c r="AB32" t="str">
        <f ca="1">IF(AND(ISNUMBER($AB$238),$B$208=1),$AB$238,HLOOKUP(INDIRECT(ADDRESS(2,COLUMN())),OFFSET($BN$2,0,0,ROW()-1,60),ROW()-1,FALSE))</f>
        <v/>
      </c>
      <c r="AC32" t="str">
        <f ca="1">IF(AND(ISNUMBER($AC$238),$B$208=1),$AC$238,HLOOKUP(INDIRECT(ADDRESS(2,COLUMN())),OFFSET($BN$2,0,0,ROW()-1,60),ROW()-1,FALSE))</f>
        <v/>
      </c>
      <c r="AD32" t="str">
        <f ca="1">IF(AND(ISNUMBER($AD$238),$B$208=1),$AD$238,HLOOKUP(INDIRECT(ADDRESS(2,COLUMN())),OFFSET($BN$2,0,0,ROW()-1,60),ROW()-1,FALSE))</f>
        <v/>
      </c>
      <c r="AE32" t="str">
        <f ca="1">IF(AND(ISNUMBER($AE$238),$B$208=1),$AE$238,HLOOKUP(INDIRECT(ADDRESS(2,COLUMN())),OFFSET($BN$2,0,0,ROW()-1,60),ROW()-1,FALSE))</f>
        <v/>
      </c>
      <c r="AF32" t="str">
        <f ca="1">IF(AND(ISNUMBER($AF$238),$B$208=1),$AF$238,HLOOKUP(INDIRECT(ADDRESS(2,COLUMN())),OFFSET($BN$2,0,0,ROW()-1,60),ROW()-1,FALSE))</f>
        <v/>
      </c>
      <c r="AG32" t="str">
        <f ca="1">IF(AND(ISNUMBER($AG$238),$B$208=1),$AG$238,HLOOKUP(INDIRECT(ADDRESS(2,COLUMN())),OFFSET($BN$2,0,0,ROW()-1,60),ROW()-1,FALSE))</f>
        <v/>
      </c>
      <c r="AH32" t="str">
        <f ca="1">IF(AND(ISNUMBER($AH$238),$B$208=1),$AH$238,HLOOKUP(INDIRECT(ADDRESS(2,COLUMN())),OFFSET($BN$2,0,0,ROW()-1,60),ROW()-1,FALSE))</f>
        <v/>
      </c>
      <c r="AI32" t="str">
        <f ca="1">IF(AND(ISNUMBER($AI$238),$B$208=1),$AI$238,HLOOKUP(INDIRECT(ADDRESS(2,COLUMN())),OFFSET($BN$2,0,0,ROW()-1,60),ROW()-1,FALSE))</f>
        <v/>
      </c>
      <c r="AJ32" t="str">
        <f ca="1">IF(AND(ISNUMBER($AJ$238),$B$208=1),$AJ$238,HLOOKUP(INDIRECT(ADDRESS(2,COLUMN())),OFFSET($BN$2,0,0,ROW()-1,60),ROW()-1,FALSE))</f>
        <v/>
      </c>
      <c r="AK32" t="str">
        <f ca="1">IF(AND(ISNUMBER($AK$238),$B$208=1),$AK$238,HLOOKUP(INDIRECT(ADDRESS(2,COLUMN())),OFFSET($BN$2,0,0,ROW()-1,60),ROW()-1,FALSE))</f>
        <v/>
      </c>
      <c r="AL32" t="str">
        <f ca="1">IF(AND(ISNUMBER($AL$238),$B$208=1),$AL$238,HLOOKUP(INDIRECT(ADDRESS(2,COLUMN())),OFFSET($BN$2,0,0,ROW()-1,60),ROW()-1,FALSE))</f>
        <v/>
      </c>
      <c r="AM32" t="str">
        <f ca="1">IF(AND(ISNUMBER($AM$238),$B$208=1),$AM$238,HLOOKUP(INDIRECT(ADDRESS(2,COLUMN())),OFFSET($BN$2,0,0,ROW()-1,60),ROW()-1,FALSE))</f>
        <v/>
      </c>
      <c r="AN32" t="str">
        <f ca="1">IF(AND(ISNUMBER($AN$238),$B$208=1),$AN$238,HLOOKUP(INDIRECT(ADDRESS(2,COLUMN())),OFFSET($BN$2,0,0,ROW()-1,60),ROW()-1,FALSE))</f>
        <v/>
      </c>
      <c r="AO32" t="str">
        <f ca="1">IF(AND(ISNUMBER($AO$238),$B$208=1),$AO$238,HLOOKUP(INDIRECT(ADDRESS(2,COLUMN())),OFFSET($BN$2,0,0,ROW()-1,60),ROW()-1,FALSE))</f>
        <v/>
      </c>
      <c r="AP32" t="str">
        <f ca="1">IF(AND(ISNUMBER($AP$238),$B$208=1),$AP$238,HLOOKUP(INDIRECT(ADDRESS(2,COLUMN())),OFFSET($BN$2,0,0,ROW()-1,60),ROW()-1,FALSE))</f>
        <v/>
      </c>
      <c r="AQ32" t="str">
        <f ca="1">IF(AND(ISNUMBER($AQ$238),$B$208=1),$AQ$238,HLOOKUP(INDIRECT(ADDRESS(2,COLUMN())),OFFSET($BN$2,0,0,ROW()-1,60),ROW()-1,FALSE))</f>
        <v/>
      </c>
      <c r="AR32" t="str">
        <f ca="1">IF(AND(ISNUMBER($AR$238),$B$208=1),$AR$238,HLOOKUP(INDIRECT(ADDRESS(2,COLUMN())),OFFSET($BN$2,0,0,ROW()-1,60),ROW()-1,FALSE))</f>
        <v/>
      </c>
      <c r="AS32" t="str">
        <f ca="1">IF(AND(ISNUMBER($AS$238),$B$208=1),$AS$238,HLOOKUP(INDIRECT(ADDRESS(2,COLUMN())),OFFSET($BN$2,0,0,ROW()-1,60),ROW()-1,FALSE))</f>
        <v/>
      </c>
      <c r="AT32" t="str">
        <f ca="1">IF(AND(ISNUMBER($AT$238),$B$208=1),$AT$238,HLOOKUP(INDIRECT(ADDRESS(2,COLUMN())),OFFSET($BN$2,0,0,ROW()-1,60),ROW()-1,FALSE))</f>
        <v/>
      </c>
      <c r="AU32" t="str">
        <f ca="1">IF(AND(ISNUMBER($AU$238),$B$208=1),$AU$238,HLOOKUP(INDIRECT(ADDRESS(2,COLUMN())),OFFSET($BN$2,0,0,ROW()-1,60),ROW()-1,FALSE))</f>
        <v/>
      </c>
      <c r="AV32" t="str">
        <f ca="1">IF(AND(ISNUMBER($AV$238),$B$208=1),$AV$238,HLOOKUP(INDIRECT(ADDRESS(2,COLUMN())),OFFSET($BN$2,0,0,ROW()-1,60),ROW()-1,FALSE))</f>
        <v/>
      </c>
      <c r="AW32" t="str">
        <f ca="1">IF(AND(ISNUMBER($AW$238),$B$208=1),$AW$238,HLOOKUP(INDIRECT(ADDRESS(2,COLUMN())),OFFSET($BN$2,0,0,ROW()-1,60),ROW()-1,FALSE))</f>
        <v/>
      </c>
      <c r="AX32" t="str">
        <f ca="1">IF(AND(ISNUMBER($AX$238),$B$208=1),$AX$238,HLOOKUP(INDIRECT(ADDRESS(2,COLUMN())),OFFSET($BN$2,0,0,ROW()-1,60),ROW()-1,FALSE))</f>
        <v/>
      </c>
      <c r="AY32" t="str">
        <f ca="1">IF(AND(ISNUMBER($AY$238),$B$208=1),$AY$238,HLOOKUP(INDIRECT(ADDRESS(2,COLUMN())),OFFSET($BN$2,0,0,ROW()-1,60),ROW()-1,FALSE))</f>
        <v/>
      </c>
      <c r="AZ32" t="str">
        <f ca="1">IF(AND(ISNUMBER($AZ$238),$B$208=1),$AZ$238,HLOOKUP(INDIRECT(ADDRESS(2,COLUMN())),OFFSET($BN$2,0,0,ROW()-1,60),ROW()-1,FALSE))</f>
        <v/>
      </c>
      <c r="BA32" t="str">
        <f ca="1">IF(AND(ISNUMBER($BA$238),$B$208=1),$BA$238,HLOOKUP(INDIRECT(ADDRESS(2,COLUMN())),OFFSET($BN$2,0,0,ROW()-1,60),ROW()-1,FALSE))</f>
        <v/>
      </c>
      <c r="BB32" t="str">
        <f ca="1">IF(AND(ISNUMBER($BB$238),$B$208=1),$BB$238,HLOOKUP(INDIRECT(ADDRESS(2,COLUMN())),OFFSET($BN$2,0,0,ROW()-1,60),ROW()-1,FALSE))</f>
        <v/>
      </c>
      <c r="BC32" t="str">
        <f ca="1">IF(AND(ISNUMBER($BC$238),$B$208=1),$BC$238,HLOOKUP(INDIRECT(ADDRESS(2,COLUMN())),OFFSET($BN$2,0,0,ROW()-1,60),ROW()-1,FALSE))</f>
        <v/>
      </c>
      <c r="BD32" t="str">
        <f ca="1">IF(AND(ISNUMBER($BD$238),$B$208=1),$BD$238,HLOOKUP(INDIRECT(ADDRESS(2,COLUMN())),OFFSET($BN$2,0,0,ROW()-1,60),ROW()-1,FALSE))</f>
        <v/>
      </c>
      <c r="BE32" t="str">
        <f ca="1">IF(AND(ISNUMBER($BE$238),$B$208=1),$BE$238,HLOOKUP(INDIRECT(ADDRESS(2,COLUMN())),OFFSET($BN$2,0,0,ROW()-1,60),ROW()-1,FALSE))</f>
        <v/>
      </c>
      <c r="BF32" t="str">
        <f ca="1">IF(AND(ISNUMBER($BF$238),$B$208=1),$BF$238,HLOOKUP(INDIRECT(ADDRESS(2,COLUMN())),OFFSET($BN$2,0,0,ROW()-1,60),ROW()-1,FALSE))</f>
        <v/>
      </c>
      <c r="BG32" t="str">
        <f ca="1">IF(AND(ISNUMBER($BG$238),$B$208=1),$BG$238,HLOOKUP(INDIRECT(ADDRESS(2,COLUMN())),OFFSET($BN$2,0,0,ROW()-1,60),ROW()-1,FALSE))</f>
        <v/>
      </c>
      <c r="BH32">
        <f ca="1">IF(AND(ISNUMBER($BH$238),$B$208=1),$BH$238,HLOOKUP(INDIRECT(ADDRESS(2,COLUMN())),OFFSET($BN$2,0,0,ROW()-1,60),ROW()-1,FALSE))</f>
        <v>43530</v>
      </c>
      <c r="BI32">
        <f ca="1">IF(AND(ISNUMBER($BI$238),$B$208=1),$BI$238,HLOOKUP(INDIRECT(ADDRESS(2,COLUMN())),OFFSET($BN$2,0,0,ROW()-1,60),ROW()-1,FALSE))</f>
        <v>59569</v>
      </c>
      <c r="BJ32" t="str">
        <f ca="1">IF(AND(ISNUMBER($BJ$238),$B$208=1),$BJ$238,HLOOKUP(INDIRECT(ADDRESS(2,COLUMN())),OFFSET($BN$2,0,0,ROW()-1,60),ROW()-1,FALSE))</f>
        <v/>
      </c>
      <c r="BK32">
        <f ca="1">IF(AND(ISNUMBER($BK$238),$B$208=1),$BK$238,HLOOKUP(INDIRECT(ADDRESS(2,COLUMN())),OFFSET($BN$2,0,0,ROW()-1,60),ROW()-1,FALSE))</f>
        <v>81958</v>
      </c>
      <c r="BL32">
        <f ca="1">IF(AND(ISNUMBER($BL$238),$B$208=1),$BL$238,HLOOKUP(INDIRECT(ADDRESS(2,COLUMN())),OFFSET($BN$2,0,0,ROW()-1,60),ROW()-1,FALSE))</f>
        <v>71395</v>
      </c>
      <c r="BM32">
        <f ca="1">IF(AND(ISNUMBER($BM$238),$B$208=1),$BM$238,HLOOKUP(INDIRECT(ADDRESS(2,COLUMN())),OFFSET($BN$2,0,0,ROW()-1,60),ROW()-1,FALSE))</f>
        <v>75381</v>
      </c>
      <c r="BN32" t="str">
        <f>""</f>
        <v/>
      </c>
      <c r="BO32" t="str">
        <f>""</f>
        <v/>
      </c>
      <c r="BP32" t="str">
        <f>""</f>
        <v/>
      </c>
      <c r="BQ32" t="str">
        <f>""</f>
        <v/>
      </c>
      <c r="BR32" t="str">
        <f>""</f>
        <v/>
      </c>
      <c r="BS32" t="str">
        <f>""</f>
        <v/>
      </c>
      <c r="BT32" t="str">
        <f>""</f>
        <v/>
      </c>
      <c r="BU32" t="str">
        <f>""</f>
        <v/>
      </c>
      <c r="BV32" t="str">
        <f>""</f>
        <v/>
      </c>
      <c r="BW32" t="str">
        <f>""</f>
        <v/>
      </c>
      <c r="BX32" t="str">
        <f>""</f>
        <v/>
      </c>
      <c r="BY32" t="str">
        <f>""</f>
        <v/>
      </c>
      <c r="BZ32" t="str">
        <f>""</f>
        <v/>
      </c>
      <c r="CA32" t="str">
        <f>""</f>
        <v/>
      </c>
      <c r="CB32" t="str">
        <f>""</f>
        <v/>
      </c>
      <c r="CC32" t="str">
        <f>""</f>
        <v/>
      </c>
      <c r="CD32" t="str">
        <f>""</f>
        <v/>
      </c>
      <c r="CE32" t="str">
        <f>""</f>
        <v/>
      </c>
      <c r="CF32" t="str">
        <f>""</f>
        <v/>
      </c>
      <c r="CG32" t="str">
        <f>""</f>
        <v/>
      </c>
      <c r="CH32" t="str">
        <f>""</f>
        <v/>
      </c>
      <c r="CI32" t="str">
        <f>""</f>
        <v/>
      </c>
      <c r="CJ32" t="str">
        <f>""</f>
        <v/>
      </c>
      <c r="CK32" t="str">
        <f>""</f>
        <v/>
      </c>
      <c r="CL32" t="str">
        <f>""</f>
        <v/>
      </c>
      <c r="CM32" t="str">
        <f>""</f>
        <v/>
      </c>
      <c r="CN32" t="str">
        <f>""</f>
        <v/>
      </c>
      <c r="CO32" t="str">
        <f>""</f>
        <v/>
      </c>
      <c r="CP32" t="str">
        <f>""</f>
        <v/>
      </c>
      <c r="CQ32" t="str">
        <f>""</f>
        <v/>
      </c>
      <c r="CR32" t="str">
        <f>""</f>
        <v/>
      </c>
      <c r="CS32" t="str">
        <f>""</f>
        <v/>
      </c>
      <c r="CT32" t="str">
        <f>""</f>
        <v/>
      </c>
      <c r="CU32" t="str">
        <f>""</f>
        <v/>
      </c>
      <c r="CV32" t="str">
        <f>""</f>
        <v/>
      </c>
      <c r="CW32" t="str">
        <f>""</f>
        <v/>
      </c>
      <c r="CX32" t="str">
        <f>""</f>
        <v/>
      </c>
      <c r="CY32" t="str">
        <f>""</f>
        <v/>
      </c>
      <c r="CZ32" t="str">
        <f>""</f>
        <v/>
      </c>
      <c r="DA32" t="str">
        <f>""</f>
        <v/>
      </c>
      <c r="DB32" t="str">
        <f>""</f>
        <v/>
      </c>
      <c r="DC32" t="str">
        <f>""</f>
        <v/>
      </c>
      <c r="DD32" t="str">
        <f>""</f>
        <v/>
      </c>
      <c r="DE32" t="str">
        <f>""</f>
        <v/>
      </c>
      <c r="DF32" t="str">
        <f>""</f>
        <v/>
      </c>
      <c r="DG32" t="str">
        <f>""</f>
        <v/>
      </c>
      <c r="DH32" t="str">
        <f>""</f>
        <v/>
      </c>
      <c r="DI32" t="str">
        <f>""</f>
        <v/>
      </c>
      <c r="DJ32" t="str">
        <f>""</f>
        <v/>
      </c>
      <c r="DK32" t="str">
        <f>""</f>
        <v/>
      </c>
      <c r="DL32" t="str">
        <f>""</f>
        <v/>
      </c>
      <c r="DM32" t="str">
        <f>""</f>
        <v/>
      </c>
      <c r="DN32" t="str">
        <f>""</f>
        <v/>
      </c>
      <c r="DO32" t="str">
        <f>""</f>
        <v/>
      </c>
      <c r="DP32">
        <f>43530</f>
        <v>43530</v>
      </c>
      <c r="DQ32">
        <f>59569</f>
        <v>59569</v>
      </c>
      <c r="DR32" t="str">
        <f>""</f>
        <v/>
      </c>
      <c r="DS32">
        <f>81958</f>
        <v>81958</v>
      </c>
      <c r="DT32">
        <f>71395</f>
        <v>71395</v>
      </c>
      <c r="DU32">
        <f>75381</f>
        <v>75381</v>
      </c>
    </row>
    <row r="33" spans="1:125" x14ac:dyDescent="0.25">
      <c r="A33" t="str">
        <f>"    Raiffeisen Bank International AG"</f>
        <v xml:space="preserve">    Raiffeisen Bank International AG</v>
      </c>
      <c r="B33" t="str">
        <f>"RBI AV Equity"</f>
        <v>RBI AV Equity</v>
      </c>
      <c r="C33" t="str">
        <f t="shared" si="0"/>
        <v>BM105</v>
      </c>
      <c r="D33" t="str">
        <f t="shared" si="1"/>
        <v>BS_TRADING_ASSETS</v>
      </c>
      <c r="E33" t="str">
        <f t="shared" si="2"/>
        <v>Dynamic</v>
      </c>
      <c r="F33">
        <f ca="1">IF(AND(ISNUMBER($F$239),$B$208=1),$F$239,HLOOKUP(INDIRECT(ADDRESS(2,COLUMN())),OFFSET($BN$2,0,0,ROW()-1,60),ROW()-1,FALSE))</f>
        <v>5945</v>
      </c>
      <c r="G33">
        <f ca="1">IF(AND(ISNUMBER($G$239),$B$208=1),$G$239,HLOOKUP(INDIRECT(ADDRESS(2,COLUMN())),OFFSET($BN$2,0,0,ROW()-1,60),ROW()-1,FALSE))</f>
        <v>6101</v>
      </c>
      <c r="H33">
        <f ca="1">IF(AND(ISNUMBER($H$239),$B$208=1),$H$239,HLOOKUP(INDIRECT(ADDRESS(2,COLUMN())),OFFSET($BN$2,0,0,ROW()-1,60),ROW()-1,FALSE))</f>
        <v>6570</v>
      </c>
      <c r="I33">
        <f ca="1">IF(AND(ISNUMBER($I$239),$B$208=1),$I$239,HLOOKUP(INDIRECT(ADDRESS(2,COLUMN())),OFFSET($BN$2,0,0,ROW()-1,60),ROW()-1,FALSE))</f>
        <v>6583</v>
      </c>
      <c r="J33">
        <f ca="1">IF(AND(ISNUMBER($J$239),$B$208=1),$J$239,HLOOKUP(INDIRECT(ADDRESS(2,COLUMN())),OFFSET($BN$2,0,0,ROW()-1,60),ROW()-1,FALSE))</f>
        <v>5783</v>
      </c>
      <c r="K33">
        <f ca="1">IF(AND(ISNUMBER($K$239),$B$208=1),$K$239,HLOOKUP(INDIRECT(ADDRESS(2,COLUMN())),OFFSET($BN$2,0,0,ROW()-1,60),ROW()-1,FALSE))</f>
        <v>7023</v>
      </c>
      <c r="L33">
        <f ca="1">IF(AND(ISNUMBER($L$239),$B$208=1),$L$239,HLOOKUP(INDIRECT(ADDRESS(2,COLUMN())),OFFSET($BN$2,0,0,ROW()-1,60),ROW()-1,FALSE))</f>
        <v>6664</v>
      </c>
      <c r="M33">
        <f ca="1">IF(AND(ISNUMBER($M$239),$B$208=1),$M$239,HLOOKUP(INDIRECT(ADDRESS(2,COLUMN())),OFFSET($BN$2,0,0,ROW()-1,60),ROW()-1,FALSE))</f>
        <v>6655</v>
      </c>
      <c r="N33">
        <f ca="1">IF(AND(ISNUMBER($N$239),$B$208=1),$N$239,HLOOKUP(INDIRECT(ADDRESS(2,COLUMN())),OFFSET($BN$2,0,0,ROW()-1,60),ROW()-1,FALSE))</f>
        <v>6411</v>
      </c>
      <c r="O33">
        <f ca="1">IF(AND(ISNUMBER($O$239),$B$208=1),$O$239,HLOOKUP(INDIRECT(ADDRESS(2,COLUMN())),OFFSET($BN$2,0,0,ROW()-1,60),ROW()-1,FALSE))</f>
        <v>9586</v>
      </c>
      <c r="P33">
        <f ca="1">IF(AND(ISNUMBER($P$239),$B$208=1),$P$239,HLOOKUP(INDIRECT(ADDRESS(2,COLUMN())),OFFSET($BN$2,0,0,ROW()-1,60),ROW()-1,FALSE))</f>
        <v>7514</v>
      </c>
      <c r="Q33">
        <f ca="1">IF(AND(ISNUMBER($Q$239),$B$208=1),$Q$239,HLOOKUP(INDIRECT(ADDRESS(2,COLUMN())),OFFSET($BN$2,0,0,ROW()-1,60),ROW()-1,FALSE))</f>
        <v>5212</v>
      </c>
      <c r="R33">
        <f ca="1">IF(AND(ISNUMBER($R$239),$B$208=1),$R$239,HLOOKUP(INDIRECT(ADDRESS(2,COLUMN())),OFFSET($BN$2,0,0,ROW()-1,60),ROW()-1,FALSE))</f>
        <v>4112</v>
      </c>
      <c r="S33">
        <f ca="1">IF(AND(ISNUMBER($S$239),$B$208=1),$S$239,HLOOKUP(INDIRECT(ADDRESS(2,COLUMN())),OFFSET($BN$2,0,0,ROW()-1,60),ROW()-1,FALSE))</f>
        <v>3915</v>
      </c>
      <c r="T33">
        <f ca="1">IF(AND(ISNUMBER($T$239),$B$208=1),$T$239,HLOOKUP(INDIRECT(ADDRESS(2,COLUMN())),OFFSET($BN$2,0,0,ROW()-1,60),ROW()-1,FALSE))</f>
        <v>3872</v>
      </c>
      <c r="U33">
        <f ca="1">IF(AND(ISNUMBER($U$239),$B$208=1),$U$239,HLOOKUP(INDIRECT(ADDRESS(2,COLUMN())),OFFSET($BN$2,0,0,ROW()-1,60),ROW()-1,FALSE))</f>
        <v>4339</v>
      </c>
      <c r="V33">
        <f ca="1">IF(AND(ISNUMBER($V$239),$B$208=1),$V$239,HLOOKUP(INDIRECT(ADDRESS(2,COLUMN())),OFFSET($BN$2,0,0,ROW()-1,60),ROW()-1,FALSE))</f>
        <v>4399.75</v>
      </c>
      <c r="W33">
        <f ca="1">IF(AND(ISNUMBER($W$239),$B$208=1),$W$239,HLOOKUP(INDIRECT(ADDRESS(2,COLUMN())),OFFSET($BN$2,0,0,ROW()-1,60),ROW()-1,FALSE))</f>
        <v>4222</v>
      </c>
      <c r="X33">
        <f ca="1">IF(AND(ISNUMBER($X$239),$B$208=1),$X$239,HLOOKUP(INDIRECT(ADDRESS(2,COLUMN())),OFFSET($BN$2,0,0,ROW()-1,60),ROW()-1,FALSE))</f>
        <v>4675</v>
      </c>
      <c r="Y33">
        <f ca="1">IF(AND(ISNUMBER($Y$239),$B$208=1),$Y$239,HLOOKUP(INDIRECT(ADDRESS(2,COLUMN())),OFFSET($BN$2,0,0,ROW()-1,60),ROW()-1,FALSE))</f>
        <v>4832</v>
      </c>
      <c r="Z33">
        <f ca="1">IF(AND(ISNUMBER($Z$239),$B$208=1),$Z$239,HLOOKUP(INDIRECT(ADDRESS(2,COLUMN())),OFFSET($BN$2,0,0,ROW()-1,60),ROW()-1,FALSE))</f>
        <v>4182.3720000000003</v>
      </c>
      <c r="AA33">
        <f ca="1">IF(AND(ISNUMBER($AA$239),$B$208=1),$AA$239,HLOOKUP(INDIRECT(ADDRESS(2,COLUMN())),OFFSET($BN$2,0,0,ROW()-1,60),ROW()-1,FALSE))</f>
        <v>4265</v>
      </c>
      <c r="AB33">
        <f ca="1">IF(AND(ISNUMBER($AB$239),$B$208=1),$AB$239,HLOOKUP(INDIRECT(ADDRESS(2,COLUMN())),OFFSET($BN$2,0,0,ROW()-1,60),ROW()-1,FALSE))</f>
        <v>3928</v>
      </c>
      <c r="AC33">
        <f ca="1">IF(AND(ISNUMBER($AC$239),$B$208=1),$AC$239,HLOOKUP(INDIRECT(ADDRESS(2,COLUMN())),OFFSET($BN$2,0,0,ROW()-1,60),ROW()-1,FALSE))</f>
        <v>3805</v>
      </c>
      <c r="AD33">
        <f ca="1">IF(AND(ISNUMBER($AD$239),$B$208=1),$AD$239,HLOOKUP(INDIRECT(ADDRESS(2,COLUMN())),OFFSET($BN$2,0,0,ROW()-1,60),ROW()-1,FALSE))</f>
        <v>3893.6089999999999</v>
      </c>
      <c r="AE33">
        <f ca="1">IF(AND(ISNUMBER($AE$239),$B$208=1),$AE$239,HLOOKUP(INDIRECT(ADDRESS(2,COLUMN())),OFFSET($BN$2,0,0,ROW()-1,60),ROW()-1,FALSE))</f>
        <v>4179</v>
      </c>
      <c r="AF33">
        <f ca="1">IF(AND(ISNUMBER($AF$239),$B$208=1),$AF$239,HLOOKUP(INDIRECT(ADDRESS(2,COLUMN())),OFFSET($BN$2,0,0,ROW()-1,60),ROW()-1,FALSE))</f>
        <v>4534</v>
      </c>
      <c r="AG33">
        <f ca="1">IF(AND(ISNUMBER($AG$239),$B$208=1),$AG$239,HLOOKUP(INDIRECT(ADDRESS(2,COLUMN())),OFFSET($BN$2,0,0,ROW()-1,60),ROW()-1,FALSE))</f>
        <v>4925</v>
      </c>
      <c r="AH33">
        <f ca="1">IF(AND(ISNUMBER($AH$239),$B$208=1),$AH$239,HLOOKUP(INDIRECT(ADDRESS(2,COLUMN())),OFFSET($BN$2,0,0,ROW()-1,60),ROW()-1,FALSE))</f>
        <v>4622.0360000000001</v>
      </c>
      <c r="AI33">
        <f ca="1">IF(AND(ISNUMBER($AI$239),$B$208=1),$AI$239,HLOOKUP(INDIRECT(ADDRESS(2,COLUMN())),OFFSET($BN$2,0,0,ROW()-1,60),ROW()-1,FALSE))</f>
        <v>4740</v>
      </c>
      <c r="AJ33">
        <f ca="1">IF(AND(ISNUMBER($AJ$239),$B$208=1),$AJ$239,HLOOKUP(INDIRECT(ADDRESS(2,COLUMN())),OFFSET($BN$2,0,0,ROW()-1,60),ROW()-1,FALSE))</f>
        <v>4736</v>
      </c>
      <c r="AK33">
        <f ca="1">IF(AND(ISNUMBER($AK$239),$B$208=1),$AK$239,HLOOKUP(INDIRECT(ADDRESS(2,COLUMN())),OFFSET($BN$2,0,0,ROW()-1,60),ROW()-1,FALSE))</f>
        <v>5085</v>
      </c>
      <c r="AL33">
        <f ca="1">IF(AND(ISNUMBER($AL$239),$B$208=1),$AL$239,HLOOKUP(INDIRECT(ADDRESS(2,COLUMN())),OFFSET($BN$2,0,0,ROW()-1,60),ROW()-1,FALSE))</f>
        <v>4986.4620000000004</v>
      </c>
      <c r="AM33">
        <f ca="1">IF(AND(ISNUMBER($AM$239),$B$208=1),$AM$239,HLOOKUP(INDIRECT(ADDRESS(2,COLUMN())),OFFSET($BN$2,0,0,ROW()-1,60),ROW()-1,FALSE))</f>
        <v>5239</v>
      </c>
      <c r="AN33">
        <f ca="1">IF(AND(ISNUMBER($AN$239),$B$208=1),$AN$239,HLOOKUP(INDIRECT(ADDRESS(2,COLUMN())),OFFSET($BN$2,0,0,ROW()-1,60),ROW()-1,FALSE))</f>
        <v>5414</v>
      </c>
      <c r="AO33">
        <f ca="1">IF(AND(ISNUMBER($AO$239),$B$208=1),$AO$239,HLOOKUP(INDIRECT(ADDRESS(2,COLUMN())),OFFSET($BN$2,0,0,ROW()-1,60),ROW()-1,FALSE))</f>
        <v>5744</v>
      </c>
      <c r="AP33">
        <f ca="1">IF(AND(ISNUMBER($AP$239),$B$208=1),$AP$239,HLOOKUP(INDIRECT(ADDRESS(2,COLUMN())),OFFSET($BN$2,0,0,ROW()-1,60),ROW()-1,FALSE))</f>
        <v>5814.1080000000002</v>
      </c>
      <c r="AQ33">
        <f ca="1">IF(AND(ISNUMBER($AQ$239),$B$208=1),$AQ$239,HLOOKUP(INDIRECT(ADDRESS(2,COLUMN())),OFFSET($BN$2,0,0,ROW()-1,60),ROW()-1,FALSE))</f>
        <v>6462</v>
      </c>
      <c r="AR33">
        <f ca="1">IF(AND(ISNUMBER($AR$239),$B$208=1),$AR$239,HLOOKUP(INDIRECT(ADDRESS(2,COLUMN())),OFFSET($BN$2,0,0,ROW()-1,60),ROW()-1,FALSE))</f>
        <v>6912</v>
      </c>
      <c r="AS33">
        <f ca="1">IF(AND(ISNUMBER($AS$239),$B$208=1),$AS$239,HLOOKUP(INDIRECT(ADDRESS(2,COLUMN())),OFFSET($BN$2,0,0,ROW()-1,60),ROW()-1,FALSE))</f>
        <v>8533</v>
      </c>
      <c r="AT33">
        <f ca="1">IF(AND(ISNUMBER($AT$239),$B$208=1),$AT$239,HLOOKUP(INDIRECT(ADDRESS(2,COLUMN())),OFFSET($BN$2,0,0,ROW()-1,60),ROW()-1,FALSE))</f>
        <v>7916.6239999999998</v>
      </c>
      <c r="AU33">
        <f ca="1">IF(AND(ISNUMBER($AU$239),$B$208=1),$AU$239,HLOOKUP(INDIRECT(ADDRESS(2,COLUMN())),OFFSET($BN$2,0,0,ROW()-1,60),ROW()-1,FALSE))</f>
        <v>8271</v>
      </c>
      <c r="AV33">
        <f ca="1">IF(AND(ISNUMBER($AV$239),$B$208=1),$AV$239,HLOOKUP(INDIRECT(ADDRESS(2,COLUMN())),OFFSET($BN$2,0,0,ROW()-1,60),ROW()-1,FALSE))</f>
        <v>7834</v>
      </c>
      <c r="AW33">
        <f ca="1">IF(AND(ISNUMBER($AW$239),$B$208=1),$AW$239,HLOOKUP(INDIRECT(ADDRESS(2,COLUMN())),OFFSET($BN$2,0,0,ROW()-1,60),ROW()-1,FALSE))</f>
        <v>7855</v>
      </c>
      <c r="AX33">
        <f ca="1">IF(AND(ISNUMBER($AX$239),$B$208=1),$AX$239,HLOOKUP(INDIRECT(ADDRESS(2,COLUMN())),OFFSET($BN$2,0,0,ROW()-1,60),ROW()-1,FALSE))</f>
        <v>7581.0969999999998</v>
      </c>
      <c r="AY33">
        <f ca="1">IF(AND(ISNUMBER($AY$239),$B$208=1),$AY$239,HLOOKUP(INDIRECT(ADDRESS(2,COLUMN())),OFFSET($BN$2,0,0,ROW()-1,60),ROW()-1,FALSE))</f>
        <v>7853</v>
      </c>
      <c r="AZ33">
        <f ca="1">IF(AND(ISNUMBER($AZ$239),$B$208=1),$AZ$239,HLOOKUP(INDIRECT(ADDRESS(2,COLUMN())),OFFSET($BN$2,0,0,ROW()-1,60),ROW()-1,FALSE))</f>
        <v>7669</v>
      </c>
      <c r="BA33">
        <f ca="1">IF(AND(ISNUMBER($BA$239),$B$208=1),$BA$239,HLOOKUP(INDIRECT(ADDRESS(2,COLUMN())),OFFSET($BN$2,0,0,ROW()-1,60),ROW()-1,FALSE))</f>
        <v>8564</v>
      </c>
      <c r="BB33">
        <f ca="1">IF(AND(ISNUMBER($BB$239),$B$208=1),$BB$239,HLOOKUP(INDIRECT(ADDRESS(2,COLUMN())),OFFSET($BN$2,0,0,ROW()-1,60),ROW()-1,FALSE))</f>
        <v>9813.2900000000009</v>
      </c>
      <c r="BC33">
        <f ca="1">IF(AND(ISNUMBER($BC$239),$B$208=1),$BC$239,HLOOKUP(INDIRECT(ADDRESS(2,COLUMN())),OFFSET($BN$2,0,0,ROW()-1,60),ROW()-1,FALSE))</f>
        <v>9880</v>
      </c>
      <c r="BD33">
        <f ca="1">IF(AND(ISNUMBER($BD$239),$B$208=1),$BD$239,HLOOKUP(INDIRECT(ADDRESS(2,COLUMN())),OFFSET($BN$2,0,0,ROW()-1,60),ROW()-1,FALSE))</f>
        <v>11244</v>
      </c>
      <c r="BE33">
        <f ca="1">IF(AND(ISNUMBER($BE$239),$B$208=1),$BE$239,HLOOKUP(INDIRECT(ADDRESS(2,COLUMN())),OFFSET($BN$2,0,0,ROW()-1,60),ROW()-1,FALSE))</f>
        <v>11075</v>
      </c>
      <c r="BF33">
        <f ca="1">IF(AND(ISNUMBER($BF$239),$B$208=1),$BF$239,HLOOKUP(INDIRECT(ADDRESS(2,COLUMN())),OFFSET($BN$2,0,0,ROW()-1,60),ROW()-1,FALSE))</f>
        <v>10616.671</v>
      </c>
      <c r="BG33">
        <f ca="1">IF(AND(ISNUMBER($BG$239),$B$208=1),$BG$239,HLOOKUP(INDIRECT(ADDRESS(2,COLUMN())),OFFSET($BN$2,0,0,ROW()-1,60),ROW()-1,FALSE))</f>
        <v>11109</v>
      </c>
      <c r="BH33">
        <f ca="1">IF(AND(ISNUMBER($BH$239),$B$208=1),$BH$239,HLOOKUP(INDIRECT(ADDRESS(2,COLUMN())),OFFSET($BN$2,0,0,ROW()-1,60),ROW()-1,FALSE))</f>
        <v>8324</v>
      </c>
      <c r="BI33">
        <f ca="1">IF(AND(ISNUMBER($BI$239),$B$208=1),$BI$239,HLOOKUP(INDIRECT(ADDRESS(2,COLUMN())),OFFSET($BN$2,0,0,ROW()-1,60),ROW()-1,FALSE))</f>
        <v>7750</v>
      </c>
      <c r="BJ33">
        <f ca="1">IF(AND(ISNUMBER($BJ$239),$B$208=1),$BJ$239,HLOOKUP(INDIRECT(ADDRESS(2,COLUMN())),OFFSET($BN$2,0,0,ROW()-1,60),ROW()-1,FALSE))</f>
        <v>8068.393</v>
      </c>
      <c r="BK33">
        <f ca="1">IF(AND(ISNUMBER($BK$239),$B$208=1),$BK$239,HLOOKUP(INDIRECT(ADDRESS(2,COLUMN())),OFFSET($BN$2,0,0,ROW()-1,60),ROW()-1,FALSE))</f>
        <v>3596</v>
      </c>
      <c r="BL33">
        <f ca="1">IF(AND(ISNUMBER($BL$239),$B$208=1),$BL$239,HLOOKUP(INDIRECT(ADDRESS(2,COLUMN())),OFFSET($BN$2,0,0,ROW()-1,60),ROW()-1,FALSE))</f>
        <v>3764</v>
      </c>
      <c r="BM33" t="str">
        <f ca="1">IF(AND(ISNUMBER($BM$239),$B$208=1),$BM$239,HLOOKUP(INDIRECT(ADDRESS(2,COLUMN())),OFFSET($BN$2,0,0,ROW()-1,60),ROW()-1,FALSE))</f>
        <v/>
      </c>
      <c r="BN33">
        <f>5945</f>
        <v>5945</v>
      </c>
      <c r="BO33">
        <f>6101</f>
        <v>6101</v>
      </c>
      <c r="BP33">
        <f>6570</f>
        <v>6570</v>
      </c>
      <c r="BQ33">
        <f>6583</f>
        <v>6583</v>
      </c>
      <c r="BR33">
        <f>5783</f>
        <v>5783</v>
      </c>
      <c r="BS33">
        <f>7023</f>
        <v>7023</v>
      </c>
      <c r="BT33">
        <f>6664</f>
        <v>6664</v>
      </c>
      <c r="BU33">
        <f>6655</f>
        <v>6655</v>
      </c>
      <c r="BV33">
        <f>6411</f>
        <v>6411</v>
      </c>
      <c r="BW33">
        <f>9586</f>
        <v>9586</v>
      </c>
      <c r="BX33">
        <f>7514</f>
        <v>7514</v>
      </c>
      <c r="BY33">
        <f>5212</f>
        <v>5212</v>
      </c>
      <c r="BZ33">
        <f>4112</f>
        <v>4112</v>
      </c>
      <c r="CA33">
        <f>3915</f>
        <v>3915</v>
      </c>
      <c r="CB33">
        <f>3872</f>
        <v>3872</v>
      </c>
      <c r="CC33">
        <f>4339</f>
        <v>4339</v>
      </c>
      <c r="CD33">
        <f>4399.75</f>
        <v>4399.75</v>
      </c>
      <c r="CE33">
        <f>4222</f>
        <v>4222</v>
      </c>
      <c r="CF33">
        <f>4675</f>
        <v>4675</v>
      </c>
      <c r="CG33">
        <f>4832</f>
        <v>4832</v>
      </c>
      <c r="CH33">
        <f>4182.372</f>
        <v>4182.3720000000003</v>
      </c>
      <c r="CI33">
        <f>4265</f>
        <v>4265</v>
      </c>
      <c r="CJ33">
        <f>3928</f>
        <v>3928</v>
      </c>
      <c r="CK33">
        <f>3805</f>
        <v>3805</v>
      </c>
      <c r="CL33">
        <f>3893.609</f>
        <v>3893.6089999999999</v>
      </c>
      <c r="CM33">
        <f>4179</f>
        <v>4179</v>
      </c>
      <c r="CN33">
        <f>4534</f>
        <v>4534</v>
      </c>
      <c r="CO33">
        <f>4925</f>
        <v>4925</v>
      </c>
      <c r="CP33">
        <f>4622.036</f>
        <v>4622.0360000000001</v>
      </c>
      <c r="CQ33">
        <f>4740</f>
        <v>4740</v>
      </c>
      <c r="CR33">
        <f>4736</f>
        <v>4736</v>
      </c>
      <c r="CS33">
        <f>5085</f>
        <v>5085</v>
      </c>
      <c r="CT33">
        <f>4986.462</f>
        <v>4986.4620000000004</v>
      </c>
      <c r="CU33">
        <f>5239</f>
        <v>5239</v>
      </c>
      <c r="CV33">
        <f>5414</f>
        <v>5414</v>
      </c>
      <c r="CW33">
        <f>5744</f>
        <v>5744</v>
      </c>
      <c r="CX33">
        <f>5814.108</f>
        <v>5814.1080000000002</v>
      </c>
      <c r="CY33">
        <f>6462</f>
        <v>6462</v>
      </c>
      <c r="CZ33">
        <f>6912</f>
        <v>6912</v>
      </c>
      <c r="DA33">
        <f>8533</f>
        <v>8533</v>
      </c>
      <c r="DB33">
        <f>7916.624</f>
        <v>7916.6239999999998</v>
      </c>
      <c r="DC33">
        <f>8271</f>
        <v>8271</v>
      </c>
      <c r="DD33">
        <f>7834</f>
        <v>7834</v>
      </c>
      <c r="DE33">
        <f>7855</f>
        <v>7855</v>
      </c>
      <c r="DF33">
        <f>7581.097</f>
        <v>7581.0969999999998</v>
      </c>
      <c r="DG33">
        <f>7853</f>
        <v>7853</v>
      </c>
      <c r="DH33">
        <f>7669</f>
        <v>7669</v>
      </c>
      <c r="DI33">
        <f>8564</f>
        <v>8564</v>
      </c>
      <c r="DJ33">
        <f>9813.29</f>
        <v>9813.2900000000009</v>
      </c>
      <c r="DK33">
        <f>9880</f>
        <v>9880</v>
      </c>
      <c r="DL33">
        <f>11244</f>
        <v>11244</v>
      </c>
      <c r="DM33">
        <f>11075</f>
        <v>11075</v>
      </c>
      <c r="DN33">
        <f>10616.671</f>
        <v>10616.671</v>
      </c>
      <c r="DO33">
        <f>11109</f>
        <v>11109</v>
      </c>
      <c r="DP33">
        <f>8324</f>
        <v>8324</v>
      </c>
      <c r="DQ33">
        <f>7750</f>
        <v>7750</v>
      </c>
      <c r="DR33">
        <f>8068.393</f>
        <v>8068.393</v>
      </c>
      <c r="DS33">
        <f>3596</f>
        <v>3596</v>
      </c>
      <c r="DT33">
        <f>3764</f>
        <v>3764</v>
      </c>
      <c r="DU33" t="str">
        <f>""</f>
        <v/>
      </c>
    </row>
    <row r="34" spans="1:125" x14ac:dyDescent="0.25">
      <c r="A34" t="str">
        <f>"    Skandinaviska Enskilda Banken AB"</f>
        <v xml:space="preserve">    Skandinaviska Enskilda Banken AB</v>
      </c>
      <c r="B34" t="str">
        <f>"SEBA SS Equity"</f>
        <v>SEBA SS Equity</v>
      </c>
      <c r="C34" t="str">
        <f t="shared" si="0"/>
        <v>BM105</v>
      </c>
      <c r="D34" t="str">
        <f t="shared" si="1"/>
        <v>BS_TRADING_ASSETS</v>
      </c>
      <c r="E34" t="str">
        <f t="shared" si="2"/>
        <v>Dynamic</v>
      </c>
      <c r="F34" t="str">
        <f ca="1">IF(AND(ISNUMBER($F$240),$B$208=1),$F$240,HLOOKUP(INDIRECT(ADDRESS(2,COLUMN())),OFFSET($BN$2,0,0,ROW()-1,60),ROW()-1,FALSE))</f>
        <v/>
      </c>
      <c r="G34">
        <f ca="1">IF(AND(ISNUMBER($G$240),$B$208=1),$G$240,HLOOKUP(INDIRECT(ADDRESS(2,COLUMN())),OFFSET($BN$2,0,0,ROW()-1,60),ROW()-1,FALSE))</f>
        <v>10806.279839999999</v>
      </c>
      <c r="H34">
        <f ca="1">IF(AND(ISNUMBER($H$240),$B$208=1),$H$240,HLOOKUP(INDIRECT(ADDRESS(2,COLUMN())),OFFSET($BN$2,0,0,ROW()-1,60),ROW()-1,FALSE))</f>
        <v>10501.07187</v>
      </c>
      <c r="I34">
        <f ca="1">IF(AND(ISNUMBER($I$240),$B$208=1),$I$240,HLOOKUP(INDIRECT(ADDRESS(2,COLUMN())),OFFSET($BN$2,0,0,ROW()-1,60),ROW()-1,FALSE))</f>
        <v>11523.84837</v>
      </c>
      <c r="J34">
        <f ca="1">IF(AND(ISNUMBER($J$240),$B$208=1),$J$240,HLOOKUP(INDIRECT(ADDRESS(2,COLUMN())),OFFSET($BN$2,0,0,ROW()-1,60),ROW()-1,FALSE))</f>
        <v>8347.5205260000002</v>
      </c>
      <c r="K34">
        <f ca="1">IF(AND(ISNUMBER($K$240),$B$208=1),$K$240,HLOOKUP(INDIRECT(ADDRESS(2,COLUMN())),OFFSET($BN$2,0,0,ROW()-1,60),ROW()-1,FALSE))</f>
        <v>8313.2175470000002</v>
      </c>
      <c r="L34">
        <f ca="1">IF(AND(ISNUMBER($L$240),$B$208=1),$L$240,HLOOKUP(INDIRECT(ADDRESS(2,COLUMN())),OFFSET($BN$2,0,0,ROW()-1,60),ROW()-1,FALSE))</f>
        <v>5892.1452689999996</v>
      </c>
      <c r="M34">
        <f ca="1">IF(AND(ISNUMBER($M$240),$B$208=1),$M$240,HLOOKUP(INDIRECT(ADDRESS(2,COLUMN())),OFFSET($BN$2,0,0,ROW()-1,60),ROW()-1,FALSE))</f>
        <v>6583.111672</v>
      </c>
      <c r="N34">
        <f ca="1">IF(AND(ISNUMBER($N$240),$B$208=1),$N$240,HLOOKUP(INDIRECT(ADDRESS(2,COLUMN())),OFFSET($BN$2,0,0,ROW()-1,60),ROW()-1,FALSE))</f>
        <v>5969.665242</v>
      </c>
      <c r="O34" t="str">
        <f ca="1">IF(AND(ISNUMBER($O$240),$B$208=1),$O$240,HLOOKUP(INDIRECT(ADDRESS(2,COLUMN())),OFFSET($BN$2,0,0,ROW()-1,60),ROW()-1,FALSE))</f>
        <v/>
      </c>
      <c r="P34" t="str">
        <f ca="1">IF(AND(ISNUMBER($P$240),$B$208=1),$P$240,HLOOKUP(INDIRECT(ADDRESS(2,COLUMN())),OFFSET($BN$2,0,0,ROW()-1,60),ROW()-1,FALSE))</f>
        <v/>
      </c>
      <c r="Q34" t="str">
        <f ca="1">IF(AND(ISNUMBER($Q$240),$B$208=1),$Q$240,HLOOKUP(INDIRECT(ADDRESS(2,COLUMN())),OFFSET($BN$2,0,0,ROW()-1,60),ROW()-1,FALSE))</f>
        <v/>
      </c>
      <c r="R34">
        <f ca="1">IF(AND(ISNUMBER($R$240),$B$208=1),$R$240,HLOOKUP(INDIRECT(ADDRESS(2,COLUMN())),OFFSET($BN$2,0,0,ROW()-1,60),ROW()-1,FALSE))</f>
        <v>11734.3246</v>
      </c>
      <c r="S34" t="str">
        <f ca="1">IF(AND(ISNUMBER($S$240),$B$208=1),$S$240,HLOOKUP(INDIRECT(ADDRESS(2,COLUMN())),OFFSET($BN$2,0,0,ROW()-1,60),ROW()-1,FALSE))</f>
        <v/>
      </c>
      <c r="T34" t="str">
        <f ca="1">IF(AND(ISNUMBER($T$240),$B$208=1),$T$240,HLOOKUP(INDIRECT(ADDRESS(2,COLUMN())),OFFSET($BN$2,0,0,ROW()-1,60),ROW()-1,FALSE))</f>
        <v/>
      </c>
      <c r="U34" t="str">
        <f ca="1">IF(AND(ISNUMBER($U$240),$B$208=1),$U$240,HLOOKUP(INDIRECT(ADDRESS(2,COLUMN())),OFFSET($BN$2,0,0,ROW()-1,60),ROW()-1,FALSE))</f>
        <v/>
      </c>
      <c r="V34">
        <f ca="1">IF(AND(ISNUMBER($V$240),$B$208=1),$V$240,HLOOKUP(INDIRECT(ADDRESS(2,COLUMN())),OFFSET($BN$2,0,0,ROW()-1,60),ROW()-1,FALSE))</f>
        <v>8186.0309370000004</v>
      </c>
      <c r="W34" t="str">
        <f ca="1">IF(AND(ISNUMBER($W$240),$B$208=1),$W$240,HLOOKUP(INDIRECT(ADDRESS(2,COLUMN())),OFFSET($BN$2,0,0,ROW()-1,60),ROW()-1,FALSE))</f>
        <v/>
      </c>
      <c r="X34" t="str">
        <f ca="1">IF(AND(ISNUMBER($X$240),$B$208=1),$X$240,HLOOKUP(INDIRECT(ADDRESS(2,COLUMN())),OFFSET($BN$2,0,0,ROW()-1,60),ROW()-1,FALSE))</f>
        <v/>
      </c>
      <c r="Y34" t="str">
        <f ca="1">IF(AND(ISNUMBER($Y$240),$B$208=1),$Y$240,HLOOKUP(INDIRECT(ADDRESS(2,COLUMN())),OFFSET($BN$2,0,0,ROW()-1,60),ROW()-1,FALSE))</f>
        <v/>
      </c>
      <c r="Z34">
        <f ca="1">IF(AND(ISNUMBER($Z$240),$B$208=1),$Z$240,HLOOKUP(INDIRECT(ADDRESS(2,COLUMN())),OFFSET($BN$2,0,0,ROW()-1,60),ROW()-1,FALSE))</f>
        <v>7475.026288</v>
      </c>
      <c r="AA34" t="str">
        <f ca="1">IF(AND(ISNUMBER($AA$240),$B$208=1),$AA$240,HLOOKUP(INDIRECT(ADDRESS(2,COLUMN())),OFFSET($BN$2,0,0,ROW()-1,60),ROW()-1,FALSE))</f>
        <v/>
      </c>
      <c r="AB34" t="str">
        <f ca="1">IF(AND(ISNUMBER($AB$240),$B$208=1),$AB$240,HLOOKUP(INDIRECT(ADDRESS(2,COLUMN())),OFFSET($BN$2,0,0,ROW()-1,60),ROW()-1,FALSE))</f>
        <v/>
      </c>
      <c r="AC34" t="str">
        <f ca="1">IF(AND(ISNUMBER($AC$240),$B$208=1),$AC$240,HLOOKUP(INDIRECT(ADDRESS(2,COLUMN())),OFFSET($BN$2,0,0,ROW()-1,60),ROW()-1,FALSE))</f>
        <v/>
      </c>
      <c r="AD34" t="str">
        <f ca="1">IF(AND(ISNUMBER($AD$240),$B$208=1),$AD$240,HLOOKUP(INDIRECT(ADDRESS(2,COLUMN())),OFFSET($BN$2,0,0,ROW()-1,60),ROW()-1,FALSE))</f>
        <v/>
      </c>
      <c r="AE34" t="str">
        <f ca="1">IF(AND(ISNUMBER($AE$240),$B$208=1),$AE$240,HLOOKUP(INDIRECT(ADDRESS(2,COLUMN())),OFFSET($BN$2,0,0,ROW()-1,60),ROW()-1,FALSE))</f>
        <v/>
      </c>
      <c r="AF34" t="str">
        <f ca="1">IF(AND(ISNUMBER($AF$240),$B$208=1),$AF$240,HLOOKUP(INDIRECT(ADDRESS(2,COLUMN())),OFFSET($BN$2,0,0,ROW()-1,60),ROW()-1,FALSE))</f>
        <v/>
      </c>
      <c r="AG34" t="str">
        <f ca="1">IF(AND(ISNUMBER($AG$240),$B$208=1),$AG$240,HLOOKUP(INDIRECT(ADDRESS(2,COLUMN())),OFFSET($BN$2,0,0,ROW()-1,60),ROW()-1,FALSE))</f>
        <v/>
      </c>
      <c r="AH34" t="str">
        <f ca="1">IF(AND(ISNUMBER($AH$240),$B$208=1),$AH$240,HLOOKUP(INDIRECT(ADDRESS(2,COLUMN())),OFFSET($BN$2,0,0,ROW()-1,60),ROW()-1,FALSE))</f>
        <v/>
      </c>
      <c r="AI34" t="str">
        <f ca="1">IF(AND(ISNUMBER($AI$240),$B$208=1),$AI$240,HLOOKUP(INDIRECT(ADDRESS(2,COLUMN())),OFFSET($BN$2,0,0,ROW()-1,60),ROW()-1,FALSE))</f>
        <v/>
      </c>
      <c r="AJ34" t="str">
        <f ca="1">IF(AND(ISNUMBER($AJ$240),$B$208=1),$AJ$240,HLOOKUP(INDIRECT(ADDRESS(2,COLUMN())),OFFSET($BN$2,0,0,ROW()-1,60),ROW()-1,FALSE))</f>
        <v/>
      </c>
      <c r="AK34" t="str">
        <f ca="1">IF(AND(ISNUMBER($AK$240),$B$208=1),$AK$240,HLOOKUP(INDIRECT(ADDRESS(2,COLUMN())),OFFSET($BN$2,0,0,ROW()-1,60),ROW()-1,FALSE))</f>
        <v/>
      </c>
      <c r="AL34">
        <f ca="1">IF(AND(ISNUMBER($AL$240),$B$208=1),$AL$240,HLOOKUP(INDIRECT(ADDRESS(2,COLUMN())),OFFSET($BN$2,0,0,ROW()-1,60),ROW()-1,FALSE))</f>
        <v>16957.65393</v>
      </c>
      <c r="AM34" t="str">
        <f ca="1">IF(AND(ISNUMBER($AM$240),$B$208=1),$AM$240,HLOOKUP(INDIRECT(ADDRESS(2,COLUMN())),OFFSET($BN$2,0,0,ROW()-1,60),ROW()-1,FALSE))</f>
        <v/>
      </c>
      <c r="AN34" t="str">
        <f ca="1">IF(AND(ISNUMBER($AN$240),$B$208=1),$AN$240,HLOOKUP(INDIRECT(ADDRESS(2,COLUMN())),OFFSET($BN$2,0,0,ROW()-1,60),ROW()-1,FALSE))</f>
        <v/>
      </c>
      <c r="AO34" t="str">
        <f ca="1">IF(AND(ISNUMBER($AO$240),$B$208=1),$AO$240,HLOOKUP(INDIRECT(ADDRESS(2,COLUMN())),OFFSET($BN$2,0,0,ROW()-1,60),ROW()-1,FALSE))</f>
        <v/>
      </c>
      <c r="AP34">
        <f ca="1">IF(AND(ISNUMBER($AP$240),$B$208=1),$AP$240,HLOOKUP(INDIRECT(ADDRESS(2,COLUMN())),OFFSET($BN$2,0,0,ROW()-1,60),ROW()-1,FALSE))</f>
        <v>26111.826499999999</v>
      </c>
      <c r="AQ34" t="str">
        <f ca="1">IF(AND(ISNUMBER($AQ$240),$B$208=1),$AQ$240,HLOOKUP(INDIRECT(ADDRESS(2,COLUMN())),OFFSET($BN$2,0,0,ROW()-1,60),ROW()-1,FALSE))</f>
        <v/>
      </c>
      <c r="AR34" t="str">
        <f ca="1">IF(AND(ISNUMBER($AR$240),$B$208=1),$AR$240,HLOOKUP(INDIRECT(ADDRESS(2,COLUMN())),OFFSET($BN$2,0,0,ROW()-1,60),ROW()-1,FALSE))</f>
        <v/>
      </c>
      <c r="AS34" t="str">
        <f ca="1">IF(AND(ISNUMBER($AS$240),$B$208=1),$AS$240,HLOOKUP(INDIRECT(ADDRESS(2,COLUMN())),OFFSET($BN$2,0,0,ROW()-1,60),ROW()-1,FALSE))</f>
        <v/>
      </c>
      <c r="AT34">
        <f ca="1">IF(AND(ISNUMBER($AT$240),$B$208=1),$AT$240,HLOOKUP(INDIRECT(ADDRESS(2,COLUMN())),OFFSET($BN$2,0,0,ROW()-1,60),ROW()-1,FALSE))</f>
        <v>31606.272519999999</v>
      </c>
      <c r="AU34" t="str">
        <f ca="1">IF(AND(ISNUMBER($AU$240),$B$208=1),$AU$240,HLOOKUP(INDIRECT(ADDRESS(2,COLUMN())),OFFSET($BN$2,0,0,ROW()-1,60),ROW()-1,FALSE))</f>
        <v/>
      </c>
      <c r="AV34" t="str">
        <f ca="1">IF(AND(ISNUMBER($AV$240),$B$208=1),$AV$240,HLOOKUP(INDIRECT(ADDRESS(2,COLUMN())),OFFSET($BN$2,0,0,ROW()-1,60),ROW()-1,FALSE))</f>
        <v/>
      </c>
      <c r="AW34" t="str">
        <f ca="1">IF(AND(ISNUMBER($AW$240),$B$208=1),$AW$240,HLOOKUP(INDIRECT(ADDRESS(2,COLUMN())),OFFSET($BN$2,0,0,ROW()-1,60),ROW()-1,FALSE))</f>
        <v/>
      </c>
      <c r="AX34">
        <f ca="1">IF(AND(ISNUMBER($AX$240),$B$208=1),$AX$240,HLOOKUP(INDIRECT(ADDRESS(2,COLUMN())),OFFSET($BN$2,0,0,ROW()-1,60),ROW()-1,FALSE))</f>
        <v>35926.050049999998</v>
      </c>
      <c r="AY34" t="str">
        <f ca="1">IF(AND(ISNUMBER($AY$240),$B$208=1),$AY$240,HLOOKUP(INDIRECT(ADDRESS(2,COLUMN())),OFFSET($BN$2,0,0,ROW()-1,60),ROW()-1,FALSE))</f>
        <v/>
      </c>
      <c r="AZ34" t="str">
        <f ca="1">IF(AND(ISNUMBER($AZ$240),$B$208=1),$AZ$240,HLOOKUP(INDIRECT(ADDRESS(2,COLUMN())),OFFSET($BN$2,0,0,ROW()-1,60),ROW()-1,FALSE))</f>
        <v/>
      </c>
      <c r="BA34" t="str">
        <f ca="1">IF(AND(ISNUMBER($BA$240),$B$208=1),$BA$240,HLOOKUP(INDIRECT(ADDRESS(2,COLUMN())),OFFSET($BN$2,0,0,ROW()-1,60),ROW()-1,FALSE))</f>
        <v/>
      </c>
      <c r="BB34">
        <f ca="1">IF(AND(ISNUMBER($BB$240),$B$208=1),$BB$240,HLOOKUP(INDIRECT(ADDRESS(2,COLUMN())),OFFSET($BN$2,0,0,ROW()-1,60),ROW()-1,FALSE))</f>
        <v>32235.512170000002</v>
      </c>
      <c r="BC34" t="str">
        <f ca="1">IF(AND(ISNUMBER($BC$240),$B$208=1),$BC$240,HLOOKUP(INDIRECT(ADDRESS(2,COLUMN())),OFFSET($BN$2,0,0,ROW()-1,60),ROW()-1,FALSE))</f>
        <v/>
      </c>
      <c r="BD34" t="str">
        <f ca="1">IF(AND(ISNUMBER($BD$240),$B$208=1),$BD$240,HLOOKUP(INDIRECT(ADDRESS(2,COLUMN())),OFFSET($BN$2,0,0,ROW()-1,60),ROW()-1,FALSE))</f>
        <v/>
      </c>
      <c r="BE34" t="str">
        <f ca="1">IF(AND(ISNUMBER($BE$240),$B$208=1),$BE$240,HLOOKUP(INDIRECT(ADDRESS(2,COLUMN())),OFFSET($BN$2,0,0,ROW()-1,60),ROW()-1,FALSE))</f>
        <v/>
      </c>
      <c r="BF34">
        <f ca="1">IF(AND(ISNUMBER($BF$240),$B$208=1),$BF$240,HLOOKUP(INDIRECT(ADDRESS(2,COLUMN())),OFFSET($BN$2,0,0,ROW()-1,60),ROW()-1,FALSE))</f>
        <v>26005.940060000001</v>
      </c>
      <c r="BG34" t="str">
        <f ca="1">IF(AND(ISNUMBER($BG$240),$B$208=1),$BG$240,HLOOKUP(INDIRECT(ADDRESS(2,COLUMN())),OFFSET($BN$2,0,0,ROW()-1,60),ROW()-1,FALSE))</f>
        <v/>
      </c>
      <c r="BH34" t="str">
        <f ca="1">IF(AND(ISNUMBER($BH$240),$B$208=1),$BH$240,HLOOKUP(INDIRECT(ADDRESS(2,COLUMN())),OFFSET($BN$2,0,0,ROW()-1,60),ROW()-1,FALSE))</f>
        <v/>
      </c>
      <c r="BI34" t="str">
        <f ca="1">IF(AND(ISNUMBER($BI$240),$B$208=1),$BI$240,HLOOKUP(INDIRECT(ADDRESS(2,COLUMN())),OFFSET($BN$2,0,0,ROW()-1,60),ROW()-1,FALSE))</f>
        <v/>
      </c>
      <c r="BJ34">
        <f ca="1">IF(AND(ISNUMBER($BJ$240),$B$208=1),$BJ$240,HLOOKUP(INDIRECT(ADDRESS(2,COLUMN())),OFFSET($BN$2,0,0,ROW()-1,60),ROW()-1,FALSE))</f>
        <v>24674.60298</v>
      </c>
      <c r="BK34" t="str">
        <f ca="1">IF(AND(ISNUMBER($BK$240),$B$208=1),$BK$240,HLOOKUP(INDIRECT(ADDRESS(2,COLUMN())),OFFSET($BN$2,0,0,ROW()-1,60),ROW()-1,FALSE))</f>
        <v/>
      </c>
      <c r="BL34" t="str">
        <f ca="1">IF(AND(ISNUMBER($BL$240),$B$208=1),$BL$240,HLOOKUP(INDIRECT(ADDRESS(2,COLUMN())),OFFSET($BN$2,0,0,ROW()-1,60),ROW()-1,FALSE))</f>
        <v/>
      </c>
      <c r="BM34" t="str">
        <f ca="1">IF(AND(ISNUMBER($BM$240),$B$208=1),$BM$240,HLOOKUP(INDIRECT(ADDRESS(2,COLUMN())),OFFSET($BN$2,0,0,ROW()-1,60),ROW()-1,FALSE))</f>
        <v/>
      </c>
      <c r="BN34" t="str">
        <f>""</f>
        <v/>
      </c>
      <c r="BO34">
        <f>10806.27984</f>
        <v>10806.279839999999</v>
      </c>
      <c r="BP34">
        <f>10501.07187</f>
        <v>10501.07187</v>
      </c>
      <c r="BQ34">
        <f>11523.84837</f>
        <v>11523.84837</v>
      </c>
      <c r="BR34">
        <f>8347.520526</f>
        <v>8347.5205260000002</v>
      </c>
      <c r="BS34">
        <f>8313.217547</f>
        <v>8313.2175470000002</v>
      </c>
      <c r="BT34">
        <f>5892.145269</f>
        <v>5892.1452689999996</v>
      </c>
      <c r="BU34">
        <f>6583.111672</f>
        <v>6583.111672</v>
      </c>
      <c r="BV34">
        <f>5969.665242</f>
        <v>5969.665242</v>
      </c>
      <c r="BW34" t="str">
        <f>""</f>
        <v/>
      </c>
      <c r="BX34" t="str">
        <f>""</f>
        <v/>
      </c>
      <c r="BY34" t="str">
        <f>""</f>
        <v/>
      </c>
      <c r="BZ34">
        <f>11734.3246</f>
        <v>11734.3246</v>
      </c>
      <c r="CA34" t="str">
        <f>""</f>
        <v/>
      </c>
      <c r="CB34" t="str">
        <f>""</f>
        <v/>
      </c>
      <c r="CC34" t="str">
        <f>""</f>
        <v/>
      </c>
      <c r="CD34">
        <f>8186.030937</f>
        <v>8186.0309370000004</v>
      </c>
      <c r="CE34" t="str">
        <f>""</f>
        <v/>
      </c>
      <c r="CF34" t="str">
        <f>""</f>
        <v/>
      </c>
      <c r="CG34" t="str">
        <f>""</f>
        <v/>
      </c>
      <c r="CH34">
        <f>7475.026288</f>
        <v>7475.026288</v>
      </c>
      <c r="CI34" t="str">
        <f>""</f>
        <v/>
      </c>
      <c r="CJ34" t="str">
        <f>""</f>
        <v/>
      </c>
      <c r="CK34" t="str">
        <f>""</f>
        <v/>
      </c>
      <c r="CL34" t="str">
        <f>""</f>
        <v/>
      </c>
      <c r="CM34" t="str">
        <f>""</f>
        <v/>
      </c>
      <c r="CN34" t="str">
        <f>""</f>
        <v/>
      </c>
      <c r="CO34" t="str">
        <f>""</f>
        <v/>
      </c>
      <c r="CP34" t="str">
        <f>""</f>
        <v/>
      </c>
      <c r="CQ34" t="str">
        <f>""</f>
        <v/>
      </c>
      <c r="CR34" t="str">
        <f>""</f>
        <v/>
      </c>
      <c r="CS34" t="str">
        <f>""</f>
        <v/>
      </c>
      <c r="CT34">
        <f>16957.65393</f>
        <v>16957.65393</v>
      </c>
      <c r="CU34" t="str">
        <f>""</f>
        <v/>
      </c>
      <c r="CV34" t="str">
        <f>""</f>
        <v/>
      </c>
      <c r="CW34" t="str">
        <f>""</f>
        <v/>
      </c>
      <c r="CX34">
        <f>26111.8265</f>
        <v>26111.826499999999</v>
      </c>
      <c r="CY34" t="str">
        <f>""</f>
        <v/>
      </c>
      <c r="CZ34" t="str">
        <f>""</f>
        <v/>
      </c>
      <c r="DA34" t="str">
        <f>""</f>
        <v/>
      </c>
      <c r="DB34">
        <f>31606.27252</f>
        <v>31606.272519999999</v>
      </c>
      <c r="DC34" t="str">
        <f>""</f>
        <v/>
      </c>
      <c r="DD34" t="str">
        <f>""</f>
        <v/>
      </c>
      <c r="DE34" t="str">
        <f>""</f>
        <v/>
      </c>
      <c r="DF34">
        <f>35926.05005</f>
        <v>35926.050049999998</v>
      </c>
      <c r="DG34" t="str">
        <f>""</f>
        <v/>
      </c>
      <c r="DH34" t="str">
        <f>""</f>
        <v/>
      </c>
      <c r="DI34" t="str">
        <f>""</f>
        <v/>
      </c>
      <c r="DJ34">
        <f>32235.51217</f>
        <v>32235.512170000002</v>
      </c>
      <c r="DK34" t="str">
        <f>""</f>
        <v/>
      </c>
      <c r="DL34" t="str">
        <f>""</f>
        <v/>
      </c>
      <c r="DM34" t="str">
        <f>""</f>
        <v/>
      </c>
      <c r="DN34">
        <f>26005.94006</f>
        <v>26005.940060000001</v>
      </c>
      <c r="DO34" t="str">
        <f>""</f>
        <v/>
      </c>
      <c r="DP34" t="str">
        <f>""</f>
        <v/>
      </c>
      <c r="DQ34" t="str">
        <f>""</f>
        <v/>
      </c>
      <c r="DR34">
        <f>24674.60298</f>
        <v>24674.60298</v>
      </c>
      <c r="DS34" t="str">
        <f>""</f>
        <v/>
      </c>
      <c r="DT34" t="str">
        <f>""</f>
        <v/>
      </c>
      <c r="DU34" t="str">
        <f>""</f>
        <v/>
      </c>
    </row>
    <row r="35" spans="1:125" x14ac:dyDescent="0.25">
      <c r="A35" t="str">
        <f>"    Svenska Handelsbanken AB"</f>
        <v xml:space="preserve">    Svenska Handelsbanken AB</v>
      </c>
      <c r="B35" t="str">
        <f>"SHBA SS Equity"</f>
        <v>SHBA SS Equity</v>
      </c>
      <c r="C35" t="str">
        <f t="shared" si="0"/>
        <v>BM105</v>
      </c>
      <c r="D35" t="str">
        <f t="shared" si="1"/>
        <v>BS_TRADING_ASSETS</v>
      </c>
      <c r="E35" t="str">
        <f t="shared" si="2"/>
        <v>Dynamic</v>
      </c>
      <c r="F35" t="str">
        <f ca="1">IF(AND(ISNUMBER($F$241),$B$208=1),$F$241,HLOOKUP(INDIRECT(ADDRESS(2,COLUMN())),OFFSET($BN$2,0,0,ROW()-1,60),ROW()-1,FALSE))</f>
        <v/>
      </c>
      <c r="G35" t="str">
        <f ca="1">IF(AND(ISNUMBER($G$241),$B$208=1),$G$241,HLOOKUP(INDIRECT(ADDRESS(2,COLUMN())),OFFSET($BN$2,0,0,ROW()-1,60),ROW()-1,FALSE))</f>
        <v/>
      </c>
      <c r="H35" t="str">
        <f ca="1">IF(AND(ISNUMBER($H$241),$B$208=1),$H$241,HLOOKUP(INDIRECT(ADDRESS(2,COLUMN())),OFFSET($BN$2,0,0,ROW()-1,60),ROW()-1,FALSE))</f>
        <v/>
      </c>
      <c r="I35" t="str">
        <f ca="1">IF(AND(ISNUMBER($I$241),$B$208=1),$I$241,HLOOKUP(INDIRECT(ADDRESS(2,COLUMN())),OFFSET($BN$2,0,0,ROW()-1,60),ROW()-1,FALSE))</f>
        <v/>
      </c>
      <c r="J35" t="str">
        <f ca="1">IF(AND(ISNUMBER($J$241),$B$208=1),$J$241,HLOOKUP(INDIRECT(ADDRESS(2,COLUMN())),OFFSET($BN$2,0,0,ROW()-1,60),ROW()-1,FALSE))</f>
        <v/>
      </c>
      <c r="K35" t="str">
        <f ca="1">IF(AND(ISNUMBER($K$241),$B$208=1),$K$241,HLOOKUP(INDIRECT(ADDRESS(2,COLUMN())),OFFSET($BN$2,0,0,ROW()-1,60),ROW()-1,FALSE))</f>
        <v/>
      </c>
      <c r="L35" t="str">
        <f ca="1">IF(AND(ISNUMBER($L$241),$B$208=1),$L$241,HLOOKUP(INDIRECT(ADDRESS(2,COLUMN())),OFFSET($BN$2,0,0,ROW()-1,60),ROW()-1,FALSE))</f>
        <v/>
      </c>
      <c r="M35" t="str">
        <f ca="1">IF(AND(ISNUMBER($M$241),$B$208=1),$M$241,HLOOKUP(INDIRECT(ADDRESS(2,COLUMN())),OFFSET($BN$2,0,0,ROW()-1,60),ROW()-1,FALSE))</f>
        <v/>
      </c>
      <c r="N35" t="str">
        <f ca="1">IF(AND(ISNUMBER($N$241),$B$208=1),$N$241,HLOOKUP(INDIRECT(ADDRESS(2,COLUMN())),OFFSET($BN$2,0,0,ROW()-1,60),ROW()-1,FALSE))</f>
        <v/>
      </c>
      <c r="O35" t="str">
        <f ca="1">IF(AND(ISNUMBER($O$241),$B$208=1),$O$241,HLOOKUP(INDIRECT(ADDRESS(2,COLUMN())),OFFSET($BN$2,0,0,ROW()-1,60),ROW()-1,FALSE))</f>
        <v/>
      </c>
      <c r="P35" t="str">
        <f ca="1">IF(AND(ISNUMBER($P$241),$B$208=1),$P$241,HLOOKUP(INDIRECT(ADDRESS(2,COLUMN())),OFFSET($BN$2,0,0,ROW()-1,60),ROW()-1,FALSE))</f>
        <v/>
      </c>
      <c r="Q35" t="str">
        <f ca="1">IF(AND(ISNUMBER($Q$241),$B$208=1),$Q$241,HLOOKUP(INDIRECT(ADDRESS(2,COLUMN())),OFFSET($BN$2,0,0,ROW()-1,60),ROW()-1,FALSE))</f>
        <v/>
      </c>
      <c r="R35" t="str">
        <f ca="1">IF(AND(ISNUMBER($R$241),$B$208=1),$R$241,HLOOKUP(INDIRECT(ADDRESS(2,COLUMN())),OFFSET($BN$2,0,0,ROW()-1,60),ROW()-1,FALSE))</f>
        <v/>
      </c>
      <c r="S35" t="str">
        <f ca="1">IF(AND(ISNUMBER($S$241),$B$208=1),$S$241,HLOOKUP(INDIRECT(ADDRESS(2,COLUMN())),OFFSET($BN$2,0,0,ROW()-1,60),ROW()-1,FALSE))</f>
        <v/>
      </c>
      <c r="T35" t="str">
        <f ca="1">IF(AND(ISNUMBER($T$241),$B$208=1),$T$241,HLOOKUP(INDIRECT(ADDRESS(2,COLUMN())),OFFSET($BN$2,0,0,ROW()-1,60),ROW()-1,FALSE))</f>
        <v/>
      </c>
      <c r="U35" t="str">
        <f ca="1">IF(AND(ISNUMBER($U$241),$B$208=1),$U$241,HLOOKUP(INDIRECT(ADDRESS(2,COLUMN())),OFFSET($BN$2,0,0,ROW()-1,60),ROW()-1,FALSE))</f>
        <v/>
      </c>
      <c r="V35" t="str">
        <f ca="1">IF(AND(ISNUMBER($V$241),$B$208=1),$V$241,HLOOKUP(INDIRECT(ADDRESS(2,COLUMN())),OFFSET($BN$2,0,0,ROW()-1,60),ROW()-1,FALSE))</f>
        <v/>
      </c>
      <c r="W35" t="str">
        <f ca="1">IF(AND(ISNUMBER($W$241),$B$208=1),$W$241,HLOOKUP(INDIRECT(ADDRESS(2,COLUMN())),OFFSET($BN$2,0,0,ROW()-1,60),ROW()-1,FALSE))</f>
        <v/>
      </c>
      <c r="X35" t="str">
        <f ca="1">IF(AND(ISNUMBER($X$241),$B$208=1),$X$241,HLOOKUP(INDIRECT(ADDRESS(2,COLUMN())),OFFSET($BN$2,0,0,ROW()-1,60),ROW()-1,FALSE))</f>
        <v/>
      </c>
      <c r="Y35" t="str">
        <f ca="1">IF(AND(ISNUMBER($Y$241),$B$208=1),$Y$241,HLOOKUP(INDIRECT(ADDRESS(2,COLUMN())),OFFSET($BN$2,0,0,ROW()-1,60),ROW()-1,FALSE))</f>
        <v/>
      </c>
      <c r="Z35" t="str">
        <f ca="1">IF(AND(ISNUMBER($Z$241),$B$208=1),$Z$241,HLOOKUP(INDIRECT(ADDRESS(2,COLUMN())),OFFSET($BN$2,0,0,ROW()-1,60),ROW()-1,FALSE))</f>
        <v/>
      </c>
      <c r="AA35" t="str">
        <f ca="1">IF(AND(ISNUMBER($AA$241),$B$208=1),$AA$241,HLOOKUP(INDIRECT(ADDRESS(2,COLUMN())),OFFSET($BN$2,0,0,ROW()-1,60),ROW()-1,FALSE))</f>
        <v/>
      </c>
      <c r="AB35" t="str">
        <f ca="1">IF(AND(ISNUMBER($AB$241),$B$208=1),$AB$241,HLOOKUP(INDIRECT(ADDRESS(2,COLUMN())),OFFSET($BN$2,0,0,ROW()-1,60),ROW()-1,FALSE))</f>
        <v/>
      </c>
      <c r="AC35" t="str">
        <f ca="1">IF(AND(ISNUMBER($AC$241),$B$208=1),$AC$241,HLOOKUP(INDIRECT(ADDRESS(2,COLUMN())),OFFSET($BN$2,0,0,ROW()-1,60),ROW()-1,FALSE))</f>
        <v/>
      </c>
      <c r="AD35" t="str">
        <f ca="1">IF(AND(ISNUMBER($AD$241),$B$208=1),$AD$241,HLOOKUP(INDIRECT(ADDRESS(2,COLUMN())),OFFSET($BN$2,0,0,ROW()-1,60),ROW()-1,FALSE))</f>
        <v/>
      </c>
      <c r="AE35" t="str">
        <f ca="1">IF(AND(ISNUMBER($AE$241),$B$208=1),$AE$241,HLOOKUP(INDIRECT(ADDRESS(2,COLUMN())),OFFSET($BN$2,0,0,ROW()-1,60),ROW()-1,FALSE))</f>
        <v/>
      </c>
      <c r="AF35" t="str">
        <f ca="1">IF(AND(ISNUMBER($AF$241),$B$208=1),$AF$241,HLOOKUP(INDIRECT(ADDRESS(2,COLUMN())),OFFSET($BN$2,0,0,ROW()-1,60),ROW()-1,FALSE))</f>
        <v/>
      </c>
      <c r="AG35" t="str">
        <f ca="1">IF(AND(ISNUMBER($AG$241),$B$208=1),$AG$241,HLOOKUP(INDIRECT(ADDRESS(2,COLUMN())),OFFSET($BN$2,0,0,ROW()-1,60),ROW()-1,FALSE))</f>
        <v/>
      </c>
      <c r="AH35" t="str">
        <f ca="1">IF(AND(ISNUMBER($AH$241),$B$208=1),$AH$241,HLOOKUP(INDIRECT(ADDRESS(2,COLUMN())),OFFSET($BN$2,0,0,ROW()-1,60),ROW()-1,FALSE))</f>
        <v/>
      </c>
      <c r="AI35" t="str">
        <f ca="1">IF(AND(ISNUMBER($AI$241),$B$208=1),$AI$241,HLOOKUP(INDIRECT(ADDRESS(2,COLUMN())),OFFSET($BN$2,0,0,ROW()-1,60),ROW()-1,FALSE))</f>
        <v/>
      </c>
      <c r="AJ35" t="str">
        <f ca="1">IF(AND(ISNUMBER($AJ$241),$B$208=1),$AJ$241,HLOOKUP(INDIRECT(ADDRESS(2,COLUMN())),OFFSET($BN$2,0,0,ROW()-1,60),ROW()-1,FALSE))</f>
        <v/>
      </c>
      <c r="AK35" t="str">
        <f ca="1">IF(AND(ISNUMBER($AK$241),$B$208=1),$AK$241,HLOOKUP(INDIRECT(ADDRESS(2,COLUMN())),OFFSET($BN$2,0,0,ROW()-1,60),ROW()-1,FALSE))</f>
        <v/>
      </c>
      <c r="AL35" t="str">
        <f ca="1">IF(AND(ISNUMBER($AL$241),$B$208=1),$AL$241,HLOOKUP(INDIRECT(ADDRESS(2,COLUMN())),OFFSET($BN$2,0,0,ROW()-1,60),ROW()-1,FALSE))</f>
        <v/>
      </c>
      <c r="AM35" t="str">
        <f ca="1">IF(AND(ISNUMBER($AM$241),$B$208=1),$AM$241,HLOOKUP(INDIRECT(ADDRESS(2,COLUMN())),OFFSET($BN$2,0,0,ROW()-1,60),ROW()-1,FALSE))</f>
        <v/>
      </c>
      <c r="AN35" t="str">
        <f ca="1">IF(AND(ISNUMBER($AN$241),$B$208=1),$AN$241,HLOOKUP(INDIRECT(ADDRESS(2,COLUMN())),OFFSET($BN$2,0,0,ROW()-1,60),ROW()-1,FALSE))</f>
        <v/>
      </c>
      <c r="AO35" t="str">
        <f ca="1">IF(AND(ISNUMBER($AO$241),$B$208=1),$AO$241,HLOOKUP(INDIRECT(ADDRESS(2,COLUMN())),OFFSET($BN$2,0,0,ROW()-1,60),ROW()-1,FALSE))</f>
        <v/>
      </c>
      <c r="AP35" t="str">
        <f ca="1">IF(AND(ISNUMBER($AP$241),$B$208=1),$AP$241,HLOOKUP(INDIRECT(ADDRESS(2,COLUMN())),OFFSET($BN$2,0,0,ROW()-1,60),ROW()-1,FALSE))</f>
        <v/>
      </c>
      <c r="AQ35" t="str">
        <f ca="1">IF(AND(ISNUMBER($AQ$241),$B$208=1),$AQ$241,HLOOKUP(INDIRECT(ADDRESS(2,COLUMN())),OFFSET($BN$2,0,0,ROW()-1,60),ROW()-1,FALSE))</f>
        <v/>
      </c>
      <c r="AR35" t="str">
        <f ca="1">IF(AND(ISNUMBER($AR$241),$B$208=1),$AR$241,HLOOKUP(INDIRECT(ADDRESS(2,COLUMN())),OFFSET($BN$2,0,0,ROW()-1,60),ROW()-1,FALSE))</f>
        <v/>
      </c>
      <c r="AS35" t="str">
        <f ca="1">IF(AND(ISNUMBER($AS$241),$B$208=1),$AS$241,HLOOKUP(INDIRECT(ADDRESS(2,COLUMN())),OFFSET($BN$2,0,0,ROW()-1,60),ROW()-1,FALSE))</f>
        <v/>
      </c>
      <c r="AT35" t="str">
        <f ca="1">IF(AND(ISNUMBER($AT$241),$B$208=1),$AT$241,HLOOKUP(INDIRECT(ADDRESS(2,COLUMN())),OFFSET($BN$2,0,0,ROW()-1,60),ROW()-1,FALSE))</f>
        <v/>
      </c>
      <c r="AU35" t="str">
        <f ca="1">IF(AND(ISNUMBER($AU$241),$B$208=1),$AU$241,HLOOKUP(INDIRECT(ADDRESS(2,COLUMN())),OFFSET($BN$2,0,0,ROW()-1,60),ROW()-1,FALSE))</f>
        <v/>
      </c>
      <c r="AV35" t="str">
        <f ca="1">IF(AND(ISNUMBER($AV$241),$B$208=1),$AV$241,HLOOKUP(INDIRECT(ADDRESS(2,COLUMN())),OFFSET($BN$2,0,0,ROW()-1,60),ROW()-1,FALSE))</f>
        <v/>
      </c>
      <c r="AW35" t="str">
        <f ca="1">IF(AND(ISNUMBER($AW$241),$B$208=1),$AW$241,HLOOKUP(INDIRECT(ADDRESS(2,COLUMN())),OFFSET($BN$2,0,0,ROW()-1,60),ROW()-1,FALSE))</f>
        <v/>
      </c>
      <c r="AX35" t="str">
        <f ca="1">IF(AND(ISNUMBER($AX$241),$B$208=1),$AX$241,HLOOKUP(INDIRECT(ADDRESS(2,COLUMN())),OFFSET($BN$2,0,0,ROW()-1,60),ROW()-1,FALSE))</f>
        <v/>
      </c>
      <c r="AY35" t="str">
        <f ca="1">IF(AND(ISNUMBER($AY$241),$B$208=1),$AY$241,HLOOKUP(INDIRECT(ADDRESS(2,COLUMN())),OFFSET($BN$2,0,0,ROW()-1,60),ROW()-1,FALSE))</f>
        <v/>
      </c>
      <c r="AZ35" t="str">
        <f ca="1">IF(AND(ISNUMBER($AZ$241),$B$208=1),$AZ$241,HLOOKUP(INDIRECT(ADDRESS(2,COLUMN())),OFFSET($BN$2,0,0,ROW()-1,60),ROW()-1,FALSE))</f>
        <v/>
      </c>
      <c r="BA35" t="str">
        <f ca="1">IF(AND(ISNUMBER($BA$241),$B$208=1),$BA$241,HLOOKUP(INDIRECT(ADDRESS(2,COLUMN())),OFFSET($BN$2,0,0,ROW()-1,60),ROW()-1,FALSE))</f>
        <v/>
      </c>
      <c r="BB35" t="str">
        <f ca="1">IF(AND(ISNUMBER($BB$241),$B$208=1),$BB$241,HLOOKUP(INDIRECT(ADDRESS(2,COLUMN())),OFFSET($BN$2,0,0,ROW()-1,60),ROW()-1,FALSE))</f>
        <v/>
      </c>
      <c r="BC35" t="str">
        <f ca="1">IF(AND(ISNUMBER($BC$241),$B$208=1),$BC$241,HLOOKUP(INDIRECT(ADDRESS(2,COLUMN())),OFFSET($BN$2,0,0,ROW()-1,60),ROW()-1,FALSE))</f>
        <v/>
      </c>
      <c r="BD35" t="str">
        <f ca="1">IF(AND(ISNUMBER($BD$241),$B$208=1),$BD$241,HLOOKUP(INDIRECT(ADDRESS(2,COLUMN())),OFFSET($BN$2,0,0,ROW()-1,60),ROW()-1,FALSE))</f>
        <v/>
      </c>
      <c r="BE35" t="str">
        <f ca="1">IF(AND(ISNUMBER($BE$241),$B$208=1),$BE$241,HLOOKUP(INDIRECT(ADDRESS(2,COLUMN())),OFFSET($BN$2,0,0,ROW()-1,60),ROW()-1,FALSE))</f>
        <v/>
      </c>
      <c r="BF35" t="str">
        <f ca="1">IF(AND(ISNUMBER($BF$241),$B$208=1),$BF$241,HLOOKUP(INDIRECT(ADDRESS(2,COLUMN())),OFFSET($BN$2,0,0,ROW()-1,60),ROW()-1,FALSE))</f>
        <v/>
      </c>
      <c r="BG35" t="str">
        <f ca="1">IF(AND(ISNUMBER($BG$241),$B$208=1),$BG$241,HLOOKUP(INDIRECT(ADDRESS(2,COLUMN())),OFFSET($BN$2,0,0,ROW()-1,60),ROW()-1,FALSE))</f>
        <v/>
      </c>
      <c r="BH35" t="str">
        <f ca="1">IF(AND(ISNUMBER($BH$241),$B$208=1),$BH$241,HLOOKUP(INDIRECT(ADDRESS(2,COLUMN())),OFFSET($BN$2,0,0,ROW()-1,60),ROW()-1,FALSE))</f>
        <v/>
      </c>
      <c r="BI35" t="str">
        <f ca="1">IF(AND(ISNUMBER($BI$241),$B$208=1),$BI$241,HLOOKUP(INDIRECT(ADDRESS(2,COLUMN())),OFFSET($BN$2,0,0,ROW()-1,60),ROW()-1,FALSE))</f>
        <v/>
      </c>
      <c r="BJ35">
        <f ca="1">IF(AND(ISNUMBER($BJ$241),$B$208=1),$BJ$241,HLOOKUP(INDIRECT(ADDRESS(2,COLUMN())),OFFSET($BN$2,0,0,ROW()-1,60),ROW()-1,FALSE))</f>
        <v>17561.064610000001</v>
      </c>
      <c r="BK35" t="str">
        <f ca="1">IF(AND(ISNUMBER($BK$241),$B$208=1),$BK$241,HLOOKUP(INDIRECT(ADDRESS(2,COLUMN())),OFFSET($BN$2,0,0,ROW()-1,60),ROW()-1,FALSE))</f>
        <v/>
      </c>
      <c r="BL35" t="str">
        <f ca="1">IF(AND(ISNUMBER($BL$241),$B$208=1),$BL$241,HLOOKUP(INDIRECT(ADDRESS(2,COLUMN())),OFFSET($BN$2,0,0,ROW()-1,60),ROW()-1,FALSE))</f>
        <v/>
      </c>
      <c r="BM35" t="str">
        <f ca="1">IF(AND(ISNUMBER($BM$241),$B$208=1),$BM$241,HLOOKUP(INDIRECT(ADDRESS(2,COLUMN())),OFFSET($BN$2,0,0,ROW()-1,60),ROW()-1,FALSE))</f>
        <v/>
      </c>
      <c r="BN35" t="str">
        <f>""</f>
        <v/>
      </c>
      <c r="BO35" t="str">
        <f>""</f>
        <v/>
      </c>
      <c r="BP35" t="str">
        <f>""</f>
        <v/>
      </c>
      <c r="BQ35" t="str">
        <f>""</f>
        <v/>
      </c>
      <c r="BR35" t="str">
        <f>""</f>
        <v/>
      </c>
      <c r="BS35" t="str">
        <f>""</f>
        <v/>
      </c>
      <c r="BT35" t="str">
        <f>""</f>
        <v/>
      </c>
      <c r="BU35" t="str">
        <f>""</f>
        <v/>
      </c>
      <c r="BV35" t="str">
        <f>""</f>
        <v/>
      </c>
      <c r="BW35" t="str">
        <f>""</f>
        <v/>
      </c>
      <c r="BX35" t="str">
        <f>""</f>
        <v/>
      </c>
      <c r="BY35" t="str">
        <f>""</f>
        <v/>
      </c>
      <c r="BZ35" t="str">
        <f>""</f>
        <v/>
      </c>
      <c r="CA35" t="str">
        <f>""</f>
        <v/>
      </c>
      <c r="CB35" t="str">
        <f>""</f>
        <v/>
      </c>
      <c r="CC35" t="str">
        <f>""</f>
        <v/>
      </c>
      <c r="CD35" t="str">
        <f>""</f>
        <v/>
      </c>
      <c r="CE35" t="str">
        <f>""</f>
        <v/>
      </c>
      <c r="CF35" t="str">
        <f>""</f>
        <v/>
      </c>
      <c r="CG35" t="str">
        <f>""</f>
        <v/>
      </c>
      <c r="CH35" t="str">
        <f>""</f>
        <v/>
      </c>
      <c r="CI35" t="str">
        <f>""</f>
        <v/>
      </c>
      <c r="CJ35" t="str">
        <f>""</f>
        <v/>
      </c>
      <c r="CK35" t="str">
        <f>""</f>
        <v/>
      </c>
      <c r="CL35" t="str">
        <f>""</f>
        <v/>
      </c>
      <c r="CM35" t="str">
        <f>""</f>
        <v/>
      </c>
      <c r="CN35" t="str">
        <f>""</f>
        <v/>
      </c>
      <c r="CO35" t="str">
        <f>""</f>
        <v/>
      </c>
      <c r="CP35" t="str">
        <f>""</f>
        <v/>
      </c>
      <c r="CQ35" t="str">
        <f>""</f>
        <v/>
      </c>
      <c r="CR35" t="str">
        <f>""</f>
        <v/>
      </c>
      <c r="CS35" t="str">
        <f>""</f>
        <v/>
      </c>
      <c r="CT35" t="str">
        <f>""</f>
        <v/>
      </c>
      <c r="CU35" t="str">
        <f>""</f>
        <v/>
      </c>
      <c r="CV35" t="str">
        <f>""</f>
        <v/>
      </c>
      <c r="CW35" t="str">
        <f>""</f>
        <v/>
      </c>
      <c r="CX35" t="str">
        <f>""</f>
        <v/>
      </c>
      <c r="CY35" t="str">
        <f>""</f>
        <v/>
      </c>
      <c r="CZ35" t="str">
        <f>""</f>
        <v/>
      </c>
      <c r="DA35" t="str">
        <f>""</f>
        <v/>
      </c>
      <c r="DB35" t="str">
        <f>""</f>
        <v/>
      </c>
      <c r="DC35" t="str">
        <f>""</f>
        <v/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>
        <f>17561.06461</f>
        <v>17561.064610000001</v>
      </c>
      <c r="DS35" t="str">
        <f>""</f>
        <v/>
      </c>
      <c r="DT35" t="str">
        <f>""</f>
        <v/>
      </c>
      <c r="DU35" t="str">
        <f>""</f>
        <v/>
      </c>
    </row>
    <row r="36" spans="1:125" x14ac:dyDescent="0.25">
      <c r="A36" t="str">
        <f>"    Swedbank AB"</f>
        <v xml:space="preserve">    Swedbank AB</v>
      </c>
      <c r="B36" t="str">
        <f>"SWEDA SS Equity"</f>
        <v>SWEDA SS Equity</v>
      </c>
      <c r="C36" t="str">
        <f t="shared" si="0"/>
        <v>BM105</v>
      </c>
      <c r="D36" t="str">
        <f t="shared" si="1"/>
        <v>BS_TRADING_ASSETS</v>
      </c>
      <c r="E36" t="str">
        <f t="shared" si="2"/>
        <v>Dynamic</v>
      </c>
      <c r="F36" t="str">
        <f ca="1">IF(AND(ISNUMBER($F$242),$B$208=1),$F$242,HLOOKUP(INDIRECT(ADDRESS(2,COLUMN())),OFFSET($BN$2,0,0,ROW()-1,60),ROW()-1,FALSE))</f>
        <v/>
      </c>
      <c r="G36" t="str">
        <f ca="1">IF(AND(ISNUMBER($G$242),$B$208=1),$G$242,HLOOKUP(INDIRECT(ADDRESS(2,COLUMN())),OFFSET($BN$2,0,0,ROW()-1,60),ROW()-1,FALSE))</f>
        <v/>
      </c>
      <c r="H36" t="str">
        <f ca="1">IF(AND(ISNUMBER($H$242),$B$208=1),$H$242,HLOOKUP(INDIRECT(ADDRESS(2,COLUMN())),OFFSET($BN$2,0,0,ROW()-1,60),ROW()-1,FALSE))</f>
        <v/>
      </c>
      <c r="I36" t="str">
        <f ca="1">IF(AND(ISNUMBER($I$242),$B$208=1),$I$242,HLOOKUP(INDIRECT(ADDRESS(2,COLUMN())),OFFSET($BN$2,0,0,ROW()-1,60),ROW()-1,FALSE))</f>
        <v/>
      </c>
      <c r="J36" t="str">
        <f ca="1">IF(AND(ISNUMBER($J$242),$B$208=1),$J$242,HLOOKUP(INDIRECT(ADDRESS(2,COLUMN())),OFFSET($BN$2,0,0,ROW()-1,60),ROW()-1,FALSE))</f>
        <v/>
      </c>
      <c r="K36" t="str">
        <f ca="1">IF(AND(ISNUMBER($K$242),$B$208=1),$K$242,HLOOKUP(INDIRECT(ADDRESS(2,COLUMN())),OFFSET($BN$2,0,0,ROW()-1,60),ROW()-1,FALSE))</f>
        <v/>
      </c>
      <c r="L36" t="str">
        <f ca="1">IF(AND(ISNUMBER($L$242),$B$208=1),$L$242,HLOOKUP(INDIRECT(ADDRESS(2,COLUMN())),OFFSET($BN$2,0,0,ROW()-1,60),ROW()-1,FALSE))</f>
        <v/>
      </c>
      <c r="M36" t="str">
        <f ca="1">IF(AND(ISNUMBER($M$242),$B$208=1),$M$242,HLOOKUP(INDIRECT(ADDRESS(2,COLUMN())),OFFSET($BN$2,0,0,ROW()-1,60),ROW()-1,FALSE))</f>
        <v/>
      </c>
      <c r="N36" t="str">
        <f ca="1">IF(AND(ISNUMBER($N$242),$B$208=1),$N$242,HLOOKUP(INDIRECT(ADDRESS(2,COLUMN())),OFFSET($BN$2,0,0,ROW()-1,60),ROW()-1,FALSE))</f>
        <v/>
      </c>
      <c r="O36" t="str">
        <f ca="1">IF(AND(ISNUMBER($O$242),$B$208=1),$O$242,HLOOKUP(INDIRECT(ADDRESS(2,COLUMN())),OFFSET($BN$2,0,0,ROW()-1,60),ROW()-1,FALSE))</f>
        <v/>
      </c>
      <c r="P36" t="str">
        <f ca="1">IF(AND(ISNUMBER($P$242),$B$208=1),$P$242,HLOOKUP(INDIRECT(ADDRESS(2,COLUMN())),OFFSET($BN$2,0,0,ROW()-1,60),ROW()-1,FALSE))</f>
        <v/>
      </c>
      <c r="Q36" t="str">
        <f ca="1">IF(AND(ISNUMBER($Q$242),$B$208=1),$Q$242,HLOOKUP(INDIRECT(ADDRESS(2,COLUMN())),OFFSET($BN$2,0,0,ROW()-1,60),ROW()-1,FALSE))</f>
        <v/>
      </c>
      <c r="R36" t="str">
        <f ca="1">IF(AND(ISNUMBER($R$242),$B$208=1),$R$242,HLOOKUP(INDIRECT(ADDRESS(2,COLUMN())),OFFSET($BN$2,0,0,ROW()-1,60),ROW()-1,FALSE))</f>
        <v/>
      </c>
      <c r="S36" t="str">
        <f ca="1">IF(AND(ISNUMBER($S$242),$B$208=1),$S$242,HLOOKUP(INDIRECT(ADDRESS(2,COLUMN())),OFFSET($BN$2,0,0,ROW()-1,60),ROW()-1,FALSE))</f>
        <v/>
      </c>
      <c r="T36" t="str">
        <f ca="1">IF(AND(ISNUMBER($T$242),$B$208=1),$T$242,HLOOKUP(INDIRECT(ADDRESS(2,COLUMN())),OFFSET($BN$2,0,0,ROW()-1,60),ROW()-1,FALSE))</f>
        <v/>
      </c>
      <c r="U36" t="str">
        <f ca="1">IF(AND(ISNUMBER($U$242),$B$208=1),$U$242,HLOOKUP(INDIRECT(ADDRESS(2,COLUMN())),OFFSET($BN$2,0,0,ROW()-1,60),ROW()-1,FALSE))</f>
        <v/>
      </c>
      <c r="V36" t="str">
        <f ca="1">IF(AND(ISNUMBER($V$242),$B$208=1),$V$242,HLOOKUP(INDIRECT(ADDRESS(2,COLUMN())),OFFSET($BN$2,0,0,ROW()-1,60),ROW()-1,FALSE))</f>
        <v/>
      </c>
      <c r="W36" t="str">
        <f ca="1">IF(AND(ISNUMBER($W$242),$B$208=1),$W$242,HLOOKUP(INDIRECT(ADDRESS(2,COLUMN())),OFFSET($BN$2,0,0,ROW()-1,60),ROW()-1,FALSE))</f>
        <v/>
      </c>
      <c r="X36" t="str">
        <f ca="1">IF(AND(ISNUMBER($X$242),$B$208=1),$X$242,HLOOKUP(INDIRECT(ADDRESS(2,COLUMN())),OFFSET($BN$2,0,0,ROW()-1,60),ROW()-1,FALSE))</f>
        <v/>
      </c>
      <c r="Y36" t="str">
        <f ca="1">IF(AND(ISNUMBER($Y$242),$B$208=1),$Y$242,HLOOKUP(INDIRECT(ADDRESS(2,COLUMN())),OFFSET($BN$2,0,0,ROW()-1,60),ROW()-1,FALSE))</f>
        <v/>
      </c>
      <c r="Z36" t="str">
        <f ca="1">IF(AND(ISNUMBER($Z$242),$B$208=1),$Z$242,HLOOKUP(INDIRECT(ADDRESS(2,COLUMN())),OFFSET($BN$2,0,0,ROW()-1,60),ROW()-1,FALSE))</f>
        <v/>
      </c>
      <c r="AA36" t="str">
        <f ca="1">IF(AND(ISNUMBER($AA$242),$B$208=1),$AA$242,HLOOKUP(INDIRECT(ADDRESS(2,COLUMN())),OFFSET($BN$2,0,0,ROW()-1,60),ROW()-1,FALSE))</f>
        <v/>
      </c>
      <c r="AB36" t="str">
        <f ca="1">IF(AND(ISNUMBER($AB$242),$B$208=1),$AB$242,HLOOKUP(INDIRECT(ADDRESS(2,COLUMN())),OFFSET($BN$2,0,0,ROW()-1,60),ROW()-1,FALSE))</f>
        <v/>
      </c>
      <c r="AC36" t="str">
        <f ca="1">IF(AND(ISNUMBER($AC$242),$B$208=1),$AC$242,HLOOKUP(INDIRECT(ADDRESS(2,COLUMN())),OFFSET($BN$2,0,0,ROW()-1,60),ROW()-1,FALSE))</f>
        <v/>
      </c>
      <c r="AD36" t="str">
        <f ca="1">IF(AND(ISNUMBER($AD$242),$B$208=1),$AD$242,HLOOKUP(INDIRECT(ADDRESS(2,COLUMN())),OFFSET($BN$2,0,0,ROW()-1,60),ROW()-1,FALSE))</f>
        <v/>
      </c>
      <c r="AE36" t="str">
        <f ca="1">IF(AND(ISNUMBER($AE$242),$B$208=1),$AE$242,HLOOKUP(INDIRECT(ADDRESS(2,COLUMN())),OFFSET($BN$2,0,0,ROW()-1,60),ROW()-1,FALSE))</f>
        <v/>
      </c>
      <c r="AF36" t="str">
        <f ca="1">IF(AND(ISNUMBER($AF$242),$B$208=1),$AF$242,HLOOKUP(INDIRECT(ADDRESS(2,COLUMN())),OFFSET($BN$2,0,0,ROW()-1,60),ROW()-1,FALSE))</f>
        <v/>
      </c>
      <c r="AG36" t="str">
        <f ca="1">IF(AND(ISNUMBER($AG$242),$B$208=1),$AG$242,HLOOKUP(INDIRECT(ADDRESS(2,COLUMN())),OFFSET($BN$2,0,0,ROW()-1,60),ROW()-1,FALSE))</f>
        <v/>
      </c>
      <c r="AH36" t="str">
        <f ca="1">IF(AND(ISNUMBER($AH$242),$B$208=1),$AH$242,HLOOKUP(INDIRECT(ADDRESS(2,COLUMN())),OFFSET($BN$2,0,0,ROW()-1,60),ROW()-1,FALSE))</f>
        <v/>
      </c>
      <c r="AI36" t="str">
        <f ca="1">IF(AND(ISNUMBER($AI$242),$B$208=1),$AI$242,HLOOKUP(INDIRECT(ADDRESS(2,COLUMN())),OFFSET($BN$2,0,0,ROW()-1,60),ROW()-1,FALSE))</f>
        <v/>
      </c>
      <c r="AJ36" t="str">
        <f ca="1">IF(AND(ISNUMBER($AJ$242),$B$208=1),$AJ$242,HLOOKUP(INDIRECT(ADDRESS(2,COLUMN())),OFFSET($BN$2,0,0,ROW()-1,60),ROW()-1,FALSE))</f>
        <v/>
      </c>
      <c r="AK36" t="str">
        <f ca="1">IF(AND(ISNUMBER($AK$242),$B$208=1),$AK$242,HLOOKUP(INDIRECT(ADDRESS(2,COLUMN())),OFFSET($BN$2,0,0,ROW()-1,60),ROW()-1,FALSE))</f>
        <v/>
      </c>
      <c r="AL36" t="str">
        <f ca="1">IF(AND(ISNUMBER($AL$242),$B$208=1),$AL$242,HLOOKUP(INDIRECT(ADDRESS(2,COLUMN())),OFFSET($BN$2,0,0,ROW()-1,60),ROW()-1,FALSE))</f>
        <v/>
      </c>
      <c r="AM36" t="str">
        <f ca="1">IF(AND(ISNUMBER($AM$242),$B$208=1),$AM$242,HLOOKUP(INDIRECT(ADDRESS(2,COLUMN())),OFFSET($BN$2,0,0,ROW()-1,60),ROW()-1,FALSE))</f>
        <v/>
      </c>
      <c r="AN36" t="str">
        <f ca="1">IF(AND(ISNUMBER($AN$242),$B$208=1),$AN$242,HLOOKUP(INDIRECT(ADDRESS(2,COLUMN())),OFFSET($BN$2,0,0,ROW()-1,60),ROW()-1,FALSE))</f>
        <v/>
      </c>
      <c r="AO36" t="str">
        <f ca="1">IF(AND(ISNUMBER($AO$242),$B$208=1),$AO$242,HLOOKUP(INDIRECT(ADDRESS(2,COLUMN())),OFFSET($BN$2,0,0,ROW()-1,60),ROW()-1,FALSE))</f>
        <v/>
      </c>
      <c r="AP36" t="str">
        <f ca="1">IF(AND(ISNUMBER($AP$242),$B$208=1),$AP$242,HLOOKUP(INDIRECT(ADDRESS(2,COLUMN())),OFFSET($BN$2,0,0,ROW()-1,60),ROW()-1,FALSE))</f>
        <v/>
      </c>
      <c r="AQ36" t="str">
        <f ca="1">IF(AND(ISNUMBER($AQ$242),$B$208=1),$AQ$242,HLOOKUP(INDIRECT(ADDRESS(2,COLUMN())),OFFSET($BN$2,0,0,ROW()-1,60),ROW()-1,FALSE))</f>
        <v/>
      </c>
      <c r="AR36" t="str">
        <f ca="1">IF(AND(ISNUMBER($AR$242),$B$208=1),$AR$242,HLOOKUP(INDIRECT(ADDRESS(2,COLUMN())),OFFSET($BN$2,0,0,ROW()-1,60),ROW()-1,FALSE))</f>
        <v/>
      </c>
      <c r="AS36" t="str">
        <f ca="1">IF(AND(ISNUMBER($AS$242),$B$208=1),$AS$242,HLOOKUP(INDIRECT(ADDRESS(2,COLUMN())),OFFSET($BN$2,0,0,ROW()-1,60),ROW()-1,FALSE))</f>
        <v/>
      </c>
      <c r="AT36" t="str">
        <f ca="1">IF(AND(ISNUMBER($AT$242),$B$208=1),$AT$242,HLOOKUP(INDIRECT(ADDRESS(2,COLUMN())),OFFSET($BN$2,0,0,ROW()-1,60),ROW()-1,FALSE))</f>
        <v/>
      </c>
      <c r="AU36" t="str">
        <f ca="1">IF(AND(ISNUMBER($AU$242),$B$208=1),$AU$242,HLOOKUP(INDIRECT(ADDRESS(2,COLUMN())),OFFSET($BN$2,0,0,ROW()-1,60),ROW()-1,FALSE))</f>
        <v/>
      </c>
      <c r="AV36" t="str">
        <f ca="1">IF(AND(ISNUMBER($AV$242),$B$208=1),$AV$242,HLOOKUP(INDIRECT(ADDRESS(2,COLUMN())),OFFSET($BN$2,0,0,ROW()-1,60),ROW()-1,FALSE))</f>
        <v/>
      </c>
      <c r="AW36" t="str">
        <f ca="1">IF(AND(ISNUMBER($AW$242),$B$208=1),$AW$242,HLOOKUP(INDIRECT(ADDRESS(2,COLUMN())),OFFSET($BN$2,0,0,ROW()-1,60),ROW()-1,FALSE))</f>
        <v/>
      </c>
      <c r="AX36" t="str">
        <f ca="1">IF(AND(ISNUMBER($AX$242),$B$208=1),$AX$242,HLOOKUP(INDIRECT(ADDRESS(2,COLUMN())),OFFSET($BN$2,0,0,ROW()-1,60),ROW()-1,FALSE))</f>
        <v/>
      </c>
      <c r="AY36" t="str">
        <f ca="1">IF(AND(ISNUMBER($AY$242),$B$208=1),$AY$242,HLOOKUP(INDIRECT(ADDRESS(2,COLUMN())),OFFSET($BN$2,0,0,ROW()-1,60),ROW()-1,FALSE))</f>
        <v/>
      </c>
      <c r="AZ36" t="str">
        <f ca="1">IF(AND(ISNUMBER($AZ$242),$B$208=1),$AZ$242,HLOOKUP(INDIRECT(ADDRESS(2,COLUMN())),OFFSET($BN$2,0,0,ROW()-1,60),ROW()-1,FALSE))</f>
        <v/>
      </c>
      <c r="BA36" t="str">
        <f ca="1">IF(AND(ISNUMBER($BA$242),$B$208=1),$BA$242,HLOOKUP(INDIRECT(ADDRESS(2,COLUMN())),OFFSET($BN$2,0,0,ROW()-1,60),ROW()-1,FALSE))</f>
        <v/>
      </c>
      <c r="BB36" t="str">
        <f ca="1">IF(AND(ISNUMBER($BB$242),$B$208=1),$BB$242,HLOOKUP(INDIRECT(ADDRESS(2,COLUMN())),OFFSET($BN$2,0,0,ROW()-1,60),ROW()-1,FALSE))</f>
        <v/>
      </c>
      <c r="BC36" t="str">
        <f ca="1">IF(AND(ISNUMBER($BC$242),$B$208=1),$BC$242,HLOOKUP(INDIRECT(ADDRESS(2,COLUMN())),OFFSET($BN$2,0,0,ROW()-1,60),ROW()-1,FALSE))</f>
        <v/>
      </c>
      <c r="BD36" t="str">
        <f ca="1">IF(AND(ISNUMBER($BD$242),$B$208=1),$BD$242,HLOOKUP(INDIRECT(ADDRESS(2,COLUMN())),OFFSET($BN$2,0,0,ROW()-1,60),ROW()-1,FALSE))</f>
        <v/>
      </c>
      <c r="BE36" t="str">
        <f ca="1">IF(AND(ISNUMBER($BE$242),$B$208=1),$BE$242,HLOOKUP(INDIRECT(ADDRESS(2,COLUMN())),OFFSET($BN$2,0,0,ROW()-1,60),ROW()-1,FALSE))</f>
        <v/>
      </c>
      <c r="BF36" t="str">
        <f ca="1">IF(AND(ISNUMBER($BF$242),$B$208=1),$BF$242,HLOOKUP(INDIRECT(ADDRESS(2,COLUMN())),OFFSET($BN$2,0,0,ROW()-1,60),ROW()-1,FALSE))</f>
        <v/>
      </c>
      <c r="BG36" t="str">
        <f ca="1">IF(AND(ISNUMBER($BG$242),$B$208=1),$BG$242,HLOOKUP(INDIRECT(ADDRESS(2,COLUMN())),OFFSET($BN$2,0,0,ROW()-1,60),ROW()-1,FALSE))</f>
        <v/>
      </c>
      <c r="BH36" t="str">
        <f ca="1">IF(AND(ISNUMBER($BH$242),$B$208=1),$BH$242,HLOOKUP(INDIRECT(ADDRESS(2,COLUMN())),OFFSET($BN$2,0,0,ROW()-1,60),ROW()-1,FALSE))</f>
        <v/>
      </c>
      <c r="BI36" t="str">
        <f ca="1">IF(AND(ISNUMBER($BI$242),$B$208=1),$BI$242,HLOOKUP(INDIRECT(ADDRESS(2,COLUMN())),OFFSET($BN$2,0,0,ROW()-1,60),ROW()-1,FALSE))</f>
        <v/>
      </c>
      <c r="BJ36" t="str">
        <f ca="1">IF(AND(ISNUMBER($BJ$242),$B$208=1),$BJ$242,HLOOKUP(INDIRECT(ADDRESS(2,COLUMN())),OFFSET($BN$2,0,0,ROW()-1,60),ROW()-1,FALSE))</f>
        <v/>
      </c>
      <c r="BK36" t="str">
        <f ca="1">IF(AND(ISNUMBER($BK$242),$B$208=1),$BK$242,HLOOKUP(INDIRECT(ADDRESS(2,COLUMN())),OFFSET($BN$2,0,0,ROW()-1,60),ROW()-1,FALSE))</f>
        <v/>
      </c>
      <c r="BL36" t="str">
        <f ca="1">IF(AND(ISNUMBER($BL$242),$B$208=1),$BL$242,HLOOKUP(INDIRECT(ADDRESS(2,COLUMN())),OFFSET($BN$2,0,0,ROW()-1,60),ROW()-1,FALSE))</f>
        <v/>
      </c>
      <c r="BM36" t="str">
        <f ca="1">IF(AND(ISNUMBER($BM$242),$B$208=1),$BM$242,HLOOKUP(INDIRECT(ADDRESS(2,COLUMN())),OFFSET($BN$2,0,0,ROW()-1,60),ROW()-1,FALSE))</f>
        <v/>
      </c>
      <c r="BN36" t="str">
        <f>""</f>
        <v/>
      </c>
      <c r="BO36" t="str">
        <f>""</f>
        <v/>
      </c>
      <c r="BP36" t="str">
        <f>""</f>
        <v/>
      </c>
      <c r="BQ36" t="str">
        <f>""</f>
        <v/>
      </c>
      <c r="BR36" t="str">
        <f>""</f>
        <v/>
      </c>
      <c r="BS36" t="str">
        <f>""</f>
        <v/>
      </c>
      <c r="BT36" t="str">
        <f>""</f>
        <v/>
      </c>
      <c r="BU36" t="str">
        <f>""</f>
        <v/>
      </c>
      <c r="BV36" t="str">
        <f>""</f>
        <v/>
      </c>
      <c r="BW36" t="str">
        <f>""</f>
        <v/>
      </c>
      <c r="BX36" t="str">
        <f>""</f>
        <v/>
      </c>
      <c r="BY36" t="str">
        <f>""</f>
        <v/>
      </c>
      <c r="BZ36" t="str">
        <f>""</f>
        <v/>
      </c>
      <c r="CA36" t="str">
        <f>""</f>
        <v/>
      </c>
      <c r="CB36" t="str">
        <f>""</f>
        <v/>
      </c>
      <c r="CC36" t="str">
        <f>""</f>
        <v/>
      </c>
      <c r="CD36" t="str">
        <f>""</f>
        <v/>
      </c>
      <c r="CE36" t="str">
        <f>""</f>
        <v/>
      </c>
      <c r="CF36" t="str">
        <f>""</f>
        <v/>
      </c>
      <c r="CG36" t="str">
        <f>""</f>
        <v/>
      </c>
      <c r="CH36" t="str">
        <f>""</f>
        <v/>
      </c>
      <c r="CI36" t="str">
        <f>""</f>
        <v/>
      </c>
      <c r="CJ36" t="str">
        <f>""</f>
        <v/>
      </c>
      <c r="CK36" t="str">
        <f>""</f>
        <v/>
      </c>
      <c r="CL36" t="str">
        <f>""</f>
        <v/>
      </c>
      <c r="CM36" t="str">
        <f>""</f>
        <v/>
      </c>
      <c r="CN36" t="str">
        <f>""</f>
        <v/>
      </c>
      <c r="CO36" t="str">
        <f>""</f>
        <v/>
      </c>
      <c r="CP36" t="str">
        <f>""</f>
        <v/>
      </c>
      <c r="CQ36" t="str">
        <f>""</f>
        <v/>
      </c>
      <c r="CR36" t="str">
        <f>""</f>
        <v/>
      </c>
      <c r="CS36" t="str">
        <f>""</f>
        <v/>
      </c>
      <c r="CT36" t="str">
        <f>""</f>
        <v/>
      </c>
      <c r="CU36" t="str">
        <f>""</f>
        <v/>
      </c>
      <c r="CV36" t="str">
        <f>""</f>
        <v/>
      </c>
      <c r="CW36" t="str">
        <f>""</f>
        <v/>
      </c>
      <c r="CX36" t="str">
        <f>""</f>
        <v/>
      </c>
      <c r="CY36" t="str">
        <f>""</f>
        <v/>
      </c>
      <c r="CZ36" t="str">
        <f>""</f>
        <v/>
      </c>
      <c r="DA36" t="str">
        <f>""</f>
        <v/>
      </c>
      <c r="DB36" t="str">
        <f>""</f>
        <v/>
      </c>
      <c r="DC36" t="str">
        <f>""</f>
        <v/>
      </c>
      <c r="DD36" t="str">
        <f>""</f>
        <v/>
      </c>
      <c r="DE36" t="str">
        <f>""</f>
        <v/>
      </c>
      <c r="DF36" t="str">
        <f>""</f>
        <v/>
      </c>
      <c r="DG36" t="str">
        <f>""</f>
        <v/>
      </c>
      <c r="DH36" t="str">
        <f>""</f>
        <v/>
      </c>
      <c r="DI36" t="str">
        <f>""</f>
        <v/>
      </c>
      <c r="DJ36" t="str">
        <f>""</f>
        <v/>
      </c>
      <c r="DK36" t="str">
        <f>""</f>
        <v/>
      </c>
      <c r="DL36" t="str">
        <f>""</f>
        <v/>
      </c>
      <c r="DM36" t="str">
        <f>""</f>
        <v/>
      </c>
      <c r="DN36" t="str">
        <f>""</f>
        <v/>
      </c>
      <c r="DO36" t="str">
        <f>""</f>
        <v/>
      </c>
      <c r="DP36" t="str">
        <f>""</f>
        <v/>
      </c>
      <c r="DQ36" t="str">
        <f>""</f>
        <v/>
      </c>
      <c r="DR36" t="str">
        <f>""</f>
        <v/>
      </c>
      <c r="DS36" t="str">
        <f>""</f>
        <v/>
      </c>
      <c r="DT36" t="str">
        <f>""</f>
        <v/>
      </c>
      <c r="DU36" t="str">
        <f>""</f>
        <v/>
      </c>
    </row>
    <row r="37" spans="1:125" x14ac:dyDescent="0.25">
      <c r="A37" t="str">
        <f>"    Societe Generale SA"</f>
        <v xml:space="preserve">    Societe Generale SA</v>
      </c>
      <c r="B37" t="str">
        <f>"GLE FP Equity"</f>
        <v>GLE FP Equity</v>
      </c>
      <c r="C37" t="str">
        <f t="shared" si="0"/>
        <v>BM105</v>
      </c>
      <c r="D37" t="str">
        <f t="shared" si="1"/>
        <v>BS_TRADING_ASSETS</v>
      </c>
      <c r="E37" t="str">
        <f t="shared" si="2"/>
        <v>Dynamic</v>
      </c>
      <c r="F37">
        <f ca="1">IF(AND(ISNUMBER($F$243),$B$208=1),$F$243,HLOOKUP(INDIRECT(ADDRESS(2,COLUMN())),OFFSET($BN$2,0,0,ROW()-1,60),ROW()-1,FALSE))</f>
        <v>526048</v>
      </c>
      <c r="G37">
        <f ca="1">IF(AND(ISNUMBER($G$243),$B$208=1),$G$243,HLOOKUP(INDIRECT(ADDRESS(2,COLUMN())),OFFSET($BN$2,0,0,ROW()-1,60),ROW()-1,FALSE))</f>
        <v>528259</v>
      </c>
      <c r="H37">
        <f ca="1">IF(AND(ISNUMBER($H$243),$B$208=1),$H$243,HLOOKUP(INDIRECT(ADDRESS(2,COLUMN())),OFFSET($BN$2,0,0,ROW()-1,60),ROW()-1,FALSE))</f>
        <v>530826</v>
      </c>
      <c r="I37">
        <f ca="1">IF(AND(ISNUMBER($I$243),$B$208=1),$I$243,HLOOKUP(INDIRECT(ADDRESS(2,COLUMN())),OFFSET($BN$2,0,0,ROW()-1,60),ROW()-1,FALSE))</f>
        <v>531406</v>
      </c>
      <c r="J37">
        <f ca="1">IF(AND(ISNUMBER($J$243),$B$208=1),$J$243,HLOOKUP(INDIRECT(ADDRESS(2,COLUMN())),OFFSET($BN$2,0,0,ROW()-1,60),ROW()-1,FALSE))</f>
        <v>495882</v>
      </c>
      <c r="K37">
        <f ca="1">IF(AND(ISNUMBER($K$243),$B$208=1),$K$243,HLOOKUP(INDIRECT(ADDRESS(2,COLUMN())),OFFSET($BN$2,0,0,ROW()-1,60),ROW()-1,FALSE))</f>
        <v>490511</v>
      </c>
      <c r="L37">
        <f ca="1">IF(AND(ISNUMBER($L$243),$B$208=1),$L$243,HLOOKUP(INDIRECT(ADDRESS(2,COLUMN())),OFFSET($BN$2,0,0,ROW()-1,60),ROW()-1,FALSE))</f>
        <v>496362</v>
      </c>
      <c r="M37">
        <f ca="1">IF(AND(ISNUMBER($M$243),$B$208=1),$M$243,HLOOKUP(INDIRECT(ADDRESS(2,COLUMN())),OFFSET($BN$2,0,0,ROW()-1,60),ROW()-1,FALSE))</f>
        <v>494709</v>
      </c>
      <c r="N37">
        <f ca="1">IF(AND(ISNUMBER($N$243),$B$208=1),$N$243,HLOOKUP(INDIRECT(ADDRESS(2,COLUMN())),OFFSET($BN$2,0,0,ROW()-1,60),ROW()-1,FALSE))</f>
        <v>427151</v>
      </c>
      <c r="O37">
        <f ca="1">IF(AND(ISNUMBER($O$243),$B$208=1),$O$243,HLOOKUP(INDIRECT(ADDRESS(2,COLUMN())),OFFSET($BN$2,0,0,ROW()-1,60),ROW()-1,FALSE))</f>
        <v>396846</v>
      </c>
      <c r="P37">
        <f ca="1">IF(AND(ISNUMBER($P$243),$B$208=1),$P$243,HLOOKUP(INDIRECT(ADDRESS(2,COLUMN())),OFFSET($BN$2,0,0,ROW()-1,60),ROW()-1,FALSE))</f>
        <v>380165</v>
      </c>
      <c r="Q37">
        <f ca="1">IF(AND(ISNUMBER($Q$243),$B$208=1),$Q$243,HLOOKUP(INDIRECT(ADDRESS(2,COLUMN())),OFFSET($BN$2,0,0,ROW()-1,60),ROW()-1,FALSE))</f>
        <v>419946</v>
      </c>
      <c r="R37">
        <f ca="1">IF(AND(ISNUMBER($R$243),$B$208=1),$R$243,HLOOKUP(INDIRECT(ADDRESS(2,COLUMN())),OFFSET($BN$2,0,0,ROW()-1,60),ROW()-1,FALSE))</f>
        <v>342714</v>
      </c>
      <c r="S37">
        <f ca="1">IF(AND(ISNUMBER($S$243),$B$208=1),$S$243,HLOOKUP(INDIRECT(ADDRESS(2,COLUMN())),OFFSET($BN$2,0,0,ROW()-1,60),ROW()-1,FALSE))</f>
        <v>436594</v>
      </c>
      <c r="T37">
        <f ca="1">IF(AND(ISNUMBER($T$243),$B$208=1),$T$243,HLOOKUP(INDIRECT(ADDRESS(2,COLUMN())),OFFSET($BN$2,0,0,ROW()-1,60),ROW()-1,FALSE))</f>
        <v>440774</v>
      </c>
      <c r="U37">
        <f ca="1">IF(AND(ISNUMBER($U$243),$B$208=1),$U$243,HLOOKUP(INDIRECT(ADDRESS(2,COLUMN())),OFFSET($BN$2,0,0,ROW()-1,60),ROW()-1,FALSE))</f>
        <v>445009</v>
      </c>
      <c r="V37">
        <f ca="1">IF(AND(ISNUMBER($V$243),$B$208=1),$V$243,HLOOKUP(INDIRECT(ADDRESS(2,COLUMN())),OFFSET($BN$2,0,0,ROW()-1,60),ROW()-1,FALSE))</f>
        <v>429458</v>
      </c>
      <c r="W37">
        <f ca="1">IF(AND(ISNUMBER($W$243),$B$208=1),$W$243,HLOOKUP(INDIRECT(ADDRESS(2,COLUMN())),OFFSET($BN$2,0,0,ROW()-1,60),ROW()-1,FALSE))</f>
        <v>435295</v>
      </c>
      <c r="X37">
        <f ca="1">IF(AND(ISNUMBER($X$243),$B$208=1),$X$243,HLOOKUP(INDIRECT(ADDRESS(2,COLUMN())),OFFSET($BN$2,0,0,ROW()-1,60),ROW()-1,FALSE))</f>
        <v>419147</v>
      </c>
      <c r="Y37">
        <f ca="1">IF(AND(ISNUMBER($Y$243),$B$208=1),$Y$243,HLOOKUP(INDIRECT(ADDRESS(2,COLUMN())),OFFSET($BN$2,0,0,ROW()-1,60),ROW()-1,FALSE))</f>
        <v>464642</v>
      </c>
      <c r="Z37">
        <f ca="1">IF(AND(ISNUMBER($Z$243),$B$208=1),$Z$243,HLOOKUP(INDIRECT(ADDRESS(2,COLUMN())),OFFSET($BN$2,0,0,ROW()-1,60),ROW()-1,FALSE))</f>
        <v>385739</v>
      </c>
      <c r="AA37">
        <f ca="1">IF(AND(ISNUMBER($AA$243),$B$208=1),$AA$243,HLOOKUP(INDIRECT(ADDRESS(2,COLUMN())),OFFSET($BN$2,0,0,ROW()-1,60),ROW()-1,FALSE))</f>
        <v>434042</v>
      </c>
      <c r="AB37">
        <f ca="1">IF(AND(ISNUMBER($AB$243),$B$208=1),$AB$243,HLOOKUP(INDIRECT(ADDRESS(2,COLUMN())),OFFSET($BN$2,0,0,ROW()-1,60),ROW()-1,FALSE))</f>
        <v>420968</v>
      </c>
      <c r="AC37">
        <f ca="1">IF(AND(ISNUMBER($AC$243),$B$208=1),$AC$243,HLOOKUP(INDIRECT(ADDRESS(2,COLUMN())),OFFSET($BN$2,0,0,ROW()-1,60),ROW()-1,FALSE))</f>
        <v>406414</v>
      </c>
      <c r="AD37">
        <f ca="1">IF(AND(ISNUMBER($AD$243),$B$208=1),$AD$243,HLOOKUP(INDIRECT(ADDRESS(2,COLUMN())),OFFSET($BN$2,0,0,ROW()-1,60),ROW()-1,FALSE))</f>
        <v>365550</v>
      </c>
      <c r="AE37">
        <f ca="1">IF(AND(ISNUMBER($AE$243),$B$208=1),$AE$243,HLOOKUP(INDIRECT(ADDRESS(2,COLUMN())),OFFSET($BN$2,0,0,ROW()-1,60),ROW()-1,FALSE))</f>
        <v>373844</v>
      </c>
      <c r="AF37">
        <f ca="1">IF(AND(ISNUMBER($AF$243),$B$208=1),$AF$243,HLOOKUP(INDIRECT(ADDRESS(2,COLUMN())),OFFSET($BN$2,0,0,ROW()-1,60),ROW()-1,FALSE))</f>
        <v>382656</v>
      </c>
      <c r="AG37">
        <f ca="1">IF(AND(ISNUMBER($AG$243),$B$208=1),$AG$243,HLOOKUP(INDIRECT(ADDRESS(2,COLUMN())),OFFSET($BN$2,0,0,ROW()-1,60),ROW()-1,FALSE))</f>
        <v>367600</v>
      </c>
      <c r="AH37">
        <f ca="1">IF(AND(ISNUMBER($AH$243),$B$208=1),$AH$243,HLOOKUP(INDIRECT(ADDRESS(2,COLUMN())),OFFSET($BN$2,0,0,ROW()-1,60),ROW()-1,FALSE))</f>
        <v>419680</v>
      </c>
      <c r="AI37">
        <f ca="1">IF(AND(ISNUMBER($AI$243),$B$208=1),$AI$243,HLOOKUP(INDIRECT(ADDRESS(2,COLUMN())),OFFSET($BN$2,0,0,ROW()-1,60),ROW()-1,FALSE))</f>
        <v>490100</v>
      </c>
      <c r="AJ37">
        <f ca="1">IF(AND(ISNUMBER($AJ$243),$B$208=1),$AJ$243,HLOOKUP(INDIRECT(ADDRESS(2,COLUMN())),OFFSET($BN$2,0,0,ROW()-1,60),ROW()-1,FALSE))</f>
        <v>484746</v>
      </c>
      <c r="AK37">
        <f ca="1">IF(AND(ISNUMBER($AK$243),$B$208=1),$AK$243,HLOOKUP(INDIRECT(ADDRESS(2,COLUMN())),OFFSET($BN$2,0,0,ROW()-1,60),ROW()-1,FALSE))</f>
        <v>514900</v>
      </c>
      <c r="AL37">
        <f ca="1">IF(AND(ISNUMBER($AL$243),$B$208=1),$AL$243,HLOOKUP(INDIRECT(ADDRESS(2,COLUMN())),OFFSET($BN$2,0,0,ROW()-1,60),ROW()-1,FALSE))</f>
        <v>514715</v>
      </c>
      <c r="AM37">
        <f ca="1">IF(AND(ISNUMBER($AM$243),$B$208=1),$AM$243,HLOOKUP(INDIRECT(ADDRESS(2,COLUMN())),OFFSET($BN$2,0,0,ROW()-1,60),ROW()-1,FALSE))</f>
        <v>542300</v>
      </c>
      <c r="AN37">
        <f ca="1">IF(AND(ISNUMBER($AN$243),$B$208=1),$AN$243,HLOOKUP(INDIRECT(ADDRESS(2,COLUMN())),OFFSET($BN$2,0,0,ROW()-1,60),ROW()-1,FALSE))</f>
        <v>560281</v>
      </c>
      <c r="AO37">
        <f ca="1">IF(AND(ISNUMBER($AO$243),$B$208=1),$AO$243,HLOOKUP(INDIRECT(ADDRESS(2,COLUMN())),OFFSET($BN$2,0,0,ROW()-1,60),ROW()-1,FALSE))</f>
        <v>534200</v>
      </c>
      <c r="AP37">
        <f ca="1">IF(AND(ISNUMBER($AP$243),$B$208=1),$AP$243,HLOOKUP(INDIRECT(ADDRESS(2,COLUMN())),OFFSET($BN$2,0,0,ROW()-1,60),ROW()-1,FALSE))</f>
        <v>519600</v>
      </c>
      <c r="AQ37">
        <f ca="1">IF(AND(ISNUMBER($AQ$243),$B$208=1),$AQ$243,HLOOKUP(INDIRECT(ADDRESS(2,COLUMN())),OFFSET($BN$2,0,0,ROW()-1,60),ROW()-1,FALSE))</f>
        <v>513900</v>
      </c>
      <c r="AR37">
        <f ca="1">IF(AND(ISNUMBER($AR$243),$B$208=1),$AR$243,HLOOKUP(INDIRECT(ADDRESS(2,COLUMN())),OFFSET($BN$2,0,0,ROW()-1,60),ROW()-1,FALSE))</f>
        <v>527964</v>
      </c>
      <c r="AS37">
        <f ca="1">IF(AND(ISNUMBER($AS$243),$B$208=1),$AS$243,HLOOKUP(INDIRECT(ADDRESS(2,COLUMN())),OFFSET($BN$2,0,0,ROW()-1,60),ROW()-1,FALSE))</f>
        <v>595900</v>
      </c>
      <c r="AT37">
        <f ca="1">IF(AND(ISNUMBER($AT$243),$B$208=1),$AT$243,HLOOKUP(INDIRECT(ADDRESS(2,COLUMN())),OFFSET($BN$2,0,0,ROW()-1,60),ROW()-1,FALSE))</f>
        <v>530536</v>
      </c>
      <c r="AU37">
        <f ca="1">IF(AND(ISNUMBER($AU$243),$B$208=1),$AU$243,HLOOKUP(INDIRECT(ADDRESS(2,COLUMN())),OFFSET($BN$2,0,0,ROW()-1,60),ROW()-1,FALSE))</f>
        <v>514000</v>
      </c>
      <c r="AV37">
        <f ca="1">IF(AND(ISNUMBER($AV$243),$B$208=1),$AV$243,HLOOKUP(INDIRECT(ADDRESS(2,COLUMN())),OFFSET($BN$2,0,0,ROW()-1,60),ROW()-1,FALSE))</f>
        <v>563826</v>
      </c>
      <c r="AW37">
        <f ca="1">IF(AND(ISNUMBER($AW$243),$B$208=1),$AW$243,HLOOKUP(INDIRECT(ADDRESS(2,COLUMN())),OFFSET($BN$2,0,0,ROW()-1,60),ROW()-1,FALSE))</f>
        <v>544600</v>
      </c>
      <c r="AX37">
        <f ca="1">IF(AND(ISNUMBER($AX$243),$B$208=1),$AX$243,HLOOKUP(INDIRECT(ADDRESS(2,COLUMN())),OFFSET($BN$2,0,0,ROW()-1,60),ROW()-1,FALSE))</f>
        <v>479112</v>
      </c>
      <c r="AY37">
        <f ca="1">IF(AND(ISNUMBER($AY$243),$B$208=1),$AY$243,HLOOKUP(INDIRECT(ADDRESS(2,COLUMN())),OFFSET($BN$2,0,0,ROW()-1,60),ROW()-1,FALSE))</f>
        <v>498400</v>
      </c>
      <c r="AZ37">
        <f ca="1">IF(AND(ISNUMBER($AZ$243),$B$208=1),$AZ$243,HLOOKUP(INDIRECT(ADDRESS(2,COLUMN())),OFFSET($BN$2,0,0,ROW()-1,60),ROW()-1,FALSE))</f>
        <v>482359</v>
      </c>
      <c r="BA37">
        <f ca="1">IF(AND(ISNUMBER($BA$243),$B$208=1),$BA$243,HLOOKUP(INDIRECT(ADDRESS(2,COLUMN())),OFFSET($BN$2,0,0,ROW()-1,60),ROW()-1,FALSE))</f>
        <v>479300</v>
      </c>
      <c r="BB37">
        <f ca="1">IF(AND(ISNUMBER($BB$243),$B$208=1),$BB$243,HLOOKUP(INDIRECT(ADDRESS(2,COLUMN())),OFFSET($BN$2,0,0,ROW()-1,60),ROW()-1,FALSE))</f>
        <v>484026</v>
      </c>
      <c r="BC37">
        <f ca="1">IF(AND(ISNUMBER($BC$243),$B$208=1),$BC$243,HLOOKUP(INDIRECT(ADDRESS(2,COLUMN())),OFFSET($BN$2,0,0,ROW()-1,60),ROW()-1,FALSE))</f>
        <v>477800</v>
      </c>
      <c r="BD37">
        <f ca="1">IF(AND(ISNUMBER($BD$243),$B$208=1),$BD$243,HLOOKUP(INDIRECT(ADDRESS(2,COLUMN())),OFFSET($BN$2,0,0,ROW()-1,60),ROW()-1,FALSE))</f>
        <v>472254</v>
      </c>
      <c r="BE37">
        <f ca="1">IF(AND(ISNUMBER($BE$243),$B$208=1),$BE$243,HLOOKUP(INDIRECT(ADDRESS(2,COLUMN())),OFFSET($BN$2,0,0,ROW()-1,60),ROW()-1,FALSE))</f>
        <v>445900</v>
      </c>
      <c r="BF37">
        <f ca="1">IF(AND(ISNUMBER($BF$243),$B$208=1),$BF$243,HLOOKUP(INDIRECT(ADDRESS(2,COLUMN())),OFFSET($BN$2,0,0,ROW()-1,60),ROW()-1,FALSE))</f>
        <v>422494</v>
      </c>
      <c r="BG37">
        <f ca="1">IF(AND(ISNUMBER($BG$243),$B$208=1),$BG$243,HLOOKUP(INDIRECT(ADDRESS(2,COLUMN())),OFFSET($BN$2,0,0,ROW()-1,60),ROW()-1,FALSE))</f>
        <v>475100</v>
      </c>
      <c r="BH37">
        <f ca="1">IF(AND(ISNUMBER($BH$243),$B$208=1),$BH$243,HLOOKUP(INDIRECT(ADDRESS(2,COLUMN())),OFFSET($BN$2,0,0,ROW()-1,60),ROW()-1,FALSE))</f>
        <v>430974</v>
      </c>
      <c r="BI37">
        <f ca="1">IF(AND(ISNUMBER($BI$243),$B$208=1),$BI$243,HLOOKUP(INDIRECT(ADDRESS(2,COLUMN())),OFFSET($BN$2,0,0,ROW()-1,60),ROW()-1,FALSE))</f>
        <v>440300</v>
      </c>
      <c r="BJ37">
        <f ca="1">IF(AND(ISNUMBER($BJ$243),$B$208=1),$BJ$243,HLOOKUP(INDIRECT(ADDRESS(2,COLUMN())),OFFSET($BN$2,0,0,ROW()-1,60),ROW()-1,FALSE))</f>
        <v>455160</v>
      </c>
      <c r="BK37">
        <f ca="1">IF(AND(ISNUMBER($BK$243),$B$208=1),$BK$243,HLOOKUP(INDIRECT(ADDRESS(2,COLUMN())),OFFSET($BN$2,0,0,ROW()-1,60),ROW()-1,FALSE))</f>
        <v>481800</v>
      </c>
      <c r="BL37">
        <f ca="1">IF(AND(ISNUMBER($BL$243),$B$208=1),$BL$243,HLOOKUP(INDIRECT(ADDRESS(2,COLUMN())),OFFSET($BN$2,0,0,ROW()-1,60),ROW()-1,FALSE))</f>
        <v>460526</v>
      </c>
      <c r="BM37" t="str">
        <f ca="1">IF(AND(ISNUMBER($BM$243),$B$208=1),$BM$243,HLOOKUP(INDIRECT(ADDRESS(2,COLUMN())),OFFSET($BN$2,0,0,ROW()-1,60),ROW()-1,FALSE))</f>
        <v/>
      </c>
      <c r="BN37">
        <f>526048</f>
        <v>526048</v>
      </c>
      <c r="BO37">
        <f>528259</f>
        <v>528259</v>
      </c>
      <c r="BP37">
        <f>530826</f>
        <v>530826</v>
      </c>
      <c r="BQ37">
        <f>531406</f>
        <v>531406</v>
      </c>
      <c r="BR37">
        <f>495882</f>
        <v>495882</v>
      </c>
      <c r="BS37">
        <f>490511</f>
        <v>490511</v>
      </c>
      <c r="BT37">
        <f>496362</f>
        <v>496362</v>
      </c>
      <c r="BU37">
        <f>494709</f>
        <v>494709</v>
      </c>
      <c r="BV37">
        <f>427151</f>
        <v>427151</v>
      </c>
      <c r="BW37">
        <f>396846</f>
        <v>396846</v>
      </c>
      <c r="BX37">
        <f>380165</f>
        <v>380165</v>
      </c>
      <c r="BY37">
        <f>419946</f>
        <v>419946</v>
      </c>
      <c r="BZ37">
        <f>342714</f>
        <v>342714</v>
      </c>
      <c r="CA37">
        <f>436594</f>
        <v>436594</v>
      </c>
      <c r="CB37">
        <f>440774</f>
        <v>440774</v>
      </c>
      <c r="CC37">
        <f>445009</f>
        <v>445009</v>
      </c>
      <c r="CD37">
        <f>429458</f>
        <v>429458</v>
      </c>
      <c r="CE37">
        <f>435295</f>
        <v>435295</v>
      </c>
      <c r="CF37">
        <f>419147</f>
        <v>419147</v>
      </c>
      <c r="CG37">
        <f>464642</f>
        <v>464642</v>
      </c>
      <c r="CH37">
        <f>385739</f>
        <v>385739</v>
      </c>
      <c r="CI37">
        <f>434042</f>
        <v>434042</v>
      </c>
      <c r="CJ37">
        <f>420968</f>
        <v>420968</v>
      </c>
      <c r="CK37">
        <f>406414</f>
        <v>406414</v>
      </c>
      <c r="CL37">
        <f>365550</f>
        <v>365550</v>
      </c>
      <c r="CM37">
        <f>373844</f>
        <v>373844</v>
      </c>
      <c r="CN37">
        <f>382656</f>
        <v>382656</v>
      </c>
      <c r="CO37">
        <f>367600</f>
        <v>367600</v>
      </c>
      <c r="CP37">
        <f>419680</f>
        <v>419680</v>
      </c>
      <c r="CQ37">
        <f>490100</f>
        <v>490100</v>
      </c>
      <c r="CR37">
        <f>484746</f>
        <v>484746</v>
      </c>
      <c r="CS37">
        <f>514900</f>
        <v>514900</v>
      </c>
      <c r="CT37">
        <f>514715</f>
        <v>514715</v>
      </c>
      <c r="CU37">
        <f>542300</f>
        <v>542300</v>
      </c>
      <c r="CV37">
        <f>560281</f>
        <v>560281</v>
      </c>
      <c r="CW37">
        <f>534200</f>
        <v>534200</v>
      </c>
      <c r="CX37">
        <f>519600</f>
        <v>519600</v>
      </c>
      <c r="CY37">
        <f>513900</f>
        <v>513900</v>
      </c>
      <c r="CZ37">
        <f>527964</f>
        <v>527964</v>
      </c>
      <c r="DA37">
        <f>595900</f>
        <v>595900</v>
      </c>
      <c r="DB37">
        <f>530536</f>
        <v>530536</v>
      </c>
      <c r="DC37">
        <f>514000</f>
        <v>514000</v>
      </c>
      <c r="DD37">
        <f>563826</f>
        <v>563826</v>
      </c>
      <c r="DE37">
        <f>544600</f>
        <v>544600</v>
      </c>
      <c r="DF37">
        <f>479112</f>
        <v>479112</v>
      </c>
      <c r="DG37">
        <f>498400</f>
        <v>498400</v>
      </c>
      <c r="DH37">
        <f>482359</f>
        <v>482359</v>
      </c>
      <c r="DI37">
        <f>479300</f>
        <v>479300</v>
      </c>
      <c r="DJ37">
        <f>484026</f>
        <v>484026</v>
      </c>
      <c r="DK37">
        <f>477800</f>
        <v>477800</v>
      </c>
      <c r="DL37">
        <f>472254</f>
        <v>472254</v>
      </c>
      <c r="DM37">
        <f>445900</f>
        <v>445900</v>
      </c>
      <c r="DN37">
        <f>422494</f>
        <v>422494</v>
      </c>
      <c r="DO37">
        <f>475100</f>
        <v>475100</v>
      </c>
      <c r="DP37">
        <f>430974</f>
        <v>430974</v>
      </c>
      <c r="DQ37">
        <f>440300</f>
        <v>440300</v>
      </c>
      <c r="DR37">
        <f>455160</f>
        <v>455160</v>
      </c>
      <c r="DS37">
        <f>481800</f>
        <v>481800</v>
      </c>
      <c r="DT37">
        <f>460526</f>
        <v>460526</v>
      </c>
      <c r="DU37" t="str">
        <f>""</f>
        <v/>
      </c>
    </row>
    <row r="38" spans="1:125" x14ac:dyDescent="0.25">
      <c r="A38" t="str">
        <f>"    Standard Chartered PLC"</f>
        <v xml:space="preserve">    Standard Chartered PLC</v>
      </c>
      <c r="B38" t="str">
        <f>"STAN LN Equity"</f>
        <v>STAN LN Equity</v>
      </c>
      <c r="C38" t="str">
        <f t="shared" si="0"/>
        <v>BM105</v>
      </c>
      <c r="D38" t="str">
        <f t="shared" si="1"/>
        <v>BS_TRADING_ASSETS</v>
      </c>
      <c r="E38" t="str">
        <f t="shared" si="2"/>
        <v>Dynamic</v>
      </c>
      <c r="F38" t="str">
        <f ca="1">IF(AND(ISNUMBER($F$244),$B$208=1),$F$244,HLOOKUP(INDIRECT(ADDRESS(2,COLUMN())),OFFSET($BN$2,0,0,ROW()-1,60),ROW()-1,FALSE))</f>
        <v/>
      </c>
      <c r="G38" t="str">
        <f ca="1">IF(AND(ISNUMBER($G$244),$B$208=1),$G$244,HLOOKUP(INDIRECT(ADDRESS(2,COLUMN())),OFFSET($BN$2,0,0,ROW()-1,60),ROW()-1,FALSE))</f>
        <v/>
      </c>
      <c r="H38" t="str">
        <f ca="1">IF(AND(ISNUMBER($H$244),$B$208=1),$H$244,HLOOKUP(INDIRECT(ADDRESS(2,COLUMN())),OFFSET($BN$2,0,0,ROW()-1,60),ROW()-1,FALSE))</f>
        <v/>
      </c>
      <c r="I38" t="str">
        <f ca="1">IF(AND(ISNUMBER($I$244),$B$208=1),$I$244,HLOOKUP(INDIRECT(ADDRESS(2,COLUMN())),OFFSET($BN$2,0,0,ROW()-1,60),ROW()-1,FALSE))</f>
        <v/>
      </c>
      <c r="J38" t="str">
        <f ca="1">IF(AND(ISNUMBER($J$244),$B$208=1),$J$244,HLOOKUP(INDIRECT(ADDRESS(2,COLUMN())),OFFSET($BN$2,0,0,ROW()-1,60),ROW()-1,FALSE))</f>
        <v/>
      </c>
      <c r="K38" t="str">
        <f ca="1">IF(AND(ISNUMBER($K$244),$B$208=1),$K$244,HLOOKUP(INDIRECT(ADDRESS(2,COLUMN())),OFFSET($BN$2,0,0,ROW()-1,60),ROW()-1,FALSE))</f>
        <v/>
      </c>
      <c r="L38" t="str">
        <f ca="1">IF(AND(ISNUMBER($L$244),$B$208=1),$L$244,HLOOKUP(INDIRECT(ADDRESS(2,COLUMN())),OFFSET($BN$2,0,0,ROW()-1,60),ROW()-1,FALSE))</f>
        <v/>
      </c>
      <c r="M38" t="str">
        <f ca="1">IF(AND(ISNUMBER($M$244),$B$208=1),$M$244,HLOOKUP(INDIRECT(ADDRESS(2,COLUMN())),OFFSET($BN$2,0,0,ROW()-1,60),ROW()-1,FALSE))</f>
        <v/>
      </c>
      <c r="N38" t="str">
        <f ca="1">IF(AND(ISNUMBER($N$244),$B$208=1),$N$244,HLOOKUP(INDIRECT(ADDRESS(2,COLUMN())),OFFSET($BN$2,0,0,ROW()-1,60),ROW()-1,FALSE))</f>
        <v/>
      </c>
      <c r="O38" t="str">
        <f ca="1">IF(AND(ISNUMBER($O$244),$B$208=1),$O$244,HLOOKUP(INDIRECT(ADDRESS(2,COLUMN())),OFFSET($BN$2,0,0,ROW()-1,60),ROW()-1,FALSE))</f>
        <v/>
      </c>
      <c r="P38" t="str">
        <f ca="1">IF(AND(ISNUMBER($P$244),$B$208=1),$P$244,HLOOKUP(INDIRECT(ADDRESS(2,COLUMN())),OFFSET($BN$2,0,0,ROW()-1,60),ROW()-1,FALSE))</f>
        <v/>
      </c>
      <c r="Q38" t="str">
        <f ca="1">IF(AND(ISNUMBER($Q$244),$B$208=1),$Q$244,HLOOKUP(INDIRECT(ADDRESS(2,COLUMN())),OFFSET($BN$2,0,0,ROW()-1,60),ROW()-1,FALSE))</f>
        <v/>
      </c>
      <c r="R38" t="str">
        <f ca="1">IF(AND(ISNUMBER($R$244),$B$208=1),$R$244,HLOOKUP(INDIRECT(ADDRESS(2,COLUMN())),OFFSET($BN$2,0,0,ROW()-1,60),ROW()-1,FALSE))</f>
        <v/>
      </c>
      <c r="S38" t="str">
        <f ca="1">IF(AND(ISNUMBER($S$244),$B$208=1),$S$244,HLOOKUP(INDIRECT(ADDRESS(2,COLUMN())),OFFSET($BN$2,0,0,ROW()-1,60),ROW()-1,FALSE))</f>
        <v/>
      </c>
      <c r="T38" t="str">
        <f ca="1">IF(AND(ISNUMBER($T$244),$B$208=1),$T$244,HLOOKUP(INDIRECT(ADDRESS(2,COLUMN())),OFFSET($BN$2,0,0,ROW()-1,60),ROW()-1,FALSE))</f>
        <v/>
      </c>
      <c r="U38" t="str">
        <f ca="1">IF(AND(ISNUMBER($U$244),$B$208=1),$U$244,HLOOKUP(INDIRECT(ADDRESS(2,COLUMN())),OFFSET($BN$2,0,0,ROW()-1,60),ROW()-1,FALSE))</f>
        <v/>
      </c>
      <c r="V38" t="str">
        <f ca="1">IF(AND(ISNUMBER($V$244),$B$208=1),$V$244,HLOOKUP(INDIRECT(ADDRESS(2,COLUMN())),OFFSET($BN$2,0,0,ROW()-1,60),ROW()-1,FALSE))</f>
        <v/>
      </c>
      <c r="W38" t="str">
        <f ca="1">IF(AND(ISNUMBER($W$244),$B$208=1),$W$244,HLOOKUP(INDIRECT(ADDRESS(2,COLUMN())),OFFSET($BN$2,0,0,ROW()-1,60),ROW()-1,FALSE))</f>
        <v/>
      </c>
      <c r="X38" t="str">
        <f ca="1">IF(AND(ISNUMBER($X$244),$B$208=1),$X$244,HLOOKUP(INDIRECT(ADDRESS(2,COLUMN())),OFFSET($BN$2,0,0,ROW()-1,60),ROW()-1,FALSE))</f>
        <v/>
      </c>
      <c r="Y38" t="str">
        <f ca="1">IF(AND(ISNUMBER($Y$244),$B$208=1),$Y$244,HLOOKUP(INDIRECT(ADDRESS(2,COLUMN())),OFFSET($BN$2,0,0,ROW()-1,60),ROW()-1,FALSE))</f>
        <v/>
      </c>
      <c r="Z38" t="str">
        <f ca="1">IF(AND(ISNUMBER($Z$244),$B$208=1),$Z$244,HLOOKUP(INDIRECT(ADDRESS(2,COLUMN())),OFFSET($BN$2,0,0,ROW()-1,60),ROW()-1,FALSE))</f>
        <v/>
      </c>
      <c r="AA38" t="str">
        <f ca="1">IF(AND(ISNUMBER($AA$244),$B$208=1),$AA$244,HLOOKUP(INDIRECT(ADDRESS(2,COLUMN())),OFFSET($BN$2,0,0,ROW()-1,60),ROW()-1,FALSE))</f>
        <v/>
      </c>
      <c r="AB38" t="str">
        <f ca="1">IF(AND(ISNUMBER($AB$244),$B$208=1),$AB$244,HLOOKUP(INDIRECT(ADDRESS(2,COLUMN())),OFFSET($BN$2,0,0,ROW()-1,60),ROW()-1,FALSE))</f>
        <v/>
      </c>
      <c r="AC38" t="str">
        <f ca="1">IF(AND(ISNUMBER($AC$244),$B$208=1),$AC$244,HLOOKUP(INDIRECT(ADDRESS(2,COLUMN())),OFFSET($BN$2,0,0,ROW()-1,60),ROW()-1,FALSE))</f>
        <v/>
      </c>
      <c r="AD38" t="str">
        <f ca="1">IF(AND(ISNUMBER($AD$244),$B$208=1),$AD$244,HLOOKUP(INDIRECT(ADDRESS(2,COLUMN())),OFFSET($BN$2,0,0,ROW()-1,60),ROW()-1,FALSE))</f>
        <v/>
      </c>
      <c r="AE38" t="str">
        <f ca="1">IF(AND(ISNUMBER($AE$244),$B$208=1),$AE$244,HLOOKUP(INDIRECT(ADDRESS(2,COLUMN())),OFFSET($BN$2,0,0,ROW()-1,60),ROW()-1,FALSE))</f>
        <v/>
      </c>
      <c r="AF38" t="str">
        <f ca="1">IF(AND(ISNUMBER($AF$244),$B$208=1),$AF$244,HLOOKUP(INDIRECT(ADDRESS(2,COLUMN())),OFFSET($BN$2,0,0,ROW()-1,60),ROW()-1,FALSE))</f>
        <v/>
      </c>
      <c r="AG38" t="str">
        <f ca="1">IF(AND(ISNUMBER($AG$244),$B$208=1),$AG$244,HLOOKUP(INDIRECT(ADDRESS(2,COLUMN())),OFFSET($BN$2,0,0,ROW()-1,60),ROW()-1,FALSE))</f>
        <v/>
      </c>
      <c r="AH38" t="str">
        <f ca="1">IF(AND(ISNUMBER($AH$244),$B$208=1),$AH$244,HLOOKUP(INDIRECT(ADDRESS(2,COLUMN())),OFFSET($BN$2,0,0,ROW()-1,60),ROW()-1,FALSE))</f>
        <v/>
      </c>
      <c r="AI38" t="str">
        <f ca="1">IF(AND(ISNUMBER($AI$244),$B$208=1),$AI$244,HLOOKUP(INDIRECT(ADDRESS(2,COLUMN())),OFFSET($BN$2,0,0,ROW()-1,60),ROW()-1,FALSE))</f>
        <v/>
      </c>
      <c r="AJ38" t="str">
        <f ca="1">IF(AND(ISNUMBER($AJ$244),$B$208=1),$AJ$244,HLOOKUP(INDIRECT(ADDRESS(2,COLUMN())),OFFSET($BN$2,0,0,ROW()-1,60),ROW()-1,FALSE))</f>
        <v/>
      </c>
      <c r="AK38" t="str">
        <f ca="1">IF(AND(ISNUMBER($AK$244),$B$208=1),$AK$244,HLOOKUP(INDIRECT(ADDRESS(2,COLUMN())),OFFSET($BN$2,0,0,ROW()-1,60),ROW()-1,FALSE))</f>
        <v/>
      </c>
      <c r="AL38" t="str">
        <f ca="1">IF(AND(ISNUMBER($AL$244),$B$208=1),$AL$244,HLOOKUP(INDIRECT(ADDRESS(2,COLUMN())),OFFSET($BN$2,0,0,ROW()-1,60),ROW()-1,FALSE))</f>
        <v/>
      </c>
      <c r="AM38" t="str">
        <f ca="1">IF(AND(ISNUMBER($AM$244),$B$208=1),$AM$244,HLOOKUP(INDIRECT(ADDRESS(2,COLUMN())),OFFSET($BN$2,0,0,ROW()-1,60),ROW()-1,FALSE))</f>
        <v/>
      </c>
      <c r="AN38" t="str">
        <f ca="1">IF(AND(ISNUMBER($AN$244),$B$208=1),$AN$244,HLOOKUP(INDIRECT(ADDRESS(2,COLUMN())),OFFSET($BN$2,0,0,ROW()-1,60),ROW()-1,FALSE))</f>
        <v/>
      </c>
      <c r="AO38" t="str">
        <f ca="1">IF(AND(ISNUMBER($AO$244),$B$208=1),$AO$244,HLOOKUP(INDIRECT(ADDRESS(2,COLUMN())),OFFSET($BN$2,0,0,ROW()-1,60),ROW()-1,FALSE))</f>
        <v/>
      </c>
      <c r="AP38" t="str">
        <f ca="1">IF(AND(ISNUMBER($AP$244),$B$208=1),$AP$244,HLOOKUP(INDIRECT(ADDRESS(2,COLUMN())),OFFSET($BN$2,0,0,ROW()-1,60),ROW()-1,FALSE))</f>
        <v/>
      </c>
      <c r="AQ38" t="str">
        <f ca="1">IF(AND(ISNUMBER($AQ$244),$B$208=1),$AQ$244,HLOOKUP(INDIRECT(ADDRESS(2,COLUMN())),OFFSET($BN$2,0,0,ROW()-1,60),ROW()-1,FALSE))</f>
        <v/>
      </c>
      <c r="AR38" t="str">
        <f ca="1">IF(AND(ISNUMBER($AR$244),$B$208=1),$AR$244,HLOOKUP(INDIRECT(ADDRESS(2,COLUMN())),OFFSET($BN$2,0,0,ROW()-1,60),ROW()-1,FALSE))</f>
        <v/>
      </c>
      <c r="AS38" t="str">
        <f ca="1">IF(AND(ISNUMBER($AS$244),$B$208=1),$AS$244,HLOOKUP(INDIRECT(ADDRESS(2,COLUMN())),OFFSET($BN$2,0,0,ROW()-1,60),ROW()-1,FALSE))</f>
        <v/>
      </c>
      <c r="AT38" t="str">
        <f ca="1">IF(AND(ISNUMBER($AT$244),$B$208=1),$AT$244,HLOOKUP(INDIRECT(ADDRESS(2,COLUMN())),OFFSET($BN$2,0,0,ROW()-1,60),ROW()-1,FALSE))</f>
        <v/>
      </c>
      <c r="AU38" t="str">
        <f ca="1">IF(AND(ISNUMBER($AU$244),$B$208=1),$AU$244,HLOOKUP(INDIRECT(ADDRESS(2,COLUMN())),OFFSET($BN$2,0,0,ROW()-1,60),ROW()-1,FALSE))</f>
        <v/>
      </c>
      <c r="AV38" t="str">
        <f ca="1">IF(AND(ISNUMBER($AV$244),$B$208=1),$AV$244,HLOOKUP(INDIRECT(ADDRESS(2,COLUMN())),OFFSET($BN$2,0,0,ROW()-1,60),ROW()-1,FALSE))</f>
        <v/>
      </c>
      <c r="AW38" t="str">
        <f ca="1">IF(AND(ISNUMBER($AW$244),$B$208=1),$AW$244,HLOOKUP(INDIRECT(ADDRESS(2,COLUMN())),OFFSET($BN$2,0,0,ROW()-1,60),ROW()-1,FALSE))</f>
        <v/>
      </c>
      <c r="AX38" t="str">
        <f ca="1">IF(AND(ISNUMBER($AX$244),$B$208=1),$AX$244,HLOOKUP(INDIRECT(ADDRESS(2,COLUMN())),OFFSET($BN$2,0,0,ROW()-1,60),ROW()-1,FALSE))</f>
        <v/>
      </c>
      <c r="AY38" t="str">
        <f ca="1">IF(AND(ISNUMBER($AY$244),$B$208=1),$AY$244,HLOOKUP(INDIRECT(ADDRESS(2,COLUMN())),OFFSET($BN$2,0,0,ROW()-1,60),ROW()-1,FALSE))</f>
        <v/>
      </c>
      <c r="AZ38" t="str">
        <f ca="1">IF(AND(ISNUMBER($AZ$244),$B$208=1),$AZ$244,HLOOKUP(INDIRECT(ADDRESS(2,COLUMN())),OFFSET($BN$2,0,0,ROW()-1,60),ROW()-1,FALSE))</f>
        <v/>
      </c>
      <c r="BA38" t="str">
        <f ca="1">IF(AND(ISNUMBER($BA$244),$B$208=1),$BA$244,HLOOKUP(INDIRECT(ADDRESS(2,COLUMN())),OFFSET($BN$2,0,0,ROW()-1,60),ROW()-1,FALSE))</f>
        <v/>
      </c>
      <c r="BB38" t="str">
        <f ca="1">IF(AND(ISNUMBER($BB$244),$B$208=1),$BB$244,HLOOKUP(INDIRECT(ADDRESS(2,COLUMN())),OFFSET($BN$2,0,0,ROW()-1,60),ROW()-1,FALSE))</f>
        <v/>
      </c>
      <c r="BC38" t="str">
        <f ca="1">IF(AND(ISNUMBER($BC$244),$B$208=1),$BC$244,HLOOKUP(INDIRECT(ADDRESS(2,COLUMN())),OFFSET($BN$2,0,0,ROW()-1,60),ROW()-1,FALSE))</f>
        <v/>
      </c>
      <c r="BD38" t="str">
        <f ca="1">IF(AND(ISNUMBER($BD$244),$B$208=1),$BD$244,HLOOKUP(INDIRECT(ADDRESS(2,COLUMN())),OFFSET($BN$2,0,0,ROW()-1,60),ROW()-1,FALSE))</f>
        <v/>
      </c>
      <c r="BE38" t="str">
        <f ca="1">IF(AND(ISNUMBER($BE$244),$B$208=1),$BE$244,HLOOKUP(INDIRECT(ADDRESS(2,COLUMN())),OFFSET($BN$2,0,0,ROW()-1,60),ROW()-1,FALSE))</f>
        <v/>
      </c>
      <c r="BF38" t="str">
        <f ca="1">IF(AND(ISNUMBER($BF$244),$B$208=1),$BF$244,HLOOKUP(INDIRECT(ADDRESS(2,COLUMN())),OFFSET($BN$2,0,0,ROW()-1,60),ROW()-1,FALSE))</f>
        <v/>
      </c>
      <c r="BG38" t="str">
        <f ca="1">IF(AND(ISNUMBER($BG$244),$B$208=1),$BG$244,HLOOKUP(INDIRECT(ADDRESS(2,COLUMN())),OFFSET($BN$2,0,0,ROW()-1,60),ROW()-1,FALSE))</f>
        <v/>
      </c>
      <c r="BH38" t="str">
        <f ca="1">IF(AND(ISNUMBER($BH$244),$B$208=1),$BH$244,HLOOKUP(INDIRECT(ADDRESS(2,COLUMN())),OFFSET($BN$2,0,0,ROW()-1,60),ROW()-1,FALSE))</f>
        <v/>
      </c>
      <c r="BI38" t="str">
        <f ca="1">IF(AND(ISNUMBER($BI$244),$B$208=1),$BI$244,HLOOKUP(INDIRECT(ADDRESS(2,COLUMN())),OFFSET($BN$2,0,0,ROW()-1,60),ROW()-1,FALSE))</f>
        <v/>
      </c>
      <c r="BJ38" t="str">
        <f ca="1">IF(AND(ISNUMBER($BJ$244),$B$208=1),$BJ$244,HLOOKUP(INDIRECT(ADDRESS(2,COLUMN())),OFFSET($BN$2,0,0,ROW()-1,60),ROW()-1,FALSE))</f>
        <v/>
      </c>
      <c r="BK38" t="str">
        <f ca="1">IF(AND(ISNUMBER($BK$244),$B$208=1),$BK$244,HLOOKUP(INDIRECT(ADDRESS(2,COLUMN())),OFFSET($BN$2,0,0,ROW()-1,60),ROW()-1,FALSE))</f>
        <v/>
      </c>
      <c r="BL38" t="str">
        <f ca="1">IF(AND(ISNUMBER($BL$244),$B$208=1),$BL$244,HLOOKUP(INDIRECT(ADDRESS(2,COLUMN())),OFFSET($BN$2,0,0,ROW()-1,60),ROW()-1,FALSE))</f>
        <v/>
      </c>
      <c r="BM38" t="str">
        <f ca="1">IF(AND(ISNUMBER($BM$244),$B$208=1),$BM$244,HLOOKUP(INDIRECT(ADDRESS(2,COLUMN())),OFFSET($BN$2,0,0,ROW()-1,60),ROW()-1,FALSE))</f>
        <v/>
      </c>
      <c r="BN38" t="str">
        <f>""</f>
        <v/>
      </c>
      <c r="BO38" t="str">
        <f>""</f>
        <v/>
      </c>
      <c r="BP38" t="str">
        <f>""</f>
        <v/>
      </c>
      <c r="BQ38" t="str">
        <f>""</f>
        <v/>
      </c>
      <c r="BR38" t="str">
        <f>""</f>
        <v/>
      </c>
      <c r="BS38" t="str">
        <f>""</f>
        <v/>
      </c>
      <c r="BT38" t="str">
        <f>""</f>
        <v/>
      </c>
      <c r="BU38" t="str">
        <f>""</f>
        <v/>
      </c>
      <c r="BV38" t="str">
        <f>""</f>
        <v/>
      </c>
      <c r="BW38" t="str">
        <f>""</f>
        <v/>
      </c>
      <c r="BX38" t="str">
        <f>""</f>
        <v/>
      </c>
      <c r="BY38" t="str">
        <f>""</f>
        <v/>
      </c>
      <c r="BZ38" t="str">
        <f>""</f>
        <v/>
      </c>
      <c r="CA38" t="str">
        <f>""</f>
        <v/>
      </c>
      <c r="CB38" t="str">
        <f>""</f>
        <v/>
      </c>
      <c r="CC38" t="str">
        <f>""</f>
        <v/>
      </c>
      <c r="CD38" t="str">
        <f>""</f>
        <v/>
      </c>
      <c r="CE38" t="str">
        <f>""</f>
        <v/>
      </c>
      <c r="CF38" t="str">
        <f>""</f>
        <v/>
      </c>
      <c r="CG38" t="str">
        <f>""</f>
        <v/>
      </c>
      <c r="CH38" t="str">
        <f>""</f>
        <v/>
      </c>
      <c r="CI38" t="str">
        <f>""</f>
        <v/>
      </c>
      <c r="CJ38" t="str">
        <f>""</f>
        <v/>
      </c>
      <c r="CK38" t="str">
        <f>""</f>
        <v/>
      </c>
      <c r="CL38" t="str">
        <f>""</f>
        <v/>
      </c>
      <c r="CM38" t="str">
        <f>""</f>
        <v/>
      </c>
      <c r="CN38" t="str">
        <f>""</f>
        <v/>
      </c>
      <c r="CO38" t="str">
        <f>""</f>
        <v/>
      </c>
      <c r="CP38" t="str">
        <f>""</f>
        <v/>
      </c>
      <c r="CQ38" t="str">
        <f>""</f>
        <v/>
      </c>
      <c r="CR38" t="str">
        <f>""</f>
        <v/>
      </c>
      <c r="CS38" t="str">
        <f>""</f>
        <v/>
      </c>
      <c r="CT38" t="str">
        <f>""</f>
        <v/>
      </c>
      <c r="CU38" t="str">
        <f>""</f>
        <v/>
      </c>
      <c r="CV38" t="str">
        <f>""</f>
        <v/>
      </c>
      <c r="CW38" t="str">
        <f>""</f>
        <v/>
      </c>
      <c r="CX38" t="str">
        <f>""</f>
        <v/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  <c r="DT38" t="str">
        <f>""</f>
        <v/>
      </c>
      <c r="DU38" t="str">
        <f>""</f>
        <v/>
      </c>
    </row>
    <row r="39" spans="1:125" x14ac:dyDescent="0.25">
      <c r="A39" t="str">
        <f>"    UBS Group AG"</f>
        <v xml:space="preserve">    UBS Group AG</v>
      </c>
      <c r="B39" t="str">
        <f>"UBSG SW Equity"</f>
        <v>UBSG SW Equity</v>
      </c>
      <c r="C39" t="str">
        <f t="shared" si="0"/>
        <v>BM105</v>
      </c>
      <c r="D39" t="str">
        <f t="shared" si="1"/>
        <v>BS_TRADING_ASSETS</v>
      </c>
      <c r="E39" t="str">
        <f t="shared" si="2"/>
        <v>Dynamic</v>
      </c>
      <c r="F39">
        <f ca="1">IF(AND(ISNUMBER($F$245),$B$208=1),$F$245,HLOOKUP(INDIRECT(ADDRESS(2,COLUMN())),OFFSET($BN$2,0,0,ROW()-1,60),ROW()-1,FALSE))</f>
        <v>153700.8407</v>
      </c>
      <c r="G39">
        <f ca="1">IF(AND(ISNUMBER($G$245),$B$208=1),$G$245,HLOOKUP(INDIRECT(ADDRESS(2,COLUMN())),OFFSET($BN$2,0,0,ROW()-1,60),ROW()-1,FALSE))</f>
        <v>154272.51519999999</v>
      </c>
      <c r="H39">
        <f ca="1">IF(AND(ISNUMBER($H$245),$B$208=1),$H$245,HLOOKUP(INDIRECT(ADDRESS(2,COLUMN())),OFFSET($BN$2,0,0,ROW()-1,60),ROW()-1,FALSE))</f>
        <v>151199.1415</v>
      </c>
      <c r="I39">
        <f ca="1">IF(AND(ISNUMBER($I$245),$B$208=1),$I$245,HLOOKUP(INDIRECT(ADDRESS(2,COLUMN())),OFFSET($BN$2,0,0,ROW()-1,60),ROW()-1,FALSE))</f>
        <v>148395.58809999999</v>
      </c>
      <c r="J39">
        <f ca="1">IF(AND(ISNUMBER($J$245),$B$208=1),$J$245,HLOOKUP(INDIRECT(ADDRESS(2,COLUMN())),OFFSET($BN$2,0,0,ROW()-1,60),ROW()-1,FALSE))</f>
        <v>153319.7758</v>
      </c>
      <c r="K39">
        <f ca="1">IF(AND(ISNUMBER($K$245),$B$208=1),$K$245,HLOOKUP(INDIRECT(ADDRESS(2,COLUMN())),OFFSET($BN$2,0,0,ROW()-1,60),ROW()-1,FALSE))</f>
        <v>135080.35550000001</v>
      </c>
      <c r="L39">
        <f ca="1">IF(AND(ISNUMBER($L$245),$B$208=1),$L$245,HLOOKUP(INDIRECT(ADDRESS(2,COLUMN())),OFFSET($BN$2,0,0,ROW()-1,60),ROW()-1,FALSE))</f>
        <v>138393.47870000001</v>
      </c>
      <c r="M39">
        <f ca="1">IF(AND(ISNUMBER($M$245),$B$208=1),$M$245,HLOOKUP(INDIRECT(ADDRESS(2,COLUMN())),OFFSET($BN$2,0,0,ROW()-1,60),ROW()-1,FALSE))</f>
        <v>108342.0738</v>
      </c>
      <c r="N39">
        <f ca="1">IF(AND(ISNUMBER($N$245),$B$208=1),$N$245,HLOOKUP(INDIRECT(ADDRESS(2,COLUMN())),OFFSET($BN$2,0,0,ROW()-1,60),ROW()-1,FALSE))</f>
        <v>100705.8165</v>
      </c>
      <c r="O39">
        <f ca="1">IF(AND(ISNUMBER($O$245),$B$208=1),$O$245,HLOOKUP(INDIRECT(ADDRESS(2,COLUMN())),OFFSET($BN$2,0,0,ROW()-1,60),ROW()-1,FALSE))</f>
        <v>86398.365680000003</v>
      </c>
      <c r="P39">
        <f ca="1">IF(AND(ISNUMBER($P$245),$B$208=1),$P$245,HLOOKUP(INDIRECT(ADDRESS(2,COLUMN())),OFFSET($BN$2,0,0,ROW()-1,60),ROW()-1,FALSE))</f>
        <v>94922.255080000003</v>
      </c>
      <c r="Q39">
        <f ca="1">IF(AND(ISNUMBER($Q$245),$B$208=1),$Q$245,HLOOKUP(INDIRECT(ADDRESS(2,COLUMN())),OFFSET($BN$2,0,0,ROW()-1,60),ROW()-1,FALSE))</f>
        <v>103540.8771</v>
      </c>
      <c r="R39">
        <f ca="1">IF(AND(ISNUMBER($R$245),$B$208=1),$R$245,HLOOKUP(INDIRECT(ADDRESS(2,COLUMN())),OFFSET($BN$2,0,0,ROW()-1,60),ROW()-1,FALSE))</f>
        <v>114896.364</v>
      </c>
      <c r="S39">
        <f ca="1">IF(AND(ISNUMBER($S$245),$B$208=1),$S$245,HLOOKUP(INDIRECT(ADDRESS(2,COLUMN())),OFFSET($BN$2,0,0,ROW()-1,60),ROW()-1,FALSE))</f>
        <v>108435.7445</v>
      </c>
      <c r="T39">
        <f ca="1">IF(AND(ISNUMBER($T$245),$B$208=1),$T$245,HLOOKUP(INDIRECT(ADDRESS(2,COLUMN())),OFFSET($BN$2,0,0,ROW()-1,60),ROW()-1,FALSE))</f>
        <v>103369.0607</v>
      </c>
      <c r="U39">
        <f ca="1">IF(AND(ISNUMBER($U$245),$B$208=1),$U$245,HLOOKUP(INDIRECT(ADDRESS(2,COLUMN())),OFFSET($BN$2,0,0,ROW()-1,60),ROW()-1,FALSE))</f>
        <v>102617.8723</v>
      </c>
      <c r="V39">
        <f ca="1">IF(AND(ISNUMBER($V$245),$B$208=1),$V$245,HLOOKUP(INDIRECT(ADDRESS(2,COLUMN())),OFFSET($BN$2,0,0,ROW()-1,60),ROW()-1,FALSE))</f>
        <v>102574.2331</v>
      </c>
      <c r="W39">
        <f ca="1">IF(AND(ISNUMBER($W$245),$B$208=1),$W$245,HLOOKUP(INDIRECT(ADDRESS(2,COLUMN())),OFFSET($BN$2,0,0,ROW()-1,60),ROW()-1,FALSE))</f>
        <v>92269.237330000004</v>
      </c>
      <c r="X39">
        <f ca="1">IF(AND(ISNUMBER($X$245),$B$208=1),$X$245,HLOOKUP(INDIRECT(ADDRESS(2,COLUMN())),OFFSET($BN$2,0,0,ROW()-1,60),ROW()-1,FALSE))</f>
        <v>87206.261670000007</v>
      </c>
      <c r="Y39">
        <f ca="1">IF(AND(ISNUMBER($Y$245),$B$208=1),$Y$245,HLOOKUP(INDIRECT(ADDRESS(2,COLUMN())),OFFSET($BN$2,0,0,ROW()-1,60),ROW()-1,FALSE))</f>
        <v>82481.086500000005</v>
      </c>
      <c r="Z39">
        <f ca="1">IF(AND(ISNUMBER($Z$245),$B$208=1),$Z$245,HLOOKUP(INDIRECT(ADDRESS(2,COLUMN())),OFFSET($BN$2,0,0,ROW()-1,60),ROW()-1,FALSE))</f>
        <v>113557.7522</v>
      </c>
      <c r="AA39">
        <f ca="1">IF(AND(ISNUMBER($AA$245),$B$208=1),$AA$245,HLOOKUP(INDIRECT(ADDRESS(2,COLUMN())),OFFSET($BN$2,0,0,ROW()-1,60),ROW()-1,FALSE))</f>
        <v>106245.98729999999</v>
      </c>
      <c r="AB39">
        <f ca="1">IF(AND(ISNUMBER($AB$245),$B$208=1),$AB$245,HLOOKUP(INDIRECT(ADDRESS(2,COLUMN())),OFFSET($BN$2,0,0,ROW()-1,60),ROW()-1,FALSE))</f>
        <v>105795.4045</v>
      </c>
      <c r="AC39">
        <f ca="1">IF(AND(ISNUMBER($AC$245),$B$208=1),$AC$245,HLOOKUP(INDIRECT(ADDRESS(2,COLUMN())),OFFSET($BN$2,0,0,ROW()-1,60),ROW()-1,FALSE))</f>
        <v>97661.527489999993</v>
      </c>
      <c r="AD39">
        <f ca="1">IF(AND(ISNUMBER($AD$245),$B$208=1),$AD$245,HLOOKUP(INDIRECT(ADDRESS(2,COLUMN())),OFFSET($BN$2,0,0,ROW()-1,60),ROW()-1,FALSE))</f>
        <v>91136.919320000001</v>
      </c>
      <c r="AE39">
        <f ca="1">IF(AND(ISNUMBER($AE$245),$B$208=1),$AE$245,HLOOKUP(INDIRECT(ADDRESS(2,COLUMN())),OFFSET($BN$2,0,0,ROW()-1,60),ROW()-1,FALSE))</f>
        <v>104049.4231</v>
      </c>
      <c r="AF39">
        <f ca="1">IF(AND(ISNUMBER($AF$245),$B$208=1),$AF$245,HLOOKUP(INDIRECT(ADDRESS(2,COLUMN())),OFFSET($BN$2,0,0,ROW()-1,60),ROW()-1,FALSE))</f>
        <v>96018.669179999997</v>
      </c>
      <c r="AG39">
        <f ca="1">IF(AND(ISNUMBER($AG$245),$B$208=1),$AG$245,HLOOKUP(INDIRECT(ADDRESS(2,COLUMN())),OFFSET($BN$2,0,0,ROW()-1,60),ROW()-1,FALSE))</f>
        <v>85628.295610000001</v>
      </c>
      <c r="AH39">
        <f ca="1">IF(AND(ISNUMBER($AH$245),$B$208=1),$AH$245,HLOOKUP(INDIRECT(ADDRESS(2,COLUMN())),OFFSET($BN$2,0,0,ROW()-1,60),ROW()-1,FALSE))</f>
        <v>119031.7751</v>
      </c>
      <c r="AI39">
        <f ca="1">IF(AND(ISNUMBER($AI$245),$B$208=1),$AI$245,HLOOKUP(INDIRECT(ADDRESS(2,COLUMN())),OFFSET($BN$2,0,0,ROW()-1,60),ROW()-1,FALSE))</f>
        <v>110913.32709999999</v>
      </c>
      <c r="AJ39">
        <f ca="1">IF(AND(ISNUMBER($AJ$245),$B$208=1),$AJ$245,HLOOKUP(INDIRECT(ADDRESS(2,COLUMN())),OFFSET($BN$2,0,0,ROW()-1,60),ROW()-1,FALSE))</f>
        <v>107544.0287</v>
      </c>
      <c r="AK39">
        <f ca="1">IF(AND(ISNUMBER($AK$245),$B$208=1),$AK$245,HLOOKUP(INDIRECT(ADDRESS(2,COLUMN())),OFFSET($BN$2,0,0,ROW()-1,60),ROW()-1,FALSE))</f>
        <v>117542.83779999999</v>
      </c>
      <c r="AL39">
        <f ca="1">IF(AND(ISNUMBER($AL$245),$B$208=1),$AL$245,HLOOKUP(INDIRECT(ADDRESS(2,COLUMN())),OFFSET($BN$2,0,0,ROW()-1,60),ROW()-1,FALSE))</f>
        <v>104103.0466</v>
      </c>
      <c r="AM39">
        <f ca="1">IF(AND(ISNUMBER($AM$245),$B$208=1),$AM$245,HLOOKUP(INDIRECT(ADDRESS(2,COLUMN())),OFFSET($BN$2,0,0,ROW()-1,60),ROW()-1,FALSE))</f>
        <v>113357.47930000001</v>
      </c>
      <c r="AN39">
        <f ca="1">IF(AND(ISNUMBER($AN$245),$B$208=1),$AN$245,HLOOKUP(INDIRECT(ADDRESS(2,COLUMN())),OFFSET($BN$2,0,0,ROW()-1,60),ROW()-1,FALSE))</f>
        <v>120669.2932</v>
      </c>
      <c r="AO39">
        <f ca="1">IF(AND(ISNUMBER($AO$245),$B$208=1),$AO$245,HLOOKUP(INDIRECT(ADDRESS(2,COLUMN())),OFFSET($BN$2,0,0,ROW()-1,60),ROW()-1,FALSE))</f>
        <v>126184.3308</v>
      </c>
      <c r="AP39">
        <f ca="1">IF(AND(ISNUMBER($AP$245),$B$208=1),$AP$245,HLOOKUP(INDIRECT(ADDRESS(2,COLUMN())),OFFSET($BN$2,0,0,ROW()-1,60),ROW()-1,FALSE))</f>
        <v>137735.96460000001</v>
      </c>
      <c r="AQ39">
        <f ca="1">IF(AND(ISNUMBER($AQ$245),$B$208=1),$AQ$245,HLOOKUP(INDIRECT(ADDRESS(2,COLUMN())),OFFSET($BN$2,0,0,ROW()-1,60),ROW()-1,FALSE))</f>
        <v>142867.86499999999</v>
      </c>
      <c r="AR39">
        <f ca="1">IF(AND(ISNUMBER($AR$245),$B$208=1),$AR$245,HLOOKUP(INDIRECT(ADDRESS(2,COLUMN())),OFFSET($BN$2,0,0,ROW()-1,60),ROW()-1,FALSE))</f>
        <v>149722.65</v>
      </c>
      <c r="AS39">
        <f ca="1">IF(AND(ISNUMBER($AS$245),$B$208=1),$AS$245,HLOOKUP(INDIRECT(ADDRESS(2,COLUMN())),OFFSET($BN$2,0,0,ROW()-1,60),ROW()-1,FALSE))</f>
        <v>153068.19</v>
      </c>
      <c r="AT39">
        <f ca="1">IF(AND(ISNUMBER($AT$245),$B$208=1),$AT$245,HLOOKUP(INDIRECT(ADDRESS(2,COLUMN())),OFFSET($BN$2,0,0,ROW()-1,60),ROW()-1,FALSE))</f>
        <v>134888.1067</v>
      </c>
      <c r="AU39">
        <f ca="1">IF(AND(ISNUMBER($AU$245),$B$208=1),$AU$245,HLOOKUP(INDIRECT(ADDRESS(2,COLUMN())),OFFSET($BN$2,0,0,ROW()-1,60),ROW()-1,FALSE))</f>
        <v>129745.55499999999</v>
      </c>
      <c r="AV39">
        <f ca="1">IF(AND(ISNUMBER($AV$245),$B$208=1),$AV$245,HLOOKUP(INDIRECT(ADDRESS(2,COLUMN())),OFFSET($BN$2,0,0,ROW()-1,60),ROW()-1,FALSE))</f>
        <v>134370.5852</v>
      </c>
      <c r="AW39">
        <f ca="1">IF(AND(ISNUMBER($AW$245),$B$208=1),$AW$245,HLOOKUP(INDIRECT(ADDRESS(2,COLUMN())),OFFSET($BN$2,0,0,ROW()-1,60),ROW()-1,FALSE))</f>
        <v>127914.4379</v>
      </c>
      <c r="AX39">
        <f ca="1">IF(AND(ISNUMBER($AX$245),$B$208=1),$AX$245,HLOOKUP(INDIRECT(ADDRESS(2,COLUMN())),OFFSET($BN$2,0,0,ROW()-1,60),ROW()-1,FALSE))</f>
        <v>122700.6943</v>
      </c>
      <c r="AY39">
        <f ca="1">IF(AND(ISNUMBER($AY$245),$B$208=1),$AY$245,HLOOKUP(INDIRECT(ADDRESS(2,COLUMN())),OFFSET($BN$2,0,0,ROW()-1,60),ROW()-1,FALSE))</f>
        <v>128865.2254</v>
      </c>
      <c r="AZ39">
        <f ca="1">IF(AND(ISNUMBER($AZ$245),$B$208=1),$AZ$245,HLOOKUP(INDIRECT(ADDRESS(2,COLUMN())),OFFSET($BN$2,0,0,ROW()-1,60),ROW()-1,FALSE))</f>
        <v>127522.44070000001</v>
      </c>
      <c r="BA39">
        <f ca="1">IF(AND(ISNUMBER($BA$245),$B$208=1),$BA$245,HLOOKUP(INDIRECT(ADDRESS(2,COLUMN())),OFFSET($BN$2,0,0,ROW()-1,60),ROW()-1,FALSE))</f>
        <v>148960.59099999999</v>
      </c>
      <c r="BB39">
        <f ca="1">IF(AND(ISNUMBER($BB$245),$B$208=1),$BB$245,HLOOKUP(INDIRECT(ADDRESS(2,COLUMN())),OFFSET($BN$2,0,0,ROW()-1,60),ROW()-1,FALSE))</f>
        <v>133026.77429999999</v>
      </c>
      <c r="BC39">
        <f ca="1">IF(AND(ISNUMBER($BC$245),$B$208=1),$BC$245,HLOOKUP(INDIRECT(ADDRESS(2,COLUMN())),OFFSET($BN$2,0,0,ROW()-1,60),ROW()-1,FALSE))</f>
        <v>197912.9895</v>
      </c>
      <c r="BD39">
        <f ca="1">IF(AND(ISNUMBER($BD$245),$B$208=1),$BD$245,HLOOKUP(INDIRECT(ADDRESS(2,COLUMN())),OFFSET($BN$2,0,0,ROW()-1,60),ROW()-1,FALSE))</f>
        <v>192680.63370000001</v>
      </c>
      <c r="BE39">
        <f ca="1">IF(AND(ISNUMBER($BE$245),$B$208=1),$BE$245,HLOOKUP(INDIRECT(ADDRESS(2,COLUMN())),OFFSET($BN$2,0,0,ROW()-1,60),ROW()-1,FALSE))</f>
        <v>197468.52299999999</v>
      </c>
      <c r="BF39">
        <f ca="1">IF(AND(ISNUMBER($BF$245),$B$208=1),$BF$245,HLOOKUP(INDIRECT(ADDRESS(2,COLUMN())),OFFSET($BN$2,0,0,ROW()-1,60),ROW()-1,FALSE))</f>
        <v>197515.08189999999</v>
      </c>
      <c r="BG39">
        <f ca="1">IF(AND(ISNUMBER($BG$245),$B$208=1),$BG$245,HLOOKUP(INDIRECT(ADDRESS(2,COLUMN())),OFFSET($BN$2,0,0,ROW()-1,60),ROW()-1,FALSE))</f>
        <v>213361.432</v>
      </c>
      <c r="BH39">
        <f ca="1">IF(AND(ISNUMBER($BH$245),$B$208=1),$BH$245,HLOOKUP(INDIRECT(ADDRESS(2,COLUMN())),OFFSET($BN$2,0,0,ROW()-1,60),ROW()-1,FALSE))</f>
        <v>231832.0889</v>
      </c>
      <c r="BI39">
        <f ca="1">IF(AND(ISNUMBER($BI$245),$B$208=1),$BI$245,HLOOKUP(INDIRECT(ADDRESS(2,COLUMN())),OFFSET($BN$2,0,0,ROW()-1,60),ROW()-1,FALSE))</f>
        <v>228962.19699999999</v>
      </c>
      <c r="BJ39">
        <f ca="1">IF(AND(ISNUMBER($BJ$245),$B$208=1),$BJ$245,HLOOKUP(INDIRECT(ADDRESS(2,COLUMN())),OFFSET($BN$2,0,0,ROW()-1,60),ROW()-1,FALSE))</f>
        <v>183308.52340000001</v>
      </c>
      <c r="BK39">
        <f ca="1">IF(AND(ISNUMBER($BK$245),$B$208=1),$BK$245,HLOOKUP(INDIRECT(ADDRESS(2,COLUMN())),OFFSET($BN$2,0,0,ROW()-1,60),ROW()-1,FALSE))</f>
        <v>237310.39780000001</v>
      </c>
      <c r="BL39">
        <f ca="1">IF(AND(ISNUMBER($BL$245),$B$208=1),$BL$245,HLOOKUP(INDIRECT(ADDRESS(2,COLUMN())),OFFSET($BN$2,0,0,ROW()-1,60),ROW()-1,FALSE))</f>
        <v>223714.7</v>
      </c>
      <c r="BM39" t="str">
        <f ca="1">IF(AND(ISNUMBER($BM$245),$B$208=1),$BM$245,HLOOKUP(INDIRECT(ADDRESS(2,COLUMN())),OFFSET($BN$2,0,0,ROW()-1,60),ROW()-1,FALSE))</f>
        <v/>
      </c>
      <c r="BN39">
        <f>153700.8407</f>
        <v>153700.8407</v>
      </c>
      <c r="BO39">
        <f>154272.5152</f>
        <v>154272.51519999999</v>
      </c>
      <c r="BP39">
        <f>151199.1415</f>
        <v>151199.1415</v>
      </c>
      <c r="BQ39">
        <f>148395.5881</f>
        <v>148395.58809999999</v>
      </c>
      <c r="BR39">
        <f>153319.7758</f>
        <v>153319.7758</v>
      </c>
      <c r="BS39">
        <f>135080.3555</f>
        <v>135080.35550000001</v>
      </c>
      <c r="BT39">
        <f>138393.4787</f>
        <v>138393.47870000001</v>
      </c>
      <c r="BU39">
        <f>108342.0738</f>
        <v>108342.0738</v>
      </c>
      <c r="BV39">
        <f>100705.8165</f>
        <v>100705.8165</v>
      </c>
      <c r="BW39">
        <f>86398.36568</f>
        <v>86398.365680000003</v>
      </c>
      <c r="BX39">
        <f>94922.25508</f>
        <v>94922.255080000003</v>
      </c>
      <c r="BY39">
        <f>103540.8771</f>
        <v>103540.8771</v>
      </c>
      <c r="BZ39">
        <f>114896.364</f>
        <v>114896.364</v>
      </c>
      <c r="CA39">
        <f>108435.7445</f>
        <v>108435.7445</v>
      </c>
      <c r="CB39">
        <f>103369.0607</f>
        <v>103369.0607</v>
      </c>
      <c r="CC39">
        <f>102617.8723</f>
        <v>102617.8723</v>
      </c>
      <c r="CD39">
        <f>102574.2331</f>
        <v>102574.2331</v>
      </c>
      <c r="CE39">
        <f>92269.23733</f>
        <v>92269.237330000004</v>
      </c>
      <c r="CF39">
        <f>87206.26167</f>
        <v>87206.261670000007</v>
      </c>
      <c r="CG39">
        <f>82481.0865</f>
        <v>82481.086500000005</v>
      </c>
      <c r="CH39">
        <f>113557.7522</f>
        <v>113557.7522</v>
      </c>
      <c r="CI39">
        <f>106245.9873</f>
        <v>106245.98729999999</v>
      </c>
      <c r="CJ39">
        <f>105795.4045</f>
        <v>105795.4045</v>
      </c>
      <c r="CK39">
        <f>97661.52749</f>
        <v>97661.527489999993</v>
      </c>
      <c r="CL39">
        <f>91136.91932</f>
        <v>91136.919320000001</v>
      </c>
      <c r="CM39">
        <f>104049.4231</f>
        <v>104049.4231</v>
      </c>
      <c r="CN39">
        <f>96018.66918</f>
        <v>96018.669179999997</v>
      </c>
      <c r="CO39">
        <f>85628.29561</f>
        <v>85628.295610000001</v>
      </c>
      <c r="CP39">
        <f>119031.7751</f>
        <v>119031.7751</v>
      </c>
      <c r="CQ39">
        <f>110913.3271</f>
        <v>110913.32709999999</v>
      </c>
      <c r="CR39">
        <f>107544.0287</f>
        <v>107544.0287</v>
      </c>
      <c r="CS39">
        <f>117542.8378</f>
        <v>117542.83779999999</v>
      </c>
      <c r="CT39">
        <f>104103.0466</f>
        <v>104103.0466</v>
      </c>
      <c r="CU39">
        <f>113357.4793</f>
        <v>113357.47930000001</v>
      </c>
      <c r="CV39">
        <f>120669.2932</f>
        <v>120669.2932</v>
      </c>
      <c r="CW39">
        <f>126184.3308</f>
        <v>126184.3308</v>
      </c>
      <c r="CX39">
        <f>137735.9646</f>
        <v>137735.96460000001</v>
      </c>
      <c r="CY39">
        <f>142867.865</f>
        <v>142867.86499999999</v>
      </c>
      <c r="CZ39">
        <f>149722.65</f>
        <v>149722.65</v>
      </c>
      <c r="DA39">
        <f>153068.19</f>
        <v>153068.19</v>
      </c>
      <c r="DB39">
        <f>134888.1067</f>
        <v>134888.1067</v>
      </c>
      <c r="DC39">
        <f>129745.555</f>
        <v>129745.55499999999</v>
      </c>
      <c r="DD39">
        <f>134370.5852</f>
        <v>134370.5852</v>
      </c>
      <c r="DE39">
        <f>127914.4379</f>
        <v>127914.4379</v>
      </c>
      <c r="DF39">
        <f>122700.6943</f>
        <v>122700.6943</v>
      </c>
      <c r="DG39">
        <f>128865.2254</f>
        <v>128865.2254</v>
      </c>
      <c r="DH39">
        <f>127522.4407</f>
        <v>127522.44070000001</v>
      </c>
      <c r="DI39">
        <f>148960.591</f>
        <v>148960.59099999999</v>
      </c>
      <c r="DJ39">
        <f>133026.7743</f>
        <v>133026.77429999999</v>
      </c>
      <c r="DK39">
        <f>197912.9895</f>
        <v>197912.9895</v>
      </c>
      <c r="DL39">
        <f>192680.6337</f>
        <v>192680.63370000001</v>
      </c>
      <c r="DM39">
        <f>197468.523</f>
        <v>197468.52299999999</v>
      </c>
      <c r="DN39">
        <f>197515.0819</f>
        <v>197515.08189999999</v>
      </c>
      <c r="DO39">
        <f>213361.432</f>
        <v>213361.432</v>
      </c>
      <c r="DP39">
        <f>231832.0889</f>
        <v>231832.0889</v>
      </c>
      <c r="DQ39">
        <f>228962.197</f>
        <v>228962.19699999999</v>
      </c>
      <c r="DR39">
        <f>183308.5234</f>
        <v>183308.52340000001</v>
      </c>
      <c r="DS39">
        <f>237310.3978</f>
        <v>237310.39780000001</v>
      </c>
      <c r="DT39">
        <f>223714.7</f>
        <v>223714.7</v>
      </c>
      <c r="DU39" t="str">
        <f>""</f>
        <v/>
      </c>
    </row>
    <row r="40" spans="1:125" x14ac:dyDescent="0.25">
      <c r="A40" t="str">
        <f>"    UniCredit SpA"</f>
        <v xml:space="preserve">    UniCredit SpA</v>
      </c>
      <c r="B40" t="str">
        <f>"UCG IM Equity"</f>
        <v>UCG IM Equity</v>
      </c>
      <c r="C40" t="str">
        <f t="shared" si="0"/>
        <v>BM105</v>
      </c>
      <c r="D40" t="str">
        <f t="shared" si="1"/>
        <v>BS_TRADING_ASSETS</v>
      </c>
      <c r="E40" t="str">
        <f t="shared" si="2"/>
        <v>Dynamic</v>
      </c>
      <c r="F40">
        <f ca="1">IF(AND(ISNUMBER($F$246),$B$208=1),$F$246,HLOOKUP(INDIRECT(ADDRESS(2,COLUMN())),OFFSET($BN$2,0,0,ROW()-1,60),ROW()-1,FALSE))</f>
        <v>55083</v>
      </c>
      <c r="G40">
        <f ca="1">IF(AND(ISNUMBER($G$246),$B$208=1),$G$246,HLOOKUP(INDIRECT(ADDRESS(2,COLUMN())),OFFSET($BN$2,0,0,ROW()-1,60),ROW()-1,FALSE))</f>
        <v>58286</v>
      </c>
      <c r="H40">
        <f ca="1">IF(AND(ISNUMBER($H$246),$B$208=1),$H$246,HLOOKUP(INDIRECT(ADDRESS(2,COLUMN())),OFFSET($BN$2,0,0,ROW()-1,60),ROW()-1,FALSE))</f>
        <v>55674</v>
      </c>
      <c r="I40">
        <f ca="1">IF(AND(ISNUMBER($I$246),$B$208=1),$I$246,HLOOKUP(INDIRECT(ADDRESS(2,COLUMN())),OFFSET($BN$2,0,0,ROW()-1,60),ROW()-1,FALSE))</f>
        <v>55472</v>
      </c>
      <c r="J40">
        <f ca="1">IF(AND(ISNUMBER($J$246),$B$208=1),$J$246,HLOOKUP(INDIRECT(ADDRESS(2,COLUMN())),OFFSET($BN$2,0,0,ROW()-1,60),ROW()-1,FALSE))</f>
        <v>57274</v>
      </c>
      <c r="K40">
        <f ca="1">IF(AND(ISNUMBER($K$246),$B$208=1),$K$246,HLOOKUP(INDIRECT(ADDRESS(2,COLUMN())),OFFSET($BN$2,0,0,ROW()-1,60),ROW()-1,FALSE))</f>
        <v>62938</v>
      </c>
      <c r="L40">
        <f ca="1">IF(AND(ISNUMBER($L$246),$B$208=1),$L$246,HLOOKUP(INDIRECT(ADDRESS(2,COLUMN())),OFFSET($BN$2,0,0,ROW()-1,60),ROW()-1,FALSE))</f>
        <v>66942</v>
      </c>
      <c r="M40">
        <f ca="1">IF(AND(ISNUMBER($M$246),$B$208=1),$M$246,HLOOKUP(INDIRECT(ADDRESS(2,COLUMN())),OFFSET($BN$2,0,0,ROW()-1,60),ROW()-1,FALSE))</f>
        <v>62293</v>
      </c>
      <c r="N40">
        <f ca="1">IF(AND(ISNUMBER($N$246),$B$208=1),$N$246,HLOOKUP(INDIRECT(ADDRESS(2,COLUMN())),OFFSET($BN$2,0,0,ROW()-1,60),ROW()-1,FALSE))</f>
        <v>64443</v>
      </c>
      <c r="O40">
        <f ca="1">IF(AND(ISNUMBER($O$246),$B$208=1),$O$246,HLOOKUP(INDIRECT(ADDRESS(2,COLUMN())),OFFSET($BN$2,0,0,ROW()-1,60),ROW()-1,FALSE))</f>
        <v>79136</v>
      </c>
      <c r="P40">
        <f ca="1">IF(AND(ISNUMBER($P$246),$B$208=1),$P$246,HLOOKUP(INDIRECT(ADDRESS(2,COLUMN())),OFFSET($BN$2,0,0,ROW()-1,60),ROW()-1,FALSE))</f>
        <v>74668</v>
      </c>
      <c r="Q40">
        <f ca="1">IF(AND(ISNUMBER($Q$246),$B$208=1),$Q$246,HLOOKUP(INDIRECT(ADDRESS(2,COLUMN())),OFFSET($BN$2,0,0,ROW()-1,60),ROW()-1,FALSE))</f>
        <v>76144</v>
      </c>
      <c r="R40">
        <f ca="1">IF(AND(ISNUMBER($R$246),$B$208=1),$R$246,HLOOKUP(INDIRECT(ADDRESS(2,COLUMN())),OFFSET($BN$2,0,0,ROW()-1,60),ROW()-1,FALSE))</f>
        <v>80109</v>
      </c>
      <c r="S40">
        <f ca="1">IF(AND(ISNUMBER($S$246),$B$208=1),$S$246,HLOOKUP(INDIRECT(ADDRESS(2,COLUMN())),OFFSET($BN$2,0,0,ROW()-1,60),ROW()-1,FALSE))</f>
        <v>80545</v>
      </c>
      <c r="T40">
        <f ca="1">IF(AND(ISNUMBER($T$246),$B$208=1),$T$246,HLOOKUP(INDIRECT(ADDRESS(2,COLUMN())),OFFSET($BN$2,0,0,ROW()-1,60),ROW()-1,FALSE))</f>
        <v>78991</v>
      </c>
      <c r="U40">
        <f ca="1">IF(AND(ISNUMBER($U$246),$B$208=1),$U$246,HLOOKUP(INDIRECT(ADDRESS(2,COLUMN())),OFFSET($BN$2,0,0,ROW()-1,60),ROW()-1,FALSE))</f>
        <v>73925</v>
      </c>
      <c r="V40">
        <f ca="1">IF(AND(ISNUMBER($V$246),$B$208=1),$V$246,HLOOKUP(INDIRECT(ADDRESS(2,COLUMN())),OFFSET($BN$2,0,0,ROW()-1,60),ROW()-1,FALSE))</f>
        <v>72705</v>
      </c>
      <c r="W40">
        <f ca="1">IF(AND(ISNUMBER($W$246),$B$208=1),$W$246,HLOOKUP(INDIRECT(ADDRESS(2,COLUMN())),OFFSET($BN$2,0,0,ROW()-1,60),ROW()-1,FALSE))</f>
        <v>73165</v>
      </c>
      <c r="X40">
        <f ca="1">IF(AND(ISNUMBER($X$246),$B$208=1),$X$246,HLOOKUP(INDIRECT(ADDRESS(2,COLUMN())),OFFSET($BN$2,0,0,ROW()-1,60),ROW()-1,FALSE))</f>
        <v>67236</v>
      </c>
      <c r="Y40">
        <f ca="1">IF(AND(ISNUMBER($Y$246),$B$208=1),$Y$246,HLOOKUP(INDIRECT(ADDRESS(2,COLUMN())),OFFSET($BN$2,0,0,ROW()-1,60),ROW()-1,FALSE))</f>
        <v>69756</v>
      </c>
      <c r="Z40">
        <f ca="1">IF(AND(ISNUMBER($Z$246),$B$208=1),$Z$246,HLOOKUP(INDIRECT(ADDRESS(2,COLUMN())),OFFSET($BN$2,0,0,ROW()-1,60),ROW()-1,FALSE))</f>
        <v>63280</v>
      </c>
      <c r="AA40">
        <f ca="1">IF(AND(ISNUMBER($AA$246),$B$208=1),$AA$246,HLOOKUP(INDIRECT(ADDRESS(2,COLUMN())),OFFSET($BN$2,0,0,ROW()-1,60),ROW()-1,FALSE))</f>
        <v>74871</v>
      </c>
      <c r="AB40">
        <f ca="1">IF(AND(ISNUMBER($AB$246),$B$208=1),$AB$246,HLOOKUP(INDIRECT(ADDRESS(2,COLUMN())),OFFSET($BN$2,0,0,ROW()-1,60),ROW()-1,FALSE))</f>
        <v>67344</v>
      </c>
      <c r="AC40">
        <f ca="1">IF(AND(ISNUMBER($AC$246),$B$208=1),$AC$246,HLOOKUP(INDIRECT(ADDRESS(2,COLUMN())),OFFSET($BN$2,0,0,ROW()-1,60),ROW()-1,FALSE))</f>
        <v>67135</v>
      </c>
      <c r="AD40">
        <f ca="1">IF(AND(ISNUMBER($AD$246),$B$208=1),$AD$246,HLOOKUP(INDIRECT(ADDRESS(2,COLUMN())),OFFSET($BN$2,0,0,ROW()-1,60),ROW()-1,FALSE))</f>
        <v>65231</v>
      </c>
      <c r="AE40">
        <f ca="1">IF(AND(ISNUMBER($AE$246),$B$208=1),$AE$246,HLOOKUP(INDIRECT(ADDRESS(2,COLUMN())),OFFSET($BN$2,0,0,ROW()-1,60),ROW()-1,FALSE))</f>
        <v>81258</v>
      </c>
      <c r="AF40">
        <f ca="1">IF(AND(ISNUMBER($AF$246),$B$208=1),$AF$246,HLOOKUP(INDIRECT(ADDRESS(2,COLUMN())),OFFSET($BN$2,0,0,ROW()-1,60),ROW()-1,FALSE))</f>
        <v>83261.558999999994</v>
      </c>
      <c r="AG40">
        <f ca="1">IF(AND(ISNUMBER($AG$246),$B$208=1),$AG$246,HLOOKUP(INDIRECT(ADDRESS(2,COLUMN())),OFFSET($BN$2,0,0,ROW()-1,60),ROW()-1,FALSE))</f>
        <v>80324</v>
      </c>
      <c r="AH40">
        <f ca="1">IF(AND(ISNUMBER($AH$246),$B$208=1),$AH$246,HLOOKUP(INDIRECT(ADDRESS(2,COLUMN())),OFFSET($BN$2,0,0,ROW()-1,60),ROW()-1,FALSE))</f>
        <v>74685.89</v>
      </c>
      <c r="AI40">
        <f ca="1">IF(AND(ISNUMBER($AI$246),$B$208=1),$AI$246,HLOOKUP(INDIRECT(ADDRESS(2,COLUMN())),OFFSET($BN$2,0,0,ROW()-1,60),ROW()-1,FALSE))</f>
        <v>81493</v>
      </c>
      <c r="AJ40">
        <f ca="1">IF(AND(ISNUMBER($AJ$246),$B$208=1),$AJ$246,HLOOKUP(INDIRECT(ADDRESS(2,COLUMN())),OFFSET($BN$2,0,0,ROW()-1,60),ROW()-1,FALSE))</f>
        <v>79529.274999999994</v>
      </c>
      <c r="AK40">
        <f ca="1">IF(AND(ISNUMBER($AK$246),$B$208=1),$AK$246,HLOOKUP(INDIRECT(ADDRESS(2,COLUMN())),OFFSET($BN$2,0,0,ROW()-1,60),ROW()-1,FALSE))</f>
        <v>86191</v>
      </c>
      <c r="AL40" t="str">
        <f ca="1">IF(AND(ISNUMBER($AL$246),$B$208=1),$AL$246,HLOOKUP(INDIRECT(ADDRESS(2,COLUMN())),OFFSET($BN$2,0,0,ROW()-1,60),ROW()-1,FALSE))</f>
        <v/>
      </c>
      <c r="AM40">
        <f ca="1">IF(AND(ISNUMBER($AM$246),$B$208=1),$AM$246,HLOOKUP(INDIRECT(ADDRESS(2,COLUMN())),OFFSET($BN$2,0,0,ROW()-1,60),ROW()-1,FALSE))</f>
        <v>93433</v>
      </c>
      <c r="AN40">
        <f ca="1">IF(AND(ISNUMBER($AN$246),$B$208=1),$AN$246,HLOOKUP(INDIRECT(ADDRESS(2,COLUMN())),OFFSET($BN$2,0,0,ROW()-1,60),ROW()-1,FALSE))</f>
        <v>105074.558</v>
      </c>
      <c r="AO40">
        <f ca="1">IF(AND(ISNUMBER($AO$246),$B$208=1),$AO$246,HLOOKUP(INDIRECT(ADDRESS(2,COLUMN())),OFFSET($BN$2,0,0,ROW()-1,60),ROW()-1,FALSE))</f>
        <v>97239</v>
      </c>
      <c r="AP40">
        <f ca="1">IF(AND(ISNUMBER($AP$246),$B$208=1),$AP$246,HLOOKUP(INDIRECT(ADDRESS(2,COLUMN())),OFFSET($BN$2,0,0,ROW()-1,60),ROW()-1,FALSE))</f>
        <v>89994.911999999997</v>
      </c>
      <c r="AQ40">
        <f ca="1">IF(AND(ISNUMBER($AQ$246),$B$208=1),$AQ$246,HLOOKUP(INDIRECT(ADDRESS(2,COLUMN())),OFFSET($BN$2,0,0,ROW()-1,60),ROW()-1,FALSE))</f>
        <v>90306</v>
      </c>
      <c r="AR40">
        <f ca="1">IF(AND(ISNUMBER($AR$246),$B$208=1),$AR$246,HLOOKUP(INDIRECT(ADDRESS(2,COLUMN())),OFFSET($BN$2,0,0,ROW()-1,60),ROW()-1,FALSE))</f>
        <v>97625.888000000006</v>
      </c>
      <c r="AS40">
        <f ca="1">IF(AND(ISNUMBER($AS$246),$B$208=1),$AS$246,HLOOKUP(INDIRECT(ADDRESS(2,COLUMN())),OFFSET($BN$2,0,0,ROW()-1,60),ROW()-1,FALSE))</f>
        <v>113249</v>
      </c>
      <c r="AT40">
        <f ca="1">IF(AND(ISNUMBER($AT$246),$B$208=1),$AT$246,HLOOKUP(INDIRECT(ADDRESS(2,COLUMN())),OFFSET($BN$2,0,0,ROW()-1,60),ROW()-1,FALSE))</f>
        <v>101225.546</v>
      </c>
      <c r="AU40">
        <f ca="1">IF(AND(ISNUMBER($AU$246),$B$208=1),$AU$246,HLOOKUP(INDIRECT(ADDRESS(2,COLUMN())),OFFSET($BN$2,0,0,ROW()-1,60),ROW()-1,FALSE))</f>
        <v>93026</v>
      </c>
      <c r="AV40">
        <f ca="1">IF(AND(ISNUMBER($AV$246),$B$208=1),$AV$246,HLOOKUP(INDIRECT(ADDRESS(2,COLUMN())),OFFSET($BN$2,0,0,ROW()-1,60),ROW()-1,FALSE))</f>
        <v>84079.335999999996</v>
      </c>
      <c r="AW40">
        <f ca="1">IF(AND(ISNUMBER($AW$246),$B$208=1),$AW$246,HLOOKUP(INDIRECT(ADDRESS(2,COLUMN())),OFFSET($BN$2,0,0,ROW()-1,60),ROW()-1,FALSE))</f>
        <v>79368</v>
      </c>
      <c r="AX40">
        <f ca="1">IF(AND(ISNUMBER($AX$246),$B$208=1),$AX$246,HLOOKUP(INDIRECT(ADDRESS(2,COLUMN())),OFFSET($BN$2,0,0,ROW()-1,60),ROW()-1,FALSE))</f>
        <v>80700.678</v>
      </c>
      <c r="AY40">
        <f ca="1">IF(AND(ISNUMBER($AY$246),$B$208=1),$AY$246,HLOOKUP(INDIRECT(ADDRESS(2,COLUMN())),OFFSET($BN$2,0,0,ROW()-1,60),ROW()-1,FALSE))</f>
        <v>87802</v>
      </c>
      <c r="AZ40">
        <f ca="1">IF(AND(ISNUMBER($AZ$246),$B$208=1),$AZ$246,HLOOKUP(INDIRECT(ADDRESS(2,COLUMN())),OFFSET($BN$2,0,0,ROW()-1,60),ROW()-1,FALSE))</f>
        <v>93771.944000000003</v>
      </c>
      <c r="BA40">
        <f ca="1">IF(AND(ISNUMBER($BA$246),$B$208=1),$BA$246,HLOOKUP(INDIRECT(ADDRESS(2,COLUMN())),OFFSET($BN$2,0,0,ROW()-1,60),ROW()-1,FALSE))</f>
        <v>98593</v>
      </c>
      <c r="BB40">
        <f ca="1">IF(AND(ISNUMBER($BB$246),$B$208=1),$BB$246,HLOOKUP(INDIRECT(ADDRESS(2,COLUMN())),OFFSET($BN$2,0,0,ROW()-1,60),ROW()-1,FALSE))</f>
        <v>107118.564</v>
      </c>
      <c r="BC40">
        <f ca="1">IF(AND(ISNUMBER($BC$246),$B$208=1),$BC$246,HLOOKUP(INDIRECT(ADDRESS(2,COLUMN())),OFFSET($BN$2,0,0,ROW()-1,60),ROW()-1,FALSE))</f>
        <v>112902</v>
      </c>
      <c r="BD40">
        <f ca="1">IF(AND(ISNUMBER($BD$246),$B$208=1),$BD$246,HLOOKUP(INDIRECT(ADDRESS(2,COLUMN())),OFFSET($BN$2,0,0,ROW()-1,60),ROW()-1,FALSE))</f>
        <v>126174.77</v>
      </c>
      <c r="BE40">
        <f ca="1">IF(AND(ISNUMBER($BE$246),$B$208=1),$BE$246,HLOOKUP(INDIRECT(ADDRESS(2,COLUMN())),OFFSET($BN$2,0,0,ROW()-1,60),ROW()-1,FALSE))</f>
        <v>119109</v>
      </c>
      <c r="BF40">
        <f ca="1">IF(AND(ISNUMBER($BF$246),$B$208=1),$BF$246,HLOOKUP(INDIRECT(ADDRESS(2,COLUMN())),OFFSET($BN$2,0,0,ROW()-1,60),ROW()-1,FALSE))</f>
        <v>130985.409</v>
      </c>
      <c r="BG40">
        <f ca="1">IF(AND(ISNUMBER($BG$246),$B$208=1),$BG$246,HLOOKUP(INDIRECT(ADDRESS(2,COLUMN())),OFFSET($BN$2,0,0,ROW()-1,60),ROW()-1,FALSE))</f>
        <v>140008</v>
      </c>
      <c r="BH40">
        <f ca="1">IF(AND(ISNUMBER($BH$246),$B$208=1),$BH$246,HLOOKUP(INDIRECT(ADDRESS(2,COLUMN())),OFFSET($BN$2,0,0,ROW()-1,60),ROW()-1,FALSE))</f>
        <v>107202.94899999999</v>
      </c>
      <c r="BI40">
        <f ca="1">IF(AND(ISNUMBER($BI$246),$B$208=1),$BI$246,HLOOKUP(INDIRECT(ADDRESS(2,COLUMN())),OFFSET($BN$2,0,0,ROW()-1,60),ROW()-1,FALSE))</f>
        <v>106400</v>
      </c>
      <c r="BJ40">
        <f ca="1">IF(AND(ISNUMBER($BJ$246),$B$208=1),$BJ$246,HLOOKUP(INDIRECT(ADDRESS(2,COLUMN())),OFFSET($BN$2,0,0,ROW()-1,60),ROW()-1,FALSE))</f>
        <v>122551.402</v>
      </c>
      <c r="BK40">
        <f ca="1">IF(AND(ISNUMBER($BK$246),$B$208=1),$BK$246,HLOOKUP(INDIRECT(ADDRESS(2,COLUMN())),OFFSET($BN$2,0,0,ROW()-1,60),ROW()-1,FALSE))</f>
        <v>156983</v>
      </c>
      <c r="BL40">
        <f ca="1">IF(AND(ISNUMBER($BL$246),$B$208=1),$BL$246,HLOOKUP(INDIRECT(ADDRESS(2,COLUMN())),OFFSET($BN$2,0,0,ROW()-1,60),ROW()-1,FALSE))</f>
        <v>152099.80900000001</v>
      </c>
      <c r="BM40" t="str">
        <f ca="1">IF(AND(ISNUMBER($BM$246),$B$208=1),$BM$246,HLOOKUP(INDIRECT(ADDRESS(2,COLUMN())),OFFSET($BN$2,0,0,ROW()-1,60),ROW()-1,FALSE))</f>
        <v/>
      </c>
      <c r="BN40">
        <f>55083</f>
        <v>55083</v>
      </c>
      <c r="BO40">
        <f>58286</f>
        <v>58286</v>
      </c>
      <c r="BP40">
        <f>55674</f>
        <v>55674</v>
      </c>
      <c r="BQ40">
        <f>55472</f>
        <v>55472</v>
      </c>
      <c r="BR40">
        <f>57274</f>
        <v>57274</v>
      </c>
      <c r="BS40">
        <f>62938</f>
        <v>62938</v>
      </c>
      <c r="BT40">
        <f>66942</f>
        <v>66942</v>
      </c>
      <c r="BU40">
        <f>62293</f>
        <v>62293</v>
      </c>
      <c r="BV40">
        <f>64443</f>
        <v>64443</v>
      </c>
      <c r="BW40">
        <f>79136</f>
        <v>79136</v>
      </c>
      <c r="BX40">
        <f>74668</f>
        <v>74668</v>
      </c>
      <c r="BY40">
        <f>76144</f>
        <v>76144</v>
      </c>
      <c r="BZ40">
        <f>80109</f>
        <v>80109</v>
      </c>
      <c r="CA40">
        <f>80545</f>
        <v>80545</v>
      </c>
      <c r="CB40">
        <f>78991</f>
        <v>78991</v>
      </c>
      <c r="CC40">
        <f>73925</f>
        <v>73925</v>
      </c>
      <c r="CD40">
        <f>72705</f>
        <v>72705</v>
      </c>
      <c r="CE40">
        <f>73165</f>
        <v>73165</v>
      </c>
      <c r="CF40">
        <f>67236</f>
        <v>67236</v>
      </c>
      <c r="CG40">
        <f>69756</f>
        <v>69756</v>
      </c>
      <c r="CH40">
        <f>63280</f>
        <v>63280</v>
      </c>
      <c r="CI40">
        <f>74871</f>
        <v>74871</v>
      </c>
      <c r="CJ40">
        <f>67344</f>
        <v>67344</v>
      </c>
      <c r="CK40">
        <f>67135</f>
        <v>67135</v>
      </c>
      <c r="CL40">
        <f>65231</f>
        <v>65231</v>
      </c>
      <c r="CM40">
        <f>81258</f>
        <v>81258</v>
      </c>
      <c r="CN40">
        <f>83261.559</f>
        <v>83261.558999999994</v>
      </c>
      <c r="CO40">
        <f>80324</f>
        <v>80324</v>
      </c>
      <c r="CP40">
        <f>74685.89</f>
        <v>74685.89</v>
      </c>
      <c r="CQ40">
        <f>81493</f>
        <v>81493</v>
      </c>
      <c r="CR40">
        <f>79529.275</f>
        <v>79529.274999999994</v>
      </c>
      <c r="CS40">
        <f>86191</f>
        <v>86191</v>
      </c>
      <c r="CT40" t="str">
        <f>""</f>
        <v/>
      </c>
      <c r="CU40">
        <f>93433</f>
        <v>93433</v>
      </c>
      <c r="CV40">
        <f>105074.558</f>
        <v>105074.558</v>
      </c>
      <c r="CW40">
        <f>97239</f>
        <v>97239</v>
      </c>
      <c r="CX40">
        <f>89994.912</f>
        <v>89994.911999999997</v>
      </c>
      <c r="CY40">
        <f>90306</f>
        <v>90306</v>
      </c>
      <c r="CZ40">
        <f>97625.888</f>
        <v>97625.888000000006</v>
      </c>
      <c r="DA40">
        <f>113249</f>
        <v>113249</v>
      </c>
      <c r="DB40">
        <f>101225.546</f>
        <v>101225.546</v>
      </c>
      <c r="DC40">
        <f>93026</f>
        <v>93026</v>
      </c>
      <c r="DD40">
        <f>84079.336</f>
        <v>84079.335999999996</v>
      </c>
      <c r="DE40">
        <f>79368</f>
        <v>79368</v>
      </c>
      <c r="DF40">
        <f>80700.678</f>
        <v>80700.678</v>
      </c>
      <c r="DG40">
        <f>87802</f>
        <v>87802</v>
      </c>
      <c r="DH40">
        <f>93771.944</f>
        <v>93771.944000000003</v>
      </c>
      <c r="DI40">
        <f>98593</f>
        <v>98593</v>
      </c>
      <c r="DJ40">
        <f>107118.564</f>
        <v>107118.564</v>
      </c>
      <c r="DK40">
        <f>112902</f>
        <v>112902</v>
      </c>
      <c r="DL40">
        <f>126174.77</f>
        <v>126174.77</v>
      </c>
      <c r="DM40">
        <f>119109</f>
        <v>119109</v>
      </c>
      <c r="DN40">
        <f>130985.409</f>
        <v>130985.409</v>
      </c>
      <c r="DO40">
        <f>140008</f>
        <v>140008</v>
      </c>
      <c r="DP40">
        <f>107202.949</f>
        <v>107202.94899999999</v>
      </c>
      <c r="DQ40">
        <f>106400</f>
        <v>106400</v>
      </c>
      <c r="DR40">
        <f>122551.402</f>
        <v>122551.402</v>
      </c>
      <c r="DS40">
        <f>156983</f>
        <v>156983</v>
      </c>
      <c r="DT40">
        <f>152099.809</f>
        <v>152099.80900000001</v>
      </c>
      <c r="DU40" t="str">
        <f>""</f>
        <v/>
      </c>
    </row>
    <row r="41" spans="1:125" x14ac:dyDescent="0.25">
      <c r="A41" t="str">
        <f>"Trading Derivatives"</f>
        <v>Trading Derivatives</v>
      </c>
      <c r="B41" t="str">
        <f>""</f>
        <v/>
      </c>
      <c r="E41" t="str">
        <f>"Sum"</f>
        <v>Sum</v>
      </c>
      <c r="F41">
        <f ca="1">IF(ISERROR(IF(SUM($F$42:$F$78) = 0, "", SUM($F$42:$F$78))), "", (IF(SUM($F$42:$F$78) = 0, "", SUM($F$42:$F$78))))</f>
        <v>1452096.7237859999</v>
      </c>
      <c r="G41">
        <f ca="1">IF(ISERROR(IF(SUM($G$42:$G$78) = 0, "", SUM($G$42:$G$78))), "", (IF(SUM($G$42:$G$78) = 0, "", SUM($G$42:$G$78))))</f>
        <v>559913.50244119996</v>
      </c>
      <c r="H41">
        <f ca="1">IF(ISERROR(IF(SUM($H$42:$H$78) = 0, "", SUM($H$42:$H$78))), "", (IF(SUM($H$42:$H$78) = 0, "", SUM($H$42:$H$78))))</f>
        <v>1165540.4282</v>
      </c>
      <c r="I41">
        <f ca="1">IF(ISERROR(IF(SUM($I$42:$I$78) = 0, "", SUM($I$42:$I$78))), "", (IF(SUM($I$42:$I$78) = 0, "", SUM($I$42:$I$78))))</f>
        <v>551044.88838100003</v>
      </c>
      <c r="J41">
        <f ca="1">IF(ISERROR(IF(SUM($J$42:$J$78) = 0, "", SUM($J$42:$J$78))), "", (IF(SUM($J$42:$J$78) = 0, "", SUM($J$42:$J$78))))</f>
        <v>1339415.8067369997</v>
      </c>
      <c r="K41">
        <f ca="1">IF(ISERROR(IF(SUM($K$42:$K$78) = 0, "", SUM($K$42:$K$78))), "", (IF(SUM($K$42:$K$78) = 0, "", SUM($K$42:$K$78))))</f>
        <v>665366.7149599999</v>
      </c>
      <c r="L41">
        <f ca="1">IF(ISERROR(IF(SUM($L$42:$L$78) = 0, "", SUM($L$42:$L$78))), "", (IF(SUM($L$42:$L$78) = 0, "", SUM($L$42:$L$78))))</f>
        <v>1140478.4847800001</v>
      </c>
      <c r="M41">
        <f ca="1">IF(ISERROR(IF(SUM($M$42:$M$78) = 0, "", SUM($M$42:$M$78))), "", (IF(SUM($M$42:$M$78) = 0, "", SUM($M$42:$M$78))))</f>
        <v>568683.622034</v>
      </c>
      <c r="N41">
        <f ca="1">IF(ISERROR(IF(SUM($N$42:$N$78) = 0, "", SUM($N$42:$N$78))), "", (IF(SUM($N$42:$N$78) = 0, "", SUM($N$42:$N$78))))</f>
        <v>1588369.9830389998</v>
      </c>
      <c r="O41">
        <f ca="1">IF(ISERROR(IF(SUM($O$42:$O$78) = 0, "", SUM($O$42:$O$78))), "", (IF(SUM($O$42:$O$78) = 0, "", SUM($O$42:$O$78))))</f>
        <v>915049.67498999997</v>
      </c>
      <c r="P41">
        <f ca="1">IF(ISERROR(IF(SUM($P$42:$P$78) = 0, "", SUM($P$42:$P$78))), "", (IF(SUM($P$42:$P$78) = 0, "", SUM($P$42:$P$78))))</f>
        <v>1369859.207678</v>
      </c>
      <c r="Q41">
        <f ca="1">IF(ISERROR(IF(SUM($Q$42:$Q$78) = 0, "", SUM($Q$42:$Q$78))), "", (IF(SUM($Q$42:$Q$78) = 0, "", SUM($Q$42:$Q$78))))</f>
        <v>614620.65990100009</v>
      </c>
      <c r="R41">
        <f ca="1">IF(ISERROR(IF(SUM($R$42:$R$78) = 0, "", SUM($R$42:$R$78))), "", (IF(SUM($R$42:$R$78) = 0, "", SUM($R$42:$R$78))))</f>
        <v>1449708.677289</v>
      </c>
      <c r="S41">
        <f ca="1">IF(ISERROR(IF(SUM($S$42:$S$78) = 0, "", SUM($S$42:$S$78))), "", (IF(SUM($S$42:$S$78) = 0, "", SUM($S$42:$S$78))))</f>
        <v>557668.38677800004</v>
      </c>
      <c r="T41">
        <f ca="1">IF(ISERROR(IF(SUM($T$42:$T$78) = 0, "", SUM($T$42:$T$78))), "", (IF(SUM($T$42:$T$78) = 0, "", SUM($T$42:$T$78))))</f>
        <v>1196269.1102</v>
      </c>
      <c r="U41">
        <f ca="1">IF(ISERROR(IF(SUM($U$42:$U$78) = 0, "", SUM($U$42:$U$78))), "", (IF(SUM($U$42:$U$78) = 0, "", SUM($U$42:$U$78))))</f>
        <v>585399.28349499998</v>
      </c>
      <c r="V41">
        <f ca="1">IF(ISERROR(IF(SUM($V$42:$V$78) = 0, "", SUM($V$42:$V$78))), "", (IF(SUM($V$42:$V$78) = 0, "", SUM($V$42:$V$78))))</f>
        <v>1771161.529535</v>
      </c>
      <c r="W41">
        <f ca="1">IF(ISERROR(IF(SUM($W$42:$W$78) = 0, "", SUM($W$42:$W$78))), "", (IF(SUM($W$42:$W$78) = 0, "", SUM($W$42:$W$78))))</f>
        <v>705654.13478399999</v>
      </c>
      <c r="X41">
        <f ca="1">IF(ISERROR(IF(SUM($X$42:$X$78) = 0, "", SUM($X$42:$X$78))), "", (IF(SUM($X$42:$X$78) = 0, "", SUM($X$42:$X$78))))</f>
        <v>1145906.9721330001</v>
      </c>
      <c r="Y41">
        <f ca="1">IF(ISERROR(IF(SUM($Y$42:$Y$78) = 0, "", SUM($Y$42:$Y$78))), "", (IF(SUM($Y$42:$Y$78) = 0, "", SUM($Y$42:$Y$78))))</f>
        <v>908953.28612800001</v>
      </c>
      <c r="Z41">
        <f ca="1">IF(ISERROR(IF(SUM($Z$42:$Z$78) = 0, "", SUM($Z$42:$Z$78))), "", (IF(SUM($Z$42:$Z$78) = 0, "", SUM($Z$42:$Z$78))))</f>
        <v>1627781.168936</v>
      </c>
      <c r="AA41">
        <f ca="1">IF(ISERROR(IF(SUM($AA$42:$AA$78) = 0, "", SUM($AA$42:$AA$78))), "", (IF(SUM($AA$42:$AA$78) = 0, "", SUM($AA$42:$AA$78))))</f>
        <v>466033.457306</v>
      </c>
      <c r="AB41">
        <f ca="1">IF(ISERROR(IF(SUM($AB$42:$AB$78) = 0, "", SUM($AB$42:$AB$78))), "", (IF(SUM($AB$42:$AB$78) = 0, "", SUM($AB$42:$AB$78))))</f>
        <v>1106063.1292601998</v>
      </c>
      <c r="AC41">
        <f ca="1">IF(ISERROR(IF(SUM($AC$42:$AC$78) = 0, "", SUM($AC$42:$AC$78))), "", (IF(SUM($AC$42:$AC$78) = 0, "", SUM($AC$42:$AC$78))))</f>
        <v>706055.44459900004</v>
      </c>
      <c r="AD41">
        <f ca="1">IF(ISERROR(IF(SUM($AD$42:$AD$78) = 0, "", SUM($AD$42:$AD$78))), "", (IF(SUM($AD$42:$AD$78) = 0, "", SUM($AD$42:$AD$78))))</f>
        <v>1503788.1113269001</v>
      </c>
      <c r="AE41">
        <f ca="1">IF(ISERROR(IF(SUM($AE$42:$AE$78) = 0, "", SUM($AE$42:$AE$78))), "", (IF(SUM($AE$42:$AE$78) = 0, "", SUM($AE$42:$AE$78))))</f>
        <v>377322.59416199999</v>
      </c>
      <c r="AF41">
        <f ca="1">IF(ISERROR(IF(SUM($AF$42:$AF$78) = 0, "", SUM($AF$42:$AF$78))), "", (IF(SUM($AF$42:$AF$78) = 0, "", SUM($AF$42:$AF$78))))</f>
        <v>679708.75608600001</v>
      </c>
      <c r="AG41">
        <f ca="1">IF(ISERROR(IF(SUM($AG$42:$AG$78) = 0, "", SUM($AG$42:$AG$78))), "", (IF(SUM($AG$42:$AG$78) = 0, "", SUM($AG$42:$AG$78))))</f>
        <v>304917.26203500002</v>
      </c>
      <c r="AH41">
        <f ca="1">IF(ISERROR(IF(SUM($AH$42:$AH$78) = 0, "", SUM($AH$42:$AH$78))), "", (IF(SUM($AH$42:$AH$78) = 0, "", SUM($AH$42:$AH$78))))</f>
        <v>1283380.173066</v>
      </c>
      <c r="AI41">
        <f ca="1">IF(ISERROR(IF(SUM($AI$42:$AI$78) = 0, "", SUM($AI$42:$AI$78))), "", (IF(SUM($AI$42:$AI$78) = 0, "", SUM($AI$42:$AI$78))))</f>
        <v>733282.126911</v>
      </c>
      <c r="AJ41">
        <f ca="1">IF(ISERROR(IF(SUM($AJ$42:$AJ$78) = 0, "", SUM($AJ$42:$AJ$78))), "", (IF(SUM($AJ$42:$AJ$78) = 0, "", SUM($AJ$42:$AJ$78))))</f>
        <v>593405.33807599999</v>
      </c>
      <c r="AK41">
        <f ca="1">IF(ISERROR(IF(SUM($AK$42:$AK$78) = 0, "", SUM($AK$42:$AK$78))), "", (IF(SUM($AK$42:$AK$78) = 0, "", SUM($AK$42:$AK$78))))</f>
        <v>349721.92432300001</v>
      </c>
      <c r="AL41">
        <f ca="1">IF(ISERROR(IF(SUM($AL$42:$AL$78) = 0, "", SUM($AL$42:$AL$78))), "", (IF(SUM($AL$42:$AL$78) = 0, "", SUM($AL$42:$AL$78))))</f>
        <v>1512835.5240310002</v>
      </c>
      <c r="AM41">
        <f ca="1">IF(ISERROR(IF(SUM($AM$42:$AM$78) = 0, "", SUM($AM$42:$AM$78))), "", (IF(SUM($AM$42:$AM$78) = 0, "", SUM($AM$42:$AM$78))))</f>
        <v>506915.33188399998</v>
      </c>
      <c r="AN41">
        <f ca="1">IF(ISERROR(IF(SUM($AN$42:$AN$78) = 0, "", SUM($AN$42:$AN$78))), "", (IF(SUM($AN$42:$AN$78) = 0, "", SUM($AN$42:$AN$78))))</f>
        <v>632870.49602599989</v>
      </c>
      <c r="AO41">
        <f ca="1">IF(ISERROR(IF(SUM($AO$42:$AO$78) = 0, "", SUM($AO$42:$AO$78))), "", (IF(SUM($AO$42:$AO$78) = 0, "", SUM($AO$42:$AO$78))))</f>
        <v>542636.69416399999</v>
      </c>
      <c r="AP41">
        <f ca="1">IF(ISERROR(IF(SUM($AP$42:$AP$78) = 0, "", SUM($AP$42:$AP$78))), "", (IF(SUM($AP$42:$AP$78) = 0, "", SUM($AP$42:$AP$78))))</f>
        <v>1755174.9374885999</v>
      </c>
      <c r="AQ41">
        <f ca="1">IF(ISERROR(IF(SUM($AQ$42:$AQ$78) = 0, "", SUM($AQ$42:$AQ$78))), "", (IF(SUM($AQ$42:$AQ$78) = 0, "", SUM($AQ$42:$AQ$78))))</f>
        <v>176912.82595999999</v>
      </c>
      <c r="AR41">
        <f ca="1">IF(ISERROR(IF(SUM($AR$42:$AR$78) = 0, "", SUM($AR$42:$AR$78))), "", (IF(SUM($AR$42:$AR$78) = 0, "", SUM($AR$42:$AR$78))))</f>
        <v>624370.67718799994</v>
      </c>
      <c r="AS41">
        <f ca="1">IF(ISERROR(IF(SUM($AS$42:$AS$78) = 0, "", SUM($AS$42:$AS$78))), "", (IF(SUM($AS$42:$AS$78) = 0, "", SUM($AS$42:$AS$78))))</f>
        <v>226524.50029599998</v>
      </c>
      <c r="AT41">
        <f ca="1">IF(ISERROR(IF(SUM($AT$42:$AT$78) = 0, "", SUM($AT$42:$AT$78))), "", (IF(SUM($AT$42:$AT$78) = 0, "", SUM($AT$42:$AT$78))))</f>
        <v>1303390.3732193999</v>
      </c>
      <c r="AU41">
        <f ca="1">IF(ISERROR(IF(SUM($AU$42:$AU$78) = 0, "", SUM($AU$42:$AU$78))), "", (IF(SUM($AU$42:$AU$78) = 0, "", SUM($AU$42:$AU$78))))</f>
        <v>188034</v>
      </c>
      <c r="AV41">
        <f ca="1">IF(ISERROR(IF(SUM($AV$42:$AV$78) = 0, "", SUM($AV$42:$AV$78))), "", (IF(SUM($AV$42:$AV$78) = 0, "", SUM($AV$42:$AV$78))))</f>
        <v>877846.02522900002</v>
      </c>
      <c r="AW41">
        <f ca="1">IF(ISERROR(IF(SUM($AW$42:$AW$78) = 0, "", SUM($AW$42:$AW$78))), "", (IF(SUM($AW$42:$AW$78) = 0, "", SUM($AW$42:$AW$78))))</f>
        <v>139048.957226</v>
      </c>
      <c r="AX41">
        <f ca="1">IF(ISERROR(IF(SUM($AX$42:$AX$78) = 0, "", SUM($AX$42:$AX$78))), "", (IF(SUM($AX$42:$AX$78) = 0, "", SUM($AX$42:$AX$78))))</f>
        <v>1821378.8844620001</v>
      </c>
      <c r="AY41">
        <f ca="1">IF(ISERROR(IF(SUM($AY$42:$AY$78) = 0, "", SUM($AY$42:$AY$78))), "", (IF(SUM($AY$42:$AY$78) = 0, "", SUM($AY$42:$AY$78))))</f>
        <v>248830.04133000001</v>
      </c>
      <c r="AZ41">
        <f ca="1">IF(ISERROR(IF(SUM($AZ$42:$AZ$78) = 0, "", SUM($AZ$42:$AZ$78))), "", (IF(SUM($AZ$42:$AZ$78) = 0, "", SUM($AZ$42:$AZ$78))))</f>
        <v>547597.7426</v>
      </c>
      <c r="BA41">
        <f ca="1">IF(ISERROR(IF(SUM($BA$42:$BA$78) = 0, "", SUM($BA$42:$BA$78))), "", (IF(SUM($BA$42:$BA$78) = 0, "", SUM($BA$42:$BA$78))))</f>
        <v>237287.82711000001</v>
      </c>
      <c r="BB41">
        <f ca="1">IF(ISERROR(IF(SUM($BB$42:$BB$78) = 0, "", SUM($BB$42:$BB$78))), "", (IF(SUM($BB$42:$BB$78) = 0, "", SUM($BB$42:$BB$78))))</f>
        <v>2842103.1978950002</v>
      </c>
      <c r="BC41">
        <f ca="1">IF(ISERROR(IF(SUM($BC$42:$BC$78) = 0, "", SUM($BC$42:$BC$78))), "", (IF(SUM($BC$42:$BC$78) = 0, "", SUM($BC$42:$BC$78))))</f>
        <v>426587.93908000004</v>
      </c>
      <c r="BD41">
        <f ca="1">IF(ISERROR(IF(SUM($BD$42:$BD$78) = 0, "", SUM($BD$42:$BD$78))), "", (IF(SUM($BD$42:$BD$78) = 0, "", SUM($BD$42:$BD$78))))</f>
        <v>1396396.4302399999</v>
      </c>
      <c r="BE41">
        <f ca="1">IF(ISERROR(IF(SUM($BE$42:$BE$78) = 0, "", SUM($BE$42:$BE$78))), "", (IF(SUM($BE$42:$BE$78) = 0, "", SUM($BE$42:$BE$78))))</f>
        <v>857411.66001999995</v>
      </c>
      <c r="BF41">
        <f ca="1">IF(ISERROR(IF(SUM($BF$42:$BF$78) = 0, "", SUM($BF$42:$BF$78))), "", (IF(SUM($BF$42:$BF$78) = 0, "", SUM($BF$42:$BF$78))))</f>
        <v>3637466.7629699996</v>
      </c>
      <c r="BG41">
        <f ca="1">IF(ISERROR(IF(SUM($BG$42:$BG$78) = 0, "", SUM($BG$42:$BG$78))), "", (IF(SUM($BG$42:$BG$78) = 0, "", SUM($BG$42:$BG$78))))</f>
        <v>308971</v>
      </c>
      <c r="BH41">
        <f ca="1">IF(ISERROR(IF(SUM($BH$42:$BH$78) = 0, "", SUM($BH$42:$BH$78))), "", (IF(SUM($BH$42:$BH$78) = 0, "", SUM($BH$42:$BH$78))))</f>
        <v>1472168.7203960002</v>
      </c>
      <c r="BI41">
        <f ca="1">IF(ISERROR(IF(SUM($BI$42:$BI$78) = 0, "", SUM($BI$42:$BI$78))), "", (IF(SUM($BI$42:$BI$78) = 0, "", SUM($BI$42:$BI$78))))</f>
        <v>159438.84680100001</v>
      </c>
      <c r="BJ41">
        <f ca="1">IF(ISERROR(IF(SUM($BJ$42:$BJ$78) = 0, "", SUM($BJ$42:$BJ$78))), "", (IF(SUM($BJ$42:$BJ$78) = 0, "", SUM($BJ$42:$BJ$78))))</f>
        <v>2809837.9479869995</v>
      </c>
      <c r="BK41">
        <f ca="1">IF(ISERROR(IF(SUM($BK$42:$BK$78) = 0, "", SUM($BK$42:$BK$78))), "", (IF(SUM($BK$42:$BK$78) = 0, "", SUM($BK$42:$BK$78))))</f>
        <v>1837553.0551100001</v>
      </c>
      <c r="BL41">
        <f ca="1">IF(ISERROR(IF(SUM($BL$42:$BL$78) = 0, "", SUM($BL$42:$BL$78))), "", (IF(SUM($BL$42:$BL$78) = 0, "", SUM($BL$42:$BL$78))))</f>
        <v>2831540.8745060004</v>
      </c>
      <c r="BM41">
        <f ca="1">IF(ISERROR(IF(SUM($BM$42:$BM$78) = 0, "", SUM($BM$42:$BM$78))), "", (IF(SUM($BM$42:$BM$78) = 0, "", SUM($BM$42:$BM$78))))</f>
        <v>190899.968964</v>
      </c>
      <c r="BN41">
        <f>1452096.724</f>
        <v>1452096.7239999999</v>
      </c>
      <c r="BO41">
        <f>559913.5024</f>
        <v>559913.5024</v>
      </c>
      <c r="BP41">
        <f>1165540.428</f>
        <v>1165540.4280000001</v>
      </c>
      <c r="BQ41">
        <f>551044.8884</f>
        <v>551044.88840000005</v>
      </c>
      <c r="BR41">
        <f>1339415.807</f>
        <v>1339415.807</v>
      </c>
      <c r="BS41">
        <f>665366.715</f>
        <v>665366.71499999997</v>
      </c>
      <c r="BT41">
        <f>1140478.485</f>
        <v>1140478.4850000001</v>
      </c>
      <c r="BU41">
        <f>568683.622</f>
        <v>568683.62199999997</v>
      </c>
      <c r="BV41">
        <f>1588369.983</f>
        <v>1588369.983</v>
      </c>
      <c r="BW41">
        <f>915049.675</f>
        <v>915049.67500000005</v>
      </c>
      <c r="BX41">
        <f>1369859.208</f>
        <v>1369859.2080000001</v>
      </c>
      <c r="BY41">
        <f>614620.6599</f>
        <v>614620.65989999997</v>
      </c>
      <c r="BZ41">
        <f>1449708.677</f>
        <v>1449708.6769999999</v>
      </c>
      <c r="CA41">
        <f>557668.3868</f>
        <v>557668.38679999998</v>
      </c>
      <c r="CB41">
        <f>1196269.11</f>
        <v>1196269.1100000001</v>
      </c>
      <c r="CC41">
        <f>585399.2835</f>
        <v>585399.28350000002</v>
      </c>
      <c r="CD41">
        <f>1771161.53</f>
        <v>1771161.53</v>
      </c>
      <c r="CE41">
        <f>705654.1348</f>
        <v>705654.1348</v>
      </c>
      <c r="CF41">
        <f>1145906.972</f>
        <v>1145906.9720000001</v>
      </c>
      <c r="CG41">
        <f>908953.2861</f>
        <v>908953.28610000003</v>
      </c>
      <c r="CH41">
        <f>1627781.169</f>
        <v>1627781.169</v>
      </c>
      <c r="CI41">
        <f>466033.4573</f>
        <v>466033.45730000001</v>
      </c>
      <c r="CJ41">
        <f>1106063.129</f>
        <v>1106063.129</v>
      </c>
      <c r="CK41">
        <f>706055.4446</f>
        <v>706055.44460000005</v>
      </c>
      <c r="CL41">
        <f>1503788.111</f>
        <v>1503788.111</v>
      </c>
      <c r="CM41">
        <f>377322.5942</f>
        <v>377322.59419999999</v>
      </c>
      <c r="CN41">
        <f>679708.7561</f>
        <v>679708.7561</v>
      </c>
      <c r="CO41">
        <f>304917.262</f>
        <v>304917.26199999999</v>
      </c>
      <c r="CP41">
        <f>1283380.173</f>
        <v>1283380.173</v>
      </c>
      <c r="CQ41">
        <f>733282.1269</f>
        <v>733282.12690000003</v>
      </c>
      <c r="CR41">
        <f>593405.3381</f>
        <v>593405.33810000005</v>
      </c>
      <c r="CS41">
        <f>349721.9243</f>
        <v>349721.92430000001</v>
      </c>
      <c r="CT41">
        <f>1512835.524</f>
        <v>1512835.524</v>
      </c>
      <c r="CU41">
        <f>506915.3319</f>
        <v>506915.33189999999</v>
      </c>
      <c r="CV41">
        <f>632870.496</f>
        <v>632870.49600000004</v>
      </c>
      <c r="CW41">
        <f>542636.6942</f>
        <v>542636.69420000003</v>
      </c>
      <c r="CX41">
        <f>1755174.937</f>
        <v>1755174.9369999999</v>
      </c>
      <c r="CY41">
        <f>176912.826</f>
        <v>176912.826</v>
      </c>
      <c r="CZ41">
        <f>624370.6772</f>
        <v>624370.67720000003</v>
      </c>
      <c r="DA41">
        <f>226524.5003</f>
        <v>226524.50030000001</v>
      </c>
      <c r="DB41">
        <f>1303390.373</f>
        <v>1303390.3729999999</v>
      </c>
      <c r="DC41">
        <f>188034</f>
        <v>188034</v>
      </c>
      <c r="DD41">
        <f>877846.0252</f>
        <v>877846.02520000003</v>
      </c>
      <c r="DE41">
        <f>139048.9572</f>
        <v>139048.9572</v>
      </c>
      <c r="DF41">
        <f>1821378.884</f>
        <v>1821378.8840000001</v>
      </c>
      <c r="DG41">
        <f>248830.0413</f>
        <v>248830.04130000001</v>
      </c>
      <c r="DH41">
        <f>547597.7426</f>
        <v>547597.7426</v>
      </c>
      <c r="DI41">
        <f>237287.8271</f>
        <v>237287.82709999999</v>
      </c>
      <c r="DJ41">
        <f>2842103.198</f>
        <v>2842103.1979999999</v>
      </c>
      <c r="DK41">
        <f>426587.9391</f>
        <v>426587.93910000002</v>
      </c>
      <c r="DL41">
        <f>1396396.43</f>
        <v>1396396.43</v>
      </c>
      <c r="DM41">
        <f>857411.66</f>
        <v>857411.66</v>
      </c>
      <c r="DN41">
        <f>3637466.763</f>
        <v>3637466.7629999998</v>
      </c>
      <c r="DO41">
        <f>308971</f>
        <v>308971</v>
      </c>
      <c r="DP41">
        <f>1472168.72</f>
        <v>1472168.72</v>
      </c>
      <c r="DQ41">
        <f>159438.8468</f>
        <v>159438.8468</v>
      </c>
      <c r="DR41">
        <f>2809837.948</f>
        <v>2809837.9479999999</v>
      </c>
      <c r="DS41">
        <f>1837553.055</f>
        <v>1837553.0549999999</v>
      </c>
      <c r="DT41">
        <f>2831540.875</f>
        <v>2831540.875</v>
      </c>
      <c r="DU41">
        <f>190899.969</f>
        <v>190899.96900000001</v>
      </c>
    </row>
    <row r="42" spans="1:125" x14ac:dyDescent="0.25">
      <c r="A42" t="str">
        <f>"    ABN AMRO Bank NV"</f>
        <v xml:space="preserve">    ABN AMRO Bank NV</v>
      </c>
      <c r="B42" t="str">
        <f>"ABN NA Equity"</f>
        <v>ABN NA Equity</v>
      </c>
      <c r="C42" t="str">
        <f t="shared" ref="C42:C78" si="3">"BM109"</f>
        <v>BM109</v>
      </c>
      <c r="D42" t="str">
        <f t="shared" ref="D42:D78" si="4">"BS_TRADING_SECURITIES_DERIVS"</f>
        <v>BS_TRADING_SECURITIES_DERIVS</v>
      </c>
      <c r="E42" t="str">
        <f t="shared" ref="E42:E78" si="5">"Dynamic"</f>
        <v>Dynamic</v>
      </c>
      <c r="F42">
        <f ca="1">IF(AND(ISNUMBER($F$247),$B$208=1),$F$247,HLOOKUP(INDIRECT(ADDRESS(2,COLUMN())),OFFSET($BN$2,0,0,ROW()-1,60),ROW()-1,FALSE))</f>
        <v>3886</v>
      </c>
      <c r="G42" t="str">
        <f ca="1">IF(AND(ISNUMBER($G$247),$B$208=1),$G$247,HLOOKUP(INDIRECT(ADDRESS(2,COLUMN())),OFFSET($BN$2,0,0,ROW()-1,60),ROW()-1,FALSE))</f>
        <v/>
      </c>
      <c r="H42">
        <f ca="1">IF(AND(ISNUMBER($H$247),$B$208=1),$H$247,HLOOKUP(INDIRECT(ADDRESS(2,COLUMN())),OFFSET($BN$2,0,0,ROW()-1,60),ROW()-1,FALSE))</f>
        <v>4218</v>
      </c>
      <c r="I42" t="str">
        <f ca="1">IF(AND(ISNUMBER($I$247),$B$208=1),$I$247,HLOOKUP(INDIRECT(ADDRESS(2,COLUMN())),OFFSET($BN$2,0,0,ROW()-1,60),ROW()-1,FALSE))</f>
        <v/>
      </c>
      <c r="J42">
        <f ca="1">IF(AND(ISNUMBER($J$247),$B$208=1),$J$247,HLOOKUP(INDIRECT(ADDRESS(2,COLUMN())),OFFSET($BN$2,0,0,ROW()-1,60),ROW()-1,FALSE))</f>
        <v>4034</v>
      </c>
      <c r="K42" t="str">
        <f ca="1">IF(AND(ISNUMBER($K$247),$B$208=1),$K$247,HLOOKUP(INDIRECT(ADDRESS(2,COLUMN())),OFFSET($BN$2,0,0,ROW()-1,60),ROW()-1,FALSE))</f>
        <v/>
      </c>
      <c r="L42">
        <f ca="1">IF(AND(ISNUMBER($L$247),$B$208=1),$L$247,HLOOKUP(INDIRECT(ADDRESS(2,COLUMN())),OFFSET($BN$2,0,0,ROW()-1,60),ROW()-1,FALSE))</f>
        <v>4768</v>
      </c>
      <c r="M42" t="str">
        <f ca="1">IF(AND(ISNUMBER($M$247),$B$208=1),$M$247,HLOOKUP(INDIRECT(ADDRESS(2,COLUMN())),OFFSET($BN$2,0,0,ROW()-1,60),ROW()-1,FALSE))</f>
        <v/>
      </c>
      <c r="N42">
        <f ca="1">IF(AND(ISNUMBER($N$247),$B$208=1),$N$247,HLOOKUP(INDIRECT(ADDRESS(2,COLUMN())),OFFSET($BN$2,0,0,ROW()-1,60),ROW()-1,FALSE))</f>
        <v>4831</v>
      </c>
      <c r="O42" t="str">
        <f ca="1">IF(AND(ISNUMBER($O$247),$B$208=1),$O$247,HLOOKUP(INDIRECT(ADDRESS(2,COLUMN())),OFFSET($BN$2,0,0,ROW()-1,60),ROW()-1,FALSE))</f>
        <v/>
      </c>
      <c r="P42">
        <f ca="1">IF(AND(ISNUMBER($P$247),$B$208=1),$P$247,HLOOKUP(INDIRECT(ADDRESS(2,COLUMN())),OFFSET($BN$2,0,0,ROW()-1,60),ROW()-1,FALSE))</f>
        <v>4516</v>
      </c>
      <c r="Q42" t="str">
        <f ca="1">IF(AND(ISNUMBER($Q$247),$B$208=1),$Q$247,HLOOKUP(INDIRECT(ADDRESS(2,COLUMN())),OFFSET($BN$2,0,0,ROW()-1,60),ROW()-1,FALSE))</f>
        <v/>
      </c>
      <c r="R42">
        <f ca="1">IF(AND(ISNUMBER($R$247),$B$208=1),$R$247,HLOOKUP(INDIRECT(ADDRESS(2,COLUMN())),OFFSET($BN$2,0,0,ROW()-1,60),ROW()-1,FALSE))</f>
        <v>2975</v>
      </c>
      <c r="S42" t="str">
        <f ca="1">IF(AND(ISNUMBER($S$247),$B$208=1),$S$247,HLOOKUP(INDIRECT(ADDRESS(2,COLUMN())),OFFSET($BN$2,0,0,ROW()-1,60),ROW()-1,FALSE))</f>
        <v/>
      </c>
      <c r="T42">
        <f ca="1">IF(AND(ISNUMBER($T$247),$B$208=1),$T$247,HLOOKUP(INDIRECT(ADDRESS(2,COLUMN())),OFFSET($BN$2,0,0,ROW()-1,60),ROW()-1,FALSE))</f>
        <v>3880</v>
      </c>
      <c r="U42" t="str">
        <f ca="1">IF(AND(ISNUMBER($U$247),$B$208=1),$U$247,HLOOKUP(INDIRECT(ADDRESS(2,COLUMN())),OFFSET($BN$2,0,0,ROW()-1,60),ROW()-1,FALSE))</f>
        <v/>
      </c>
      <c r="V42">
        <f ca="1">IF(AND(ISNUMBER($V$247),$B$208=1),$V$247,HLOOKUP(INDIRECT(ADDRESS(2,COLUMN())),OFFSET($BN$2,0,0,ROW()-1,60),ROW()-1,FALSE))</f>
        <v>5040</v>
      </c>
      <c r="W42" t="str">
        <f ca="1">IF(AND(ISNUMBER($W$247),$B$208=1),$W$247,HLOOKUP(INDIRECT(ADDRESS(2,COLUMN())),OFFSET($BN$2,0,0,ROW()-1,60),ROW()-1,FALSE))</f>
        <v/>
      </c>
      <c r="X42">
        <f ca="1">IF(AND(ISNUMBER($X$247),$B$208=1),$X$247,HLOOKUP(INDIRECT(ADDRESS(2,COLUMN())),OFFSET($BN$2,0,0,ROW()-1,60),ROW()-1,FALSE))</f>
        <v>5921</v>
      </c>
      <c r="Y42" t="str">
        <f ca="1">IF(AND(ISNUMBER($Y$247),$B$208=1),$Y$247,HLOOKUP(INDIRECT(ADDRESS(2,COLUMN())),OFFSET($BN$2,0,0,ROW()-1,60),ROW()-1,FALSE))</f>
        <v/>
      </c>
      <c r="Z42">
        <f ca="1">IF(AND(ISNUMBER($Z$247),$B$208=1),$Z$247,HLOOKUP(INDIRECT(ADDRESS(2,COLUMN())),OFFSET($BN$2,0,0,ROW()-1,60),ROW()-1,FALSE))</f>
        <v>4499</v>
      </c>
      <c r="AA42" t="str">
        <f ca="1">IF(AND(ISNUMBER($AA$247),$B$208=1),$AA$247,HLOOKUP(INDIRECT(ADDRESS(2,COLUMN())),OFFSET($BN$2,0,0,ROW()-1,60),ROW()-1,FALSE))</f>
        <v/>
      </c>
      <c r="AB42">
        <f ca="1">IF(AND(ISNUMBER($AB$247),$B$208=1),$AB$247,HLOOKUP(INDIRECT(ADDRESS(2,COLUMN())),OFFSET($BN$2,0,0,ROW()-1,60),ROW()-1,FALSE))</f>
        <v>5232</v>
      </c>
      <c r="AC42" t="str">
        <f ca="1">IF(AND(ISNUMBER($AC$247),$B$208=1),$AC$247,HLOOKUP(INDIRECT(ADDRESS(2,COLUMN())),OFFSET($BN$2,0,0,ROW()-1,60),ROW()-1,FALSE))</f>
        <v/>
      </c>
      <c r="AD42">
        <f ca="1">IF(AND(ISNUMBER($AD$247),$B$208=1),$AD$247,HLOOKUP(INDIRECT(ADDRESS(2,COLUMN())),OFFSET($BN$2,0,0,ROW()-1,60),ROW()-1,FALSE))</f>
        <v>4839</v>
      </c>
      <c r="AE42" t="str">
        <f ca="1">IF(AND(ISNUMBER($AE$247),$B$208=1),$AE$247,HLOOKUP(INDIRECT(ADDRESS(2,COLUMN())),OFFSET($BN$2,0,0,ROW()-1,60),ROW()-1,FALSE))</f>
        <v/>
      </c>
      <c r="AF42" t="str">
        <f ca="1">IF(AND(ISNUMBER($AF$247),$B$208=1),$AF$247,HLOOKUP(INDIRECT(ADDRESS(2,COLUMN())),OFFSET($BN$2,0,0,ROW()-1,60),ROW()-1,FALSE))</f>
        <v/>
      </c>
      <c r="AG42" t="str">
        <f ca="1">IF(AND(ISNUMBER($AG$247),$B$208=1),$AG$247,HLOOKUP(INDIRECT(ADDRESS(2,COLUMN())),OFFSET($BN$2,0,0,ROW()-1,60),ROW()-1,FALSE))</f>
        <v/>
      </c>
      <c r="AH42" t="str">
        <f ca="1">IF(AND(ISNUMBER($AH$247),$B$208=1),$AH$247,HLOOKUP(INDIRECT(ADDRESS(2,COLUMN())),OFFSET($BN$2,0,0,ROW()-1,60),ROW()-1,FALSE))</f>
        <v/>
      </c>
      <c r="AI42" t="str">
        <f ca="1">IF(AND(ISNUMBER($AI$247),$B$208=1),$AI$247,HLOOKUP(INDIRECT(ADDRESS(2,COLUMN())),OFFSET($BN$2,0,0,ROW()-1,60),ROW()-1,FALSE))</f>
        <v/>
      </c>
      <c r="AJ42" t="str">
        <f ca="1">IF(AND(ISNUMBER($AJ$247),$B$208=1),$AJ$247,HLOOKUP(INDIRECT(ADDRESS(2,COLUMN())),OFFSET($BN$2,0,0,ROW()-1,60),ROW()-1,FALSE))</f>
        <v/>
      </c>
      <c r="AK42" t="str">
        <f ca="1">IF(AND(ISNUMBER($AK$247),$B$208=1),$AK$247,HLOOKUP(INDIRECT(ADDRESS(2,COLUMN())),OFFSET($BN$2,0,0,ROW()-1,60),ROW()-1,FALSE))</f>
        <v/>
      </c>
      <c r="AL42" t="str">
        <f ca="1">IF(AND(ISNUMBER($AL$247),$B$208=1),$AL$247,HLOOKUP(INDIRECT(ADDRESS(2,COLUMN())),OFFSET($BN$2,0,0,ROW()-1,60),ROW()-1,FALSE))</f>
        <v/>
      </c>
      <c r="AM42" t="str">
        <f ca="1">IF(AND(ISNUMBER($AM$247),$B$208=1),$AM$247,HLOOKUP(INDIRECT(ADDRESS(2,COLUMN())),OFFSET($BN$2,0,0,ROW()-1,60),ROW()-1,FALSE))</f>
        <v/>
      </c>
      <c r="AN42" t="str">
        <f ca="1">IF(AND(ISNUMBER($AN$247),$B$208=1),$AN$247,HLOOKUP(INDIRECT(ADDRESS(2,COLUMN())),OFFSET($BN$2,0,0,ROW()-1,60),ROW()-1,FALSE))</f>
        <v/>
      </c>
      <c r="AO42" t="str">
        <f ca="1">IF(AND(ISNUMBER($AO$247),$B$208=1),$AO$247,HLOOKUP(INDIRECT(ADDRESS(2,COLUMN())),OFFSET($BN$2,0,0,ROW()-1,60),ROW()-1,FALSE))</f>
        <v/>
      </c>
      <c r="AP42" t="str">
        <f ca="1">IF(AND(ISNUMBER($AP$247),$B$208=1),$AP$247,HLOOKUP(INDIRECT(ADDRESS(2,COLUMN())),OFFSET($BN$2,0,0,ROW()-1,60),ROW()-1,FALSE))</f>
        <v/>
      </c>
      <c r="AQ42" t="str">
        <f ca="1">IF(AND(ISNUMBER($AQ$247),$B$208=1),$AQ$247,HLOOKUP(INDIRECT(ADDRESS(2,COLUMN())),OFFSET($BN$2,0,0,ROW()-1,60),ROW()-1,FALSE))</f>
        <v/>
      </c>
      <c r="AR42" t="str">
        <f ca="1">IF(AND(ISNUMBER($AR$247),$B$208=1),$AR$247,HLOOKUP(INDIRECT(ADDRESS(2,COLUMN())),OFFSET($BN$2,0,0,ROW()-1,60),ROW()-1,FALSE))</f>
        <v/>
      </c>
      <c r="AS42" t="str">
        <f ca="1">IF(AND(ISNUMBER($AS$247),$B$208=1),$AS$247,HLOOKUP(INDIRECT(ADDRESS(2,COLUMN())),OFFSET($BN$2,0,0,ROW()-1,60),ROW()-1,FALSE))</f>
        <v/>
      </c>
      <c r="AT42" t="str">
        <f ca="1">IF(AND(ISNUMBER($AT$247),$B$208=1),$AT$247,HLOOKUP(INDIRECT(ADDRESS(2,COLUMN())),OFFSET($BN$2,0,0,ROW()-1,60),ROW()-1,FALSE))</f>
        <v/>
      </c>
      <c r="AU42" t="str">
        <f ca="1">IF(AND(ISNUMBER($AU$247),$B$208=1),$AU$247,HLOOKUP(INDIRECT(ADDRESS(2,COLUMN())),OFFSET($BN$2,0,0,ROW()-1,60),ROW()-1,FALSE))</f>
        <v/>
      </c>
      <c r="AV42" t="str">
        <f ca="1">IF(AND(ISNUMBER($AV$247),$B$208=1),$AV$247,HLOOKUP(INDIRECT(ADDRESS(2,COLUMN())),OFFSET($BN$2,0,0,ROW()-1,60),ROW()-1,FALSE))</f>
        <v/>
      </c>
      <c r="AW42" t="str">
        <f ca="1">IF(AND(ISNUMBER($AW$247),$B$208=1),$AW$247,HLOOKUP(INDIRECT(ADDRESS(2,COLUMN())),OFFSET($BN$2,0,0,ROW()-1,60),ROW()-1,FALSE))</f>
        <v/>
      </c>
      <c r="AX42" t="str">
        <f ca="1">IF(AND(ISNUMBER($AX$247),$B$208=1),$AX$247,HLOOKUP(INDIRECT(ADDRESS(2,COLUMN())),OFFSET($BN$2,0,0,ROW()-1,60),ROW()-1,FALSE))</f>
        <v/>
      </c>
      <c r="AY42" t="str">
        <f ca="1">IF(AND(ISNUMBER($AY$247),$B$208=1),$AY$247,HLOOKUP(INDIRECT(ADDRESS(2,COLUMN())),OFFSET($BN$2,0,0,ROW()-1,60),ROW()-1,FALSE))</f>
        <v/>
      </c>
      <c r="AZ42" t="str">
        <f ca="1">IF(AND(ISNUMBER($AZ$247),$B$208=1),$AZ$247,HLOOKUP(INDIRECT(ADDRESS(2,COLUMN())),OFFSET($BN$2,0,0,ROW()-1,60),ROW()-1,FALSE))</f>
        <v/>
      </c>
      <c r="BA42" t="str">
        <f ca="1">IF(AND(ISNUMBER($BA$247),$B$208=1),$BA$247,HLOOKUP(INDIRECT(ADDRESS(2,COLUMN())),OFFSET($BN$2,0,0,ROW()-1,60),ROW()-1,FALSE))</f>
        <v/>
      </c>
      <c r="BB42" t="str">
        <f ca="1">IF(AND(ISNUMBER($BB$247),$B$208=1),$BB$247,HLOOKUP(INDIRECT(ADDRESS(2,COLUMN())),OFFSET($BN$2,0,0,ROW()-1,60),ROW()-1,FALSE))</f>
        <v/>
      </c>
      <c r="BC42" t="str">
        <f ca="1">IF(AND(ISNUMBER($BC$247),$B$208=1),$BC$247,HLOOKUP(INDIRECT(ADDRESS(2,COLUMN())),OFFSET($BN$2,0,0,ROW()-1,60),ROW()-1,FALSE))</f>
        <v/>
      </c>
      <c r="BD42" t="str">
        <f ca="1">IF(AND(ISNUMBER($BD$247),$B$208=1),$BD$247,HLOOKUP(INDIRECT(ADDRESS(2,COLUMN())),OFFSET($BN$2,0,0,ROW()-1,60),ROW()-1,FALSE))</f>
        <v/>
      </c>
      <c r="BE42" t="str">
        <f ca="1">IF(AND(ISNUMBER($BE$247),$B$208=1),$BE$247,HLOOKUP(INDIRECT(ADDRESS(2,COLUMN())),OFFSET($BN$2,0,0,ROW()-1,60),ROW()-1,FALSE))</f>
        <v/>
      </c>
      <c r="BF42" t="str">
        <f ca="1">IF(AND(ISNUMBER($BF$247),$B$208=1),$BF$247,HLOOKUP(INDIRECT(ADDRESS(2,COLUMN())),OFFSET($BN$2,0,0,ROW()-1,60),ROW()-1,FALSE))</f>
        <v/>
      </c>
      <c r="BG42" t="str">
        <f ca="1">IF(AND(ISNUMBER($BG$247),$B$208=1),$BG$247,HLOOKUP(INDIRECT(ADDRESS(2,COLUMN())),OFFSET($BN$2,0,0,ROW()-1,60),ROW()-1,FALSE))</f>
        <v/>
      </c>
      <c r="BH42" t="str">
        <f ca="1">IF(AND(ISNUMBER($BH$247),$B$208=1),$BH$247,HLOOKUP(INDIRECT(ADDRESS(2,COLUMN())),OFFSET($BN$2,0,0,ROW()-1,60),ROW()-1,FALSE))</f>
        <v/>
      </c>
      <c r="BI42" t="str">
        <f ca="1">IF(AND(ISNUMBER($BI$247),$B$208=1),$BI$247,HLOOKUP(INDIRECT(ADDRESS(2,COLUMN())),OFFSET($BN$2,0,0,ROW()-1,60),ROW()-1,FALSE))</f>
        <v/>
      </c>
      <c r="BJ42" t="str">
        <f ca="1">IF(AND(ISNUMBER($BJ$247),$B$208=1),$BJ$247,HLOOKUP(INDIRECT(ADDRESS(2,COLUMN())),OFFSET($BN$2,0,0,ROW()-1,60),ROW()-1,FALSE))</f>
        <v/>
      </c>
      <c r="BK42" t="str">
        <f ca="1">IF(AND(ISNUMBER($BK$247),$B$208=1),$BK$247,HLOOKUP(INDIRECT(ADDRESS(2,COLUMN())),OFFSET($BN$2,0,0,ROW()-1,60),ROW()-1,FALSE))</f>
        <v/>
      </c>
      <c r="BL42" t="str">
        <f ca="1">IF(AND(ISNUMBER($BL$247),$B$208=1),$BL$247,HLOOKUP(INDIRECT(ADDRESS(2,COLUMN())),OFFSET($BN$2,0,0,ROW()-1,60),ROW()-1,FALSE))</f>
        <v/>
      </c>
      <c r="BM42" t="str">
        <f ca="1">IF(AND(ISNUMBER($BM$247),$B$208=1),$BM$247,HLOOKUP(INDIRECT(ADDRESS(2,COLUMN())),OFFSET($BN$2,0,0,ROW()-1,60),ROW()-1,FALSE))</f>
        <v/>
      </c>
      <c r="BN42">
        <f>3886</f>
        <v>3886</v>
      </c>
      <c r="BO42" t="str">
        <f>""</f>
        <v/>
      </c>
      <c r="BP42">
        <f>4218</f>
        <v>4218</v>
      </c>
      <c r="BQ42" t="str">
        <f>""</f>
        <v/>
      </c>
      <c r="BR42">
        <f>4034</f>
        <v>4034</v>
      </c>
      <c r="BS42" t="str">
        <f>""</f>
        <v/>
      </c>
      <c r="BT42">
        <f>4768</f>
        <v>4768</v>
      </c>
      <c r="BU42" t="str">
        <f>""</f>
        <v/>
      </c>
      <c r="BV42">
        <f>4831</f>
        <v>4831</v>
      </c>
      <c r="BW42" t="str">
        <f>""</f>
        <v/>
      </c>
      <c r="BX42">
        <f>4516</f>
        <v>4516</v>
      </c>
      <c r="BY42" t="str">
        <f>""</f>
        <v/>
      </c>
      <c r="BZ42">
        <f>2975</f>
        <v>2975</v>
      </c>
      <c r="CA42" t="str">
        <f>""</f>
        <v/>
      </c>
      <c r="CB42">
        <f>3880</f>
        <v>3880</v>
      </c>
      <c r="CC42" t="str">
        <f>""</f>
        <v/>
      </c>
      <c r="CD42">
        <f>5040</f>
        <v>5040</v>
      </c>
      <c r="CE42" t="str">
        <f>""</f>
        <v/>
      </c>
      <c r="CF42">
        <f>5921</f>
        <v>5921</v>
      </c>
      <c r="CG42" t="str">
        <f>""</f>
        <v/>
      </c>
      <c r="CH42">
        <f>4499</f>
        <v>4499</v>
      </c>
      <c r="CI42" t="str">
        <f>""</f>
        <v/>
      </c>
      <c r="CJ42">
        <f>5232</f>
        <v>5232</v>
      </c>
      <c r="CK42" t="str">
        <f>""</f>
        <v/>
      </c>
      <c r="CL42">
        <f>4839</f>
        <v>4839</v>
      </c>
      <c r="CM42" t="str">
        <f>""</f>
        <v/>
      </c>
      <c r="CN42" t="str">
        <f>""</f>
        <v/>
      </c>
      <c r="CO42" t="str">
        <f>""</f>
        <v/>
      </c>
      <c r="CP42" t="str">
        <f>""</f>
        <v/>
      </c>
      <c r="CQ42" t="str">
        <f>""</f>
        <v/>
      </c>
      <c r="CR42" t="str">
        <f>""</f>
        <v/>
      </c>
      <c r="CS42" t="str">
        <f>""</f>
        <v/>
      </c>
      <c r="CT42" t="str">
        <f>""</f>
        <v/>
      </c>
      <c r="CU42" t="str">
        <f>""</f>
        <v/>
      </c>
      <c r="CV42" t="str">
        <f>""</f>
        <v/>
      </c>
      <c r="CW42" t="str">
        <f>""</f>
        <v/>
      </c>
      <c r="CX42" t="str">
        <f>""</f>
        <v/>
      </c>
      <c r="CY42" t="str">
        <f>""</f>
        <v/>
      </c>
      <c r="CZ42" t="str">
        <f>""</f>
        <v/>
      </c>
      <c r="DA42" t="str">
        <f>""</f>
        <v/>
      </c>
      <c r="DB42" t="str">
        <f>""</f>
        <v/>
      </c>
      <c r="DC42" t="str">
        <f>""</f>
        <v/>
      </c>
      <c r="DD42" t="str">
        <f>""</f>
        <v/>
      </c>
      <c r="DE42" t="str">
        <f>""</f>
        <v/>
      </c>
      <c r="DF42" t="str">
        <f>""</f>
        <v/>
      </c>
      <c r="DG42" t="str">
        <f>""</f>
        <v/>
      </c>
      <c r="DH42" t="str">
        <f>""</f>
        <v/>
      </c>
      <c r="DI42" t="str">
        <f>""</f>
        <v/>
      </c>
      <c r="DJ42" t="str">
        <f>""</f>
        <v/>
      </c>
      <c r="DK42" t="str">
        <f>""</f>
        <v/>
      </c>
      <c r="DL42" t="str">
        <f>""</f>
        <v/>
      </c>
      <c r="DM42" t="str">
        <f>""</f>
        <v/>
      </c>
      <c r="DN42" t="str">
        <f>""</f>
        <v/>
      </c>
      <c r="DO42" t="str">
        <f>""</f>
        <v/>
      </c>
      <c r="DP42" t="str">
        <f>""</f>
        <v/>
      </c>
      <c r="DQ42" t="str">
        <f>""</f>
        <v/>
      </c>
      <c r="DR42" t="str">
        <f>""</f>
        <v/>
      </c>
      <c r="DS42" t="str">
        <f>""</f>
        <v/>
      </c>
      <c r="DT42" t="str">
        <f>""</f>
        <v/>
      </c>
      <c r="DU42" t="str">
        <f>""</f>
        <v/>
      </c>
    </row>
    <row r="43" spans="1:125" x14ac:dyDescent="0.25">
      <c r="A43" t="str">
        <f>"    AIB Group PLC"</f>
        <v xml:space="preserve">    AIB Group PLC</v>
      </c>
      <c r="B43" t="str">
        <f>"AIBG ID Equity"</f>
        <v>AIBG ID Equity</v>
      </c>
      <c r="C43" t="str">
        <f t="shared" si="3"/>
        <v>BM109</v>
      </c>
      <c r="D43" t="str">
        <f t="shared" si="4"/>
        <v>BS_TRADING_SECURITIES_DERIVS</v>
      </c>
      <c r="E43" t="str">
        <f t="shared" si="5"/>
        <v>Dynamic</v>
      </c>
      <c r="F43" t="str">
        <f ca="1">IF(AND(ISNUMBER($F$248),$B$208=1),$F$248,HLOOKUP(INDIRECT(ADDRESS(2,COLUMN())),OFFSET($BN$2,0,0,ROW()-1,60),ROW()-1,FALSE))</f>
        <v/>
      </c>
      <c r="G43" t="str">
        <f ca="1">IF(AND(ISNUMBER($G$248),$B$208=1),$G$248,HLOOKUP(INDIRECT(ADDRESS(2,COLUMN())),OFFSET($BN$2,0,0,ROW()-1,60),ROW()-1,FALSE))</f>
        <v/>
      </c>
      <c r="H43" t="str">
        <f ca="1">IF(AND(ISNUMBER($H$248),$B$208=1),$H$248,HLOOKUP(INDIRECT(ADDRESS(2,COLUMN())),OFFSET($BN$2,0,0,ROW()-1,60),ROW()-1,FALSE))</f>
        <v/>
      </c>
      <c r="I43" t="str">
        <f ca="1">IF(AND(ISNUMBER($I$248),$B$208=1),$I$248,HLOOKUP(INDIRECT(ADDRESS(2,COLUMN())),OFFSET($BN$2,0,0,ROW()-1,60),ROW()-1,FALSE))</f>
        <v/>
      </c>
      <c r="J43" t="str">
        <f ca="1">IF(AND(ISNUMBER($J$248),$B$208=1),$J$248,HLOOKUP(INDIRECT(ADDRESS(2,COLUMN())),OFFSET($BN$2,0,0,ROW()-1,60),ROW()-1,FALSE))</f>
        <v/>
      </c>
      <c r="K43" t="str">
        <f ca="1">IF(AND(ISNUMBER($K$248),$B$208=1),$K$248,HLOOKUP(INDIRECT(ADDRESS(2,COLUMN())),OFFSET($BN$2,0,0,ROW()-1,60),ROW()-1,FALSE))</f>
        <v/>
      </c>
      <c r="L43" t="str">
        <f ca="1">IF(AND(ISNUMBER($L$248),$B$208=1),$L$248,HLOOKUP(INDIRECT(ADDRESS(2,COLUMN())),OFFSET($BN$2,0,0,ROW()-1,60),ROW()-1,FALSE))</f>
        <v/>
      </c>
      <c r="M43" t="str">
        <f ca="1">IF(AND(ISNUMBER($M$248),$B$208=1),$M$248,HLOOKUP(INDIRECT(ADDRESS(2,COLUMN())),OFFSET($BN$2,0,0,ROW()-1,60),ROW()-1,FALSE))</f>
        <v/>
      </c>
      <c r="N43" t="str">
        <f ca="1">IF(AND(ISNUMBER($N$248),$B$208=1),$N$248,HLOOKUP(INDIRECT(ADDRESS(2,COLUMN())),OFFSET($BN$2,0,0,ROW()-1,60),ROW()-1,FALSE))</f>
        <v/>
      </c>
      <c r="O43" t="str">
        <f ca="1">IF(AND(ISNUMBER($O$248),$B$208=1),$O$248,HLOOKUP(INDIRECT(ADDRESS(2,COLUMN())),OFFSET($BN$2,0,0,ROW()-1,60),ROW()-1,FALSE))</f>
        <v/>
      </c>
      <c r="P43" t="str">
        <f ca="1">IF(AND(ISNUMBER($P$248),$B$208=1),$P$248,HLOOKUP(INDIRECT(ADDRESS(2,COLUMN())),OFFSET($BN$2,0,0,ROW()-1,60),ROW()-1,FALSE))</f>
        <v/>
      </c>
      <c r="Q43" t="str">
        <f ca="1">IF(AND(ISNUMBER($Q$248),$B$208=1),$Q$248,HLOOKUP(INDIRECT(ADDRESS(2,COLUMN())),OFFSET($BN$2,0,0,ROW()-1,60),ROW()-1,FALSE))</f>
        <v/>
      </c>
      <c r="R43" t="str">
        <f ca="1">IF(AND(ISNUMBER($R$248),$B$208=1),$R$248,HLOOKUP(INDIRECT(ADDRESS(2,COLUMN())),OFFSET($BN$2,0,0,ROW()-1,60),ROW()-1,FALSE))</f>
        <v/>
      </c>
      <c r="S43" t="str">
        <f ca="1">IF(AND(ISNUMBER($S$248),$B$208=1),$S$248,HLOOKUP(INDIRECT(ADDRESS(2,COLUMN())),OFFSET($BN$2,0,0,ROW()-1,60),ROW()-1,FALSE))</f>
        <v/>
      </c>
      <c r="T43" t="str">
        <f ca="1">IF(AND(ISNUMBER($T$248),$B$208=1),$T$248,HLOOKUP(INDIRECT(ADDRESS(2,COLUMN())),OFFSET($BN$2,0,0,ROW()-1,60),ROW()-1,FALSE))</f>
        <v/>
      </c>
      <c r="U43" t="str">
        <f ca="1">IF(AND(ISNUMBER($U$248),$B$208=1),$U$248,HLOOKUP(INDIRECT(ADDRESS(2,COLUMN())),OFFSET($BN$2,0,0,ROW()-1,60),ROW()-1,FALSE))</f>
        <v/>
      </c>
      <c r="V43" t="str">
        <f ca="1">IF(AND(ISNUMBER($V$248),$B$208=1),$V$248,HLOOKUP(INDIRECT(ADDRESS(2,COLUMN())),OFFSET($BN$2,0,0,ROW()-1,60),ROW()-1,FALSE))</f>
        <v/>
      </c>
      <c r="W43" t="str">
        <f ca="1">IF(AND(ISNUMBER($W$248),$B$208=1),$W$248,HLOOKUP(INDIRECT(ADDRESS(2,COLUMN())),OFFSET($BN$2,0,0,ROW()-1,60),ROW()-1,FALSE))</f>
        <v/>
      </c>
      <c r="X43" t="str">
        <f ca="1">IF(AND(ISNUMBER($X$248),$B$208=1),$X$248,HLOOKUP(INDIRECT(ADDRESS(2,COLUMN())),OFFSET($BN$2,0,0,ROW()-1,60),ROW()-1,FALSE))</f>
        <v/>
      </c>
      <c r="Y43" t="str">
        <f ca="1">IF(AND(ISNUMBER($Y$248),$B$208=1),$Y$248,HLOOKUP(INDIRECT(ADDRESS(2,COLUMN())),OFFSET($BN$2,0,0,ROW()-1,60),ROW()-1,FALSE))</f>
        <v/>
      </c>
      <c r="Z43" t="str">
        <f ca="1">IF(AND(ISNUMBER($Z$248),$B$208=1),$Z$248,HLOOKUP(INDIRECT(ADDRESS(2,COLUMN())),OFFSET($BN$2,0,0,ROW()-1,60),ROW()-1,FALSE))</f>
        <v/>
      </c>
      <c r="AA43" t="str">
        <f ca="1">IF(AND(ISNUMBER($AA$248),$B$208=1),$AA$248,HLOOKUP(INDIRECT(ADDRESS(2,COLUMN())),OFFSET($BN$2,0,0,ROW()-1,60),ROW()-1,FALSE))</f>
        <v/>
      </c>
      <c r="AB43" t="str">
        <f ca="1">IF(AND(ISNUMBER($AB$248),$B$208=1),$AB$248,HLOOKUP(INDIRECT(ADDRESS(2,COLUMN())),OFFSET($BN$2,0,0,ROW()-1,60),ROW()-1,FALSE))</f>
        <v/>
      </c>
      <c r="AC43" t="str">
        <f ca="1">IF(AND(ISNUMBER($AC$248),$B$208=1),$AC$248,HLOOKUP(INDIRECT(ADDRESS(2,COLUMN())),OFFSET($BN$2,0,0,ROW()-1,60),ROW()-1,FALSE))</f>
        <v/>
      </c>
      <c r="AD43" t="str">
        <f ca="1">IF(AND(ISNUMBER($AD$248),$B$208=1),$AD$248,HLOOKUP(INDIRECT(ADDRESS(2,COLUMN())),OFFSET($BN$2,0,0,ROW()-1,60),ROW()-1,FALSE))</f>
        <v/>
      </c>
      <c r="AE43" t="str">
        <f ca="1">IF(AND(ISNUMBER($AE$248),$B$208=1),$AE$248,HLOOKUP(INDIRECT(ADDRESS(2,COLUMN())),OFFSET($BN$2,0,0,ROW()-1,60),ROW()-1,FALSE))</f>
        <v/>
      </c>
      <c r="AF43" t="str">
        <f ca="1">IF(AND(ISNUMBER($AF$248),$B$208=1),$AF$248,HLOOKUP(INDIRECT(ADDRESS(2,COLUMN())),OFFSET($BN$2,0,0,ROW()-1,60),ROW()-1,FALSE))</f>
        <v/>
      </c>
      <c r="AG43" t="str">
        <f ca="1">IF(AND(ISNUMBER($AG$248),$B$208=1),$AG$248,HLOOKUP(INDIRECT(ADDRESS(2,COLUMN())),OFFSET($BN$2,0,0,ROW()-1,60),ROW()-1,FALSE))</f>
        <v/>
      </c>
      <c r="AH43" t="str">
        <f ca="1">IF(AND(ISNUMBER($AH$248),$B$208=1),$AH$248,HLOOKUP(INDIRECT(ADDRESS(2,COLUMN())),OFFSET($BN$2,0,0,ROW()-1,60),ROW()-1,FALSE))</f>
        <v/>
      </c>
      <c r="AI43" t="str">
        <f ca="1">IF(AND(ISNUMBER($AI$248),$B$208=1),$AI$248,HLOOKUP(INDIRECT(ADDRESS(2,COLUMN())),OFFSET($BN$2,0,0,ROW()-1,60),ROW()-1,FALSE))</f>
        <v/>
      </c>
      <c r="AJ43" t="str">
        <f ca="1">IF(AND(ISNUMBER($AJ$248),$B$208=1),$AJ$248,HLOOKUP(INDIRECT(ADDRESS(2,COLUMN())),OFFSET($BN$2,0,0,ROW()-1,60),ROW()-1,FALSE))</f>
        <v/>
      </c>
      <c r="AK43" t="str">
        <f ca="1">IF(AND(ISNUMBER($AK$248),$B$208=1),$AK$248,HLOOKUP(INDIRECT(ADDRESS(2,COLUMN())),OFFSET($BN$2,0,0,ROW()-1,60),ROW()-1,FALSE))</f>
        <v/>
      </c>
      <c r="AL43" t="str">
        <f ca="1">IF(AND(ISNUMBER($AL$248),$B$208=1),$AL$248,HLOOKUP(INDIRECT(ADDRESS(2,COLUMN())),OFFSET($BN$2,0,0,ROW()-1,60),ROW()-1,FALSE))</f>
        <v/>
      </c>
      <c r="AM43" t="str">
        <f ca="1">IF(AND(ISNUMBER($AM$248),$B$208=1),$AM$248,HLOOKUP(INDIRECT(ADDRESS(2,COLUMN())),OFFSET($BN$2,0,0,ROW()-1,60),ROW()-1,FALSE))</f>
        <v/>
      </c>
      <c r="AN43" t="str">
        <f ca="1">IF(AND(ISNUMBER($AN$248),$B$208=1),$AN$248,HLOOKUP(INDIRECT(ADDRESS(2,COLUMN())),OFFSET($BN$2,0,0,ROW()-1,60),ROW()-1,FALSE))</f>
        <v/>
      </c>
      <c r="AO43" t="str">
        <f ca="1">IF(AND(ISNUMBER($AO$248),$B$208=1),$AO$248,HLOOKUP(INDIRECT(ADDRESS(2,COLUMN())),OFFSET($BN$2,0,0,ROW()-1,60),ROW()-1,FALSE))</f>
        <v/>
      </c>
      <c r="AP43" t="str">
        <f ca="1">IF(AND(ISNUMBER($AP$248),$B$208=1),$AP$248,HLOOKUP(INDIRECT(ADDRESS(2,COLUMN())),OFFSET($BN$2,0,0,ROW()-1,60),ROW()-1,FALSE))</f>
        <v/>
      </c>
      <c r="AQ43" t="str">
        <f ca="1">IF(AND(ISNUMBER($AQ$248),$B$208=1),$AQ$248,HLOOKUP(INDIRECT(ADDRESS(2,COLUMN())),OFFSET($BN$2,0,0,ROW()-1,60),ROW()-1,FALSE))</f>
        <v/>
      </c>
      <c r="AR43" t="str">
        <f ca="1">IF(AND(ISNUMBER($AR$248),$B$208=1),$AR$248,HLOOKUP(INDIRECT(ADDRESS(2,COLUMN())),OFFSET($BN$2,0,0,ROW()-1,60),ROW()-1,FALSE))</f>
        <v/>
      </c>
      <c r="AS43" t="str">
        <f ca="1">IF(AND(ISNUMBER($AS$248),$B$208=1),$AS$248,HLOOKUP(INDIRECT(ADDRESS(2,COLUMN())),OFFSET($BN$2,0,0,ROW()-1,60),ROW()-1,FALSE))</f>
        <v/>
      </c>
      <c r="AT43" t="str">
        <f ca="1">IF(AND(ISNUMBER($AT$248),$B$208=1),$AT$248,HLOOKUP(INDIRECT(ADDRESS(2,COLUMN())),OFFSET($BN$2,0,0,ROW()-1,60),ROW()-1,FALSE))</f>
        <v/>
      </c>
      <c r="AU43" t="str">
        <f ca="1">IF(AND(ISNUMBER($AU$248),$B$208=1),$AU$248,HLOOKUP(INDIRECT(ADDRESS(2,COLUMN())),OFFSET($BN$2,0,0,ROW()-1,60),ROW()-1,FALSE))</f>
        <v/>
      </c>
      <c r="AV43" t="str">
        <f ca="1">IF(AND(ISNUMBER($AV$248),$B$208=1),$AV$248,HLOOKUP(INDIRECT(ADDRESS(2,COLUMN())),OFFSET($BN$2,0,0,ROW()-1,60),ROW()-1,FALSE))</f>
        <v/>
      </c>
      <c r="AW43" t="str">
        <f ca="1">IF(AND(ISNUMBER($AW$248),$B$208=1),$AW$248,HLOOKUP(INDIRECT(ADDRESS(2,COLUMN())),OFFSET($BN$2,0,0,ROW()-1,60),ROW()-1,FALSE))</f>
        <v/>
      </c>
      <c r="AX43" t="str">
        <f ca="1">IF(AND(ISNUMBER($AX$248),$B$208=1),$AX$248,HLOOKUP(INDIRECT(ADDRESS(2,COLUMN())),OFFSET($BN$2,0,0,ROW()-1,60),ROW()-1,FALSE))</f>
        <v/>
      </c>
      <c r="AY43" t="str">
        <f ca="1">IF(AND(ISNUMBER($AY$248),$B$208=1),$AY$248,HLOOKUP(INDIRECT(ADDRESS(2,COLUMN())),OFFSET($BN$2,0,0,ROW()-1,60),ROW()-1,FALSE))</f>
        <v/>
      </c>
      <c r="AZ43" t="str">
        <f ca="1">IF(AND(ISNUMBER($AZ$248),$B$208=1),$AZ$248,HLOOKUP(INDIRECT(ADDRESS(2,COLUMN())),OFFSET($BN$2,0,0,ROW()-1,60),ROW()-1,FALSE))</f>
        <v/>
      </c>
      <c r="BA43" t="str">
        <f ca="1">IF(AND(ISNUMBER($BA$248),$B$208=1),$BA$248,HLOOKUP(INDIRECT(ADDRESS(2,COLUMN())),OFFSET($BN$2,0,0,ROW()-1,60),ROW()-1,FALSE))</f>
        <v/>
      </c>
      <c r="BB43" t="str">
        <f ca="1">IF(AND(ISNUMBER($BB$248),$B$208=1),$BB$248,HLOOKUP(INDIRECT(ADDRESS(2,COLUMN())),OFFSET($BN$2,0,0,ROW()-1,60),ROW()-1,FALSE))</f>
        <v/>
      </c>
      <c r="BC43" t="str">
        <f ca="1">IF(AND(ISNUMBER($BC$248),$B$208=1),$BC$248,HLOOKUP(INDIRECT(ADDRESS(2,COLUMN())),OFFSET($BN$2,0,0,ROW()-1,60),ROW()-1,FALSE))</f>
        <v/>
      </c>
      <c r="BD43" t="str">
        <f ca="1">IF(AND(ISNUMBER($BD$248),$B$208=1),$BD$248,HLOOKUP(INDIRECT(ADDRESS(2,COLUMN())),OFFSET($BN$2,0,0,ROW()-1,60),ROW()-1,FALSE))</f>
        <v/>
      </c>
      <c r="BE43" t="str">
        <f ca="1">IF(AND(ISNUMBER($BE$248),$B$208=1),$BE$248,HLOOKUP(INDIRECT(ADDRESS(2,COLUMN())),OFFSET($BN$2,0,0,ROW()-1,60),ROW()-1,FALSE))</f>
        <v/>
      </c>
      <c r="BF43" t="str">
        <f ca="1">IF(AND(ISNUMBER($BF$248),$B$208=1),$BF$248,HLOOKUP(INDIRECT(ADDRESS(2,COLUMN())),OFFSET($BN$2,0,0,ROW()-1,60),ROW()-1,FALSE))</f>
        <v/>
      </c>
      <c r="BG43" t="str">
        <f ca="1">IF(AND(ISNUMBER($BG$248),$B$208=1),$BG$248,HLOOKUP(INDIRECT(ADDRESS(2,COLUMN())),OFFSET($BN$2,0,0,ROW()-1,60),ROW()-1,FALSE))</f>
        <v/>
      </c>
      <c r="BH43" t="str">
        <f ca="1">IF(AND(ISNUMBER($BH$248),$B$208=1),$BH$248,HLOOKUP(INDIRECT(ADDRESS(2,COLUMN())),OFFSET($BN$2,0,0,ROW()-1,60),ROW()-1,FALSE))</f>
        <v/>
      </c>
      <c r="BI43" t="str">
        <f ca="1">IF(AND(ISNUMBER($BI$248),$B$208=1),$BI$248,HLOOKUP(INDIRECT(ADDRESS(2,COLUMN())),OFFSET($BN$2,0,0,ROW()-1,60),ROW()-1,FALSE))</f>
        <v/>
      </c>
      <c r="BJ43" t="str">
        <f ca="1">IF(AND(ISNUMBER($BJ$248),$B$208=1),$BJ$248,HLOOKUP(INDIRECT(ADDRESS(2,COLUMN())),OFFSET($BN$2,0,0,ROW()-1,60),ROW()-1,FALSE))</f>
        <v/>
      </c>
      <c r="BK43" t="str">
        <f ca="1">IF(AND(ISNUMBER($BK$248),$B$208=1),$BK$248,HLOOKUP(INDIRECT(ADDRESS(2,COLUMN())),OFFSET($BN$2,0,0,ROW()-1,60),ROW()-1,FALSE))</f>
        <v/>
      </c>
      <c r="BL43" t="str">
        <f ca="1">IF(AND(ISNUMBER($BL$248),$B$208=1),$BL$248,HLOOKUP(INDIRECT(ADDRESS(2,COLUMN())),OFFSET($BN$2,0,0,ROW()-1,60),ROW()-1,FALSE))</f>
        <v/>
      </c>
      <c r="BM43" t="str">
        <f ca="1">IF(AND(ISNUMBER($BM$248),$B$208=1),$BM$248,HLOOKUP(INDIRECT(ADDRESS(2,COLUMN())),OFFSET($BN$2,0,0,ROW()-1,60),ROW()-1,FALSE))</f>
        <v/>
      </c>
      <c r="BN43" t="str">
        <f>""</f>
        <v/>
      </c>
      <c r="BO43" t="str">
        <f>""</f>
        <v/>
      </c>
      <c r="BP43" t="str">
        <f>""</f>
        <v/>
      </c>
      <c r="BQ43" t="str">
        <f>""</f>
        <v/>
      </c>
      <c r="BR43" t="str">
        <f>""</f>
        <v/>
      </c>
      <c r="BS43" t="str">
        <f>""</f>
        <v/>
      </c>
      <c r="BT43" t="str">
        <f>""</f>
        <v/>
      </c>
      <c r="BU43" t="str">
        <f>""</f>
        <v/>
      </c>
      <c r="BV43" t="str">
        <f>""</f>
        <v/>
      </c>
      <c r="BW43" t="str">
        <f>""</f>
        <v/>
      </c>
      <c r="BX43" t="str">
        <f>""</f>
        <v/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  <c r="CH43" t="str">
        <f>""</f>
        <v/>
      </c>
      <c r="CI43" t="str">
        <f>""</f>
        <v/>
      </c>
      <c r="CJ43" t="str">
        <f>""</f>
        <v/>
      </c>
      <c r="CK43" t="str">
        <f>""</f>
        <v/>
      </c>
      <c r="CL43" t="str">
        <f>""</f>
        <v/>
      </c>
      <c r="CM43" t="str">
        <f>""</f>
        <v/>
      </c>
      <c r="CN43" t="str">
        <f>""</f>
        <v/>
      </c>
      <c r="CO43" t="str">
        <f>""</f>
        <v/>
      </c>
      <c r="CP43" t="str">
        <f>""</f>
        <v/>
      </c>
      <c r="CQ43" t="str">
        <f>""</f>
        <v/>
      </c>
      <c r="CR43" t="str">
        <f>""</f>
        <v/>
      </c>
      <c r="CS43" t="str">
        <f>""</f>
        <v/>
      </c>
      <c r="CT43" t="str">
        <f>""</f>
        <v/>
      </c>
      <c r="CU43" t="str">
        <f>""</f>
        <v/>
      </c>
      <c r="CV43" t="str">
        <f>""</f>
        <v/>
      </c>
      <c r="CW43" t="str">
        <f>""</f>
        <v/>
      </c>
      <c r="CX43" t="str">
        <f>""</f>
        <v/>
      </c>
      <c r="CY43" t="str">
        <f>""</f>
        <v/>
      </c>
      <c r="CZ43" t="str">
        <f>""</f>
        <v/>
      </c>
      <c r="DA43" t="str">
        <f>""</f>
        <v/>
      </c>
      <c r="DB43" t="str">
        <f>""</f>
        <v/>
      </c>
      <c r="DC43" t="str">
        <f>""</f>
        <v/>
      </c>
      <c r="DD43" t="str">
        <f>""</f>
        <v/>
      </c>
      <c r="DE43" t="str">
        <f>""</f>
        <v/>
      </c>
      <c r="DF43" t="str">
        <f>""</f>
        <v/>
      </c>
      <c r="DG43" t="str">
        <f>""</f>
        <v/>
      </c>
      <c r="DH43" t="str">
        <f>""</f>
        <v/>
      </c>
      <c r="DI43" t="str">
        <f>""</f>
        <v/>
      </c>
      <c r="DJ43" t="str">
        <f>""</f>
        <v/>
      </c>
      <c r="DK43" t="str">
        <f>""</f>
        <v/>
      </c>
      <c r="DL43" t="str">
        <f>""</f>
        <v/>
      </c>
      <c r="DM43" t="str">
        <f>""</f>
        <v/>
      </c>
      <c r="DN43" t="str">
        <f>""</f>
        <v/>
      </c>
      <c r="DO43" t="str">
        <f>""</f>
        <v/>
      </c>
      <c r="DP43" t="str">
        <f>""</f>
        <v/>
      </c>
      <c r="DQ43" t="str">
        <f>""</f>
        <v/>
      </c>
      <c r="DR43" t="str">
        <f>""</f>
        <v/>
      </c>
      <c r="DS43" t="str">
        <f>""</f>
        <v/>
      </c>
      <c r="DT43" t="str">
        <f>""</f>
        <v/>
      </c>
      <c r="DU43" t="str">
        <f>""</f>
        <v/>
      </c>
    </row>
    <row r="44" spans="1:125" x14ac:dyDescent="0.25">
      <c r="A44" t="str">
        <f>"    Banco de Sabadell SA"</f>
        <v xml:space="preserve">    Banco de Sabadell SA</v>
      </c>
      <c r="B44" t="str">
        <f>"SAB SM Equity"</f>
        <v>SAB SM Equity</v>
      </c>
      <c r="C44" t="str">
        <f t="shared" si="3"/>
        <v>BM109</v>
      </c>
      <c r="D44" t="str">
        <f t="shared" si="4"/>
        <v>BS_TRADING_SECURITIES_DERIVS</v>
      </c>
      <c r="E44" t="str">
        <f t="shared" si="5"/>
        <v>Dynamic</v>
      </c>
      <c r="F44">
        <f ca="1">IF(AND(ISNUMBER($F$249),$B$208=1),$F$249,HLOOKUP(INDIRECT(ADDRESS(2,COLUMN())),OFFSET($BN$2,0,0,ROW()-1,60),ROW()-1,FALSE))</f>
        <v>2017.999</v>
      </c>
      <c r="G44" t="str">
        <f ca="1">IF(AND(ISNUMBER($G$249),$B$208=1),$G$249,HLOOKUP(INDIRECT(ADDRESS(2,COLUMN())),OFFSET($BN$2,0,0,ROW()-1,60),ROW()-1,FALSE))</f>
        <v/>
      </c>
      <c r="H44" t="str">
        <f ca="1">IF(AND(ISNUMBER($H$249),$B$208=1),$H$249,HLOOKUP(INDIRECT(ADDRESS(2,COLUMN())),OFFSET($BN$2,0,0,ROW()-1,60),ROW()-1,FALSE))</f>
        <v/>
      </c>
      <c r="I44" t="str">
        <f ca="1">IF(AND(ISNUMBER($I$249),$B$208=1),$I$249,HLOOKUP(INDIRECT(ADDRESS(2,COLUMN())),OFFSET($BN$2,0,0,ROW()-1,60),ROW()-1,FALSE))</f>
        <v/>
      </c>
      <c r="J44">
        <f ca="1">IF(AND(ISNUMBER($J$249),$B$208=1),$J$249,HLOOKUP(INDIRECT(ADDRESS(2,COLUMN())),OFFSET($BN$2,0,0,ROW()-1,60),ROW()-1,FALSE))</f>
        <v>2563.9940000000001</v>
      </c>
      <c r="K44" t="str">
        <f ca="1">IF(AND(ISNUMBER($K$249),$B$208=1),$K$249,HLOOKUP(INDIRECT(ADDRESS(2,COLUMN())),OFFSET($BN$2,0,0,ROW()-1,60),ROW()-1,FALSE))</f>
        <v/>
      </c>
      <c r="L44">
        <f ca="1">IF(AND(ISNUMBER($L$249),$B$208=1),$L$249,HLOOKUP(INDIRECT(ADDRESS(2,COLUMN())),OFFSET($BN$2,0,0,ROW()-1,60),ROW()-1,FALSE))</f>
        <v>3505.1329999999998</v>
      </c>
      <c r="M44" t="str">
        <f ca="1">IF(AND(ISNUMBER($M$249),$B$208=1),$M$249,HLOOKUP(INDIRECT(ADDRESS(2,COLUMN())),OFFSET($BN$2,0,0,ROW()-1,60),ROW()-1,FALSE))</f>
        <v/>
      </c>
      <c r="N44">
        <f ca="1">IF(AND(ISNUMBER($N$249),$B$208=1),$N$249,HLOOKUP(INDIRECT(ADDRESS(2,COLUMN())),OFFSET($BN$2,0,0,ROW()-1,60),ROW()-1,FALSE))</f>
        <v>3600.1219999999998</v>
      </c>
      <c r="O44" t="str">
        <f ca="1">IF(AND(ISNUMBER($O$249),$B$208=1),$O$249,HLOOKUP(INDIRECT(ADDRESS(2,COLUMN())),OFFSET($BN$2,0,0,ROW()-1,60),ROW()-1,FALSE))</f>
        <v/>
      </c>
      <c r="P44">
        <f ca="1">IF(AND(ISNUMBER($P$249),$B$208=1),$P$249,HLOOKUP(INDIRECT(ADDRESS(2,COLUMN())),OFFSET($BN$2,0,0,ROW()-1,60),ROW()-1,FALSE))</f>
        <v>2628.3609999999999</v>
      </c>
      <c r="Q44" t="str">
        <f ca="1">IF(AND(ISNUMBER($Q$249),$B$208=1),$Q$249,HLOOKUP(INDIRECT(ADDRESS(2,COLUMN())),OFFSET($BN$2,0,0,ROW()-1,60),ROW()-1,FALSE))</f>
        <v/>
      </c>
      <c r="R44">
        <f ca="1">IF(AND(ISNUMBER($R$249),$B$208=1),$R$249,HLOOKUP(INDIRECT(ADDRESS(2,COLUMN())),OFFSET($BN$2,0,0,ROW()-1,60),ROW()-1,FALSE))</f>
        <v>1378.998</v>
      </c>
      <c r="S44" t="str">
        <f ca="1">IF(AND(ISNUMBER($S$249),$B$208=1),$S$249,HLOOKUP(INDIRECT(ADDRESS(2,COLUMN())),OFFSET($BN$2,0,0,ROW()-1,60),ROW()-1,FALSE))</f>
        <v/>
      </c>
      <c r="T44">
        <f ca="1">IF(AND(ISNUMBER($T$249),$B$208=1),$T$249,HLOOKUP(INDIRECT(ADDRESS(2,COLUMN())),OFFSET($BN$2,0,0,ROW()-1,60),ROW()-1,FALSE))</f>
        <v>1720.079</v>
      </c>
      <c r="U44" t="str">
        <f ca="1">IF(AND(ISNUMBER($U$249),$B$208=1),$U$249,HLOOKUP(INDIRECT(ADDRESS(2,COLUMN())),OFFSET($BN$2,0,0,ROW()-1,60),ROW()-1,FALSE))</f>
        <v/>
      </c>
      <c r="V44">
        <f ca="1">IF(AND(ISNUMBER($V$249),$B$208=1),$V$249,HLOOKUP(INDIRECT(ADDRESS(2,COLUMN())),OFFSET($BN$2,0,0,ROW()-1,60),ROW()-1,FALSE))</f>
        <v>2364.5949999999998</v>
      </c>
      <c r="W44" t="str">
        <f ca="1">IF(AND(ISNUMBER($W$249),$B$208=1),$W$249,HLOOKUP(INDIRECT(ADDRESS(2,COLUMN())),OFFSET($BN$2,0,0,ROW()-1,60),ROW()-1,FALSE))</f>
        <v/>
      </c>
      <c r="X44">
        <f ca="1">IF(AND(ISNUMBER($X$249),$B$208=1),$X$249,HLOOKUP(INDIRECT(ADDRESS(2,COLUMN())),OFFSET($BN$2,0,0,ROW()-1,60),ROW()-1,FALSE))</f>
        <v>2607.569</v>
      </c>
      <c r="Y44" t="str">
        <f ca="1">IF(AND(ISNUMBER($Y$249),$B$208=1),$Y$249,HLOOKUP(INDIRECT(ADDRESS(2,COLUMN())),OFFSET($BN$2,0,0,ROW()-1,60),ROW()-1,FALSE))</f>
        <v/>
      </c>
      <c r="Z44">
        <f ca="1">IF(AND(ISNUMBER($Z$249),$B$208=1),$Z$249,HLOOKUP(INDIRECT(ADDRESS(2,COLUMN())),OFFSET($BN$2,0,0,ROW()-1,60),ROW()-1,FALSE))</f>
        <v>1840.2449999999999</v>
      </c>
      <c r="AA44" t="str">
        <f ca="1">IF(AND(ISNUMBER($AA$249),$B$208=1),$AA$249,HLOOKUP(INDIRECT(ADDRESS(2,COLUMN())),OFFSET($BN$2,0,0,ROW()-1,60),ROW()-1,FALSE))</f>
        <v/>
      </c>
      <c r="AB44">
        <f ca="1">IF(AND(ISNUMBER($AB$249),$B$208=1),$AB$249,HLOOKUP(INDIRECT(ADDRESS(2,COLUMN())),OFFSET($BN$2,0,0,ROW()-1,60),ROW()-1,FALSE))</f>
        <v>1950.7049999999999</v>
      </c>
      <c r="AC44" t="str">
        <f ca="1">IF(AND(ISNUMBER($AC$249),$B$208=1),$AC$249,HLOOKUP(INDIRECT(ADDRESS(2,COLUMN())),OFFSET($BN$2,0,0,ROW()-1,60),ROW()-1,FALSE))</f>
        <v/>
      </c>
      <c r="AD44">
        <f ca="1">IF(AND(ISNUMBER($AD$249),$B$208=1),$AD$249,HLOOKUP(INDIRECT(ADDRESS(2,COLUMN())),OFFSET($BN$2,0,0,ROW()-1,60),ROW()-1,FALSE))</f>
        <v>1720.2739999999999</v>
      </c>
      <c r="AE44" t="str">
        <f ca="1">IF(AND(ISNUMBER($AE$249),$B$208=1),$AE$249,HLOOKUP(INDIRECT(ADDRESS(2,COLUMN())),OFFSET($BN$2,0,0,ROW()-1,60),ROW()-1,FALSE))</f>
        <v/>
      </c>
      <c r="AF44">
        <f ca="1">IF(AND(ISNUMBER($AF$249),$B$208=1),$AF$249,HLOOKUP(INDIRECT(ADDRESS(2,COLUMN())),OFFSET($BN$2,0,0,ROW()-1,60),ROW()-1,FALSE))</f>
        <v>1842.021</v>
      </c>
      <c r="AG44" t="str">
        <f ca="1">IF(AND(ISNUMBER($AG$249),$B$208=1),$AG$249,HLOOKUP(INDIRECT(ADDRESS(2,COLUMN())),OFFSET($BN$2,0,0,ROW()-1,60),ROW()-1,FALSE))</f>
        <v/>
      </c>
      <c r="AH44" t="str">
        <f ca="1">IF(AND(ISNUMBER($AH$249),$B$208=1),$AH$249,HLOOKUP(INDIRECT(ADDRESS(2,COLUMN())),OFFSET($BN$2,0,0,ROW()-1,60),ROW()-1,FALSE))</f>
        <v/>
      </c>
      <c r="AI44" t="str">
        <f ca="1">IF(AND(ISNUMBER($AI$249),$B$208=1),$AI$249,HLOOKUP(INDIRECT(ADDRESS(2,COLUMN())),OFFSET($BN$2,0,0,ROW()-1,60),ROW()-1,FALSE))</f>
        <v/>
      </c>
      <c r="AJ44" t="str">
        <f ca="1">IF(AND(ISNUMBER($AJ$249),$B$208=1),$AJ$249,HLOOKUP(INDIRECT(ADDRESS(2,COLUMN())),OFFSET($BN$2,0,0,ROW()-1,60),ROW()-1,FALSE))</f>
        <v/>
      </c>
      <c r="AK44" t="str">
        <f ca="1">IF(AND(ISNUMBER($AK$249),$B$208=1),$AK$249,HLOOKUP(INDIRECT(ADDRESS(2,COLUMN())),OFFSET($BN$2,0,0,ROW()-1,60),ROW()-1,FALSE))</f>
        <v/>
      </c>
      <c r="AL44" t="str">
        <f ca="1">IF(AND(ISNUMBER($AL$249),$B$208=1),$AL$249,HLOOKUP(INDIRECT(ADDRESS(2,COLUMN())),OFFSET($BN$2,0,0,ROW()-1,60),ROW()-1,FALSE))</f>
        <v/>
      </c>
      <c r="AM44" t="str">
        <f ca="1">IF(AND(ISNUMBER($AM$249),$B$208=1),$AM$249,HLOOKUP(INDIRECT(ADDRESS(2,COLUMN())),OFFSET($BN$2,0,0,ROW()-1,60),ROW()-1,FALSE))</f>
        <v/>
      </c>
      <c r="AN44" t="str">
        <f ca="1">IF(AND(ISNUMBER($AN$249),$B$208=1),$AN$249,HLOOKUP(INDIRECT(ADDRESS(2,COLUMN())),OFFSET($BN$2,0,0,ROW()-1,60),ROW()-1,FALSE))</f>
        <v/>
      </c>
      <c r="AO44" t="str">
        <f ca="1">IF(AND(ISNUMBER($AO$249),$B$208=1),$AO$249,HLOOKUP(INDIRECT(ADDRESS(2,COLUMN())),OFFSET($BN$2,0,0,ROW()-1,60),ROW()-1,FALSE))</f>
        <v/>
      </c>
      <c r="AP44" t="str">
        <f ca="1">IF(AND(ISNUMBER($AP$249),$B$208=1),$AP$249,HLOOKUP(INDIRECT(ADDRESS(2,COLUMN())),OFFSET($BN$2,0,0,ROW()-1,60),ROW()-1,FALSE))</f>
        <v/>
      </c>
      <c r="AQ44" t="str">
        <f ca="1">IF(AND(ISNUMBER($AQ$249),$B$208=1),$AQ$249,HLOOKUP(INDIRECT(ADDRESS(2,COLUMN())),OFFSET($BN$2,0,0,ROW()-1,60),ROW()-1,FALSE))</f>
        <v/>
      </c>
      <c r="AR44" t="str">
        <f ca="1">IF(AND(ISNUMBER($AR$249),$B$208=1),$AR$249,HLOOKUP(INDIRECT(ADDRESS(2,COLUMN())),OFFSET($BN$2,0,0,ROW()-1,60),ROW()-1,FALSE))</f>
        <v/>
      </c>
      <c r="AS44" t="str">
        <f ca="1">IF(AND(ISNUMBER($AS$249),$B$208=1),$AS$249,HLOOKUP(INDIRECT(ADDRESS(2,COLUMN())),OFFSET($BN$2,0,0,ROW()-1,60),ROW()-1,FALSE))</f>
        <v/>
      </c>
      <c r="AT44" t="str">
        <f ca="1">IF(AND(ISNUMBER($AT$249),$B$208=1),$AT$249,HLOOKUP(INDIRECT(ADDRESS(2,COLUMN())),OFFSET($BN$2,0,0,ROW()-1,60),ROW()-1,FALSE))</f>
        <v/>
      </c>
      <c r="AU44" t="str">
        <f ca="1">IF(AND(ISNUMBER($AU$249),$B$208=1),$AU$249,HLOOKUP(INDIRECT(ADDRESS(2,COLUMN())),OFFSET($BN$2,0,0,ROW()-1,60),ROW()-1,FALSE))</f>
        <v/>
      </c>
      <c r="AV44" t="str">
        <f ca="1">IF(AND(ISNUMBER($AV$249),$B$208=1),$AV$249,HLOOKUP(INDIRECT(ADDRESS(2,COLUMN())),OFFSET($BN$2,0,0,ROW()-1,60),ROW()-1,FALSE))</f>
        <v/>
      </c>
      <c r="AW44" t="str">
        <f ca="1">IF(AND(ISNUMBER($AW$249),$B$208=1),$AW$249,HLOOKUP(INDIRECT(ADDRESS(2,COLUMN())),OFFSET($BN$2,0,0,ROW()-1,60),ROW()-1,FALSE))</f>
        <v/>
      </c>
      <c r="AX44" t="str">
        <f ca="1">IF(AND(ISNUMBER($AX$249),$B$208=1),$AX$249,HLOOKUP(INDIRECT(ADDRESS(2,COLUMN())),OFFSET($BN$2,0,0,ROW()-1,60),ROW()-1,FALSE))</f>
        <v/>
      </c>
      <c r="AY44" t="str">
        <f ca="1">IF(AND(ISNUMBER($AY$249),$B$208=1),$AY$249,HLOOKUP(INDIRECT(ADDRESS(2,COLUMN())),OFFSET($BN$2,0,0,ROW()-1,60),ROW()-1,FALSE))</f>
        <v/>
      </c>
      <c r="AZ44" t="str">
        <f ca="1">IF(AND(ISNUMBER($AZ$249),$B$208=1),$AZ$249,HLOOKUP(INDIRECT(ADDRESS(2,COLUMN())),OFFSET($BN$2,0,0,ROW()-1,60),ROW()-1,FALSE))</f>
        <v/>
      </c>
      <c r="BA44" t="str">
        <f ca="1">IF(AND(ISNUMBER($BA$249),$B$208=1),$BA$249,HLOOKUP(INDIRECT(ADDRESS(2,COLUMN())),OFFSET($BN$2,0,0,ROW()-1,60),ROW()-1,FALSE))</f>
        <v/>
      </c>
      <c r="BB44" t="str">
        <f ca="1">IF(AND(ISNUMBER($BB$249),$B$208=1),$BB$249,HLOOKUP(INDIRECT(ADDRESS(2,COLUMN())),OFFSET($BN$2,0,0,ROW()-1,60),ROW()-1,FALSE))</f>
        <v/>
      </c>
      <c r="BC44" t="str">
        <f ca="1">IF(AND(ISNUMBER($BC$249),$B$208=1),$BC$249,HLOOKUP(INDIRECT(ADDRESS(2,COLUMN())),OFFSET($BN$2,0,0,ROW()-1,60),ROW()-1,FALSE))</f>
        <v/>
      </c>
      <c r="BD44" t="str">
        <f ca="1">IF(AND(ISNUMBER($BD$249),$B$208=1),$BD$249,HLOOKUP(INDIRECT(ADDRESS(2,COLUMN())),OFFSET($BN$2,0,0,ROW()-1,60),ROW()-1,FALSE))</f>
        <v/>
      </c>
      <c r="BE44" t="str">
        <f ca="1">IF(AND(ISNUMBER($BE$249),$B$208=1),$BE$249,HLOOKUP(INDIRECT(ADDRESS(2,COLUMN())),OFFSET($BN$2,0,0,ROW()-1,60),ROW()-1,FALSE))</f>
        <v/>
      </c>
      <c r="BF44" t="str">
        <f ca="1">IF(AND(ISNUMBER($BF$249),$B$208=1),$BF$249,HLOOKUP(INDIRECT(ADDRESS(2,COLUMN())),OFFSET($BN$2,0,0,ROW()-1,60),ROW()-1,FALSE))</f>
        <v/>
      </c>
      <c r="BG44" t="str">
        <f ca="1">IF(AND(ISNUMBER($BG$249),$B$208=1),$BG$249,HLOOKUP(INDIRECT(ADDRESS(2,COLUMN())),OFFSET($BN$2,0,0,ROW()-1,60),ROW()-1,FALSE))</f>
        <v/>
      </c>
      <c r="BH44" t="str">
        <f ca="1">IF(AND(ISNUMBER($BH$249),$B$208=1),$BH$249,HLOOKUP(INDIRECT(ADDRESS(2,COLUMN())),OFFSET($BN$2,0,0,ROW()-1,60),ROW()-1,FALSE))</f>
        <v/>
      </c>
      <c r="BI44" t="str">
        <f ca="1">IF(AND(ISNUMBER($BI$249),$B$208=1),$BI$249,HLOOKUP(INDIRECT(ADDRESS(2,COLUMN())),OFFSET($BN$2,0,0,ROW()-1,60),ROW()-1,FALSE))</f>
        <v/>
      </c>
      <c r="BJ44" t="str">
        <f ca="1">IF(AND(ISNUMBER($BJ$249),$B$208=1),$BJ$249,HLOOKUP(INDIRECT(ADDRESS(2,COLUMN())),OFFSET($BN$2,0,0,ROW()-1,60),ROW()-1,FALSE))</f>
        <v/>
      </c>
      <c r="BK44" t="str">
        <f ca="1">IF(AND(ISNUMBER($BK$249),$B$208=1),$BK$249,HLOOKUP(INDIRECT(ADDRESS(2,COLUMN())),OFFSET($BN$2,0,0,ROW()-1,60),ROW()-1,FALSE))</f>
        <v/>
      </c>
      <c r="BL44" t="str">
        <f ca="1">IF(AND(ISNUMBER($BL$249),$B$208=1),$BL$249,HLOOKUP(INDIRECT(ADDRESS(2,COLUMN())),OFFSET($BN$2,0,0,ROW()-1,60),ROW()-1,FALSE))</f>
        <v/>
      </c>
      <c r="BM44" t="str">
        <f ca="1">IF(AND(ISNUMBER($BM$249),$B$208=1),$BM$249,HLOOKUP(INDIRECT(ADDRESS(2,COLUMN())),OFFSET($BN$2,0,0,ROW()-1,60),ROW()-1,FALSE))</f>
        <v/>
      </c>
      <c r="BN44">
        <f>2017.999</f>
        <v>2017.999</v>
      </c>
      <c r="BO44" t="str">
        <f>""</f>
        <v/>
      </c>
      <c r="BP44" t="str">
        <f>""</f>
        <v/>
      </c>
      <c r="BQ44" t="str">
        <f>""</f>
        <v/>
      </c>
      <c r="BR44">
        <f>2563.994</f>
        <v>2563.9940000000001</v>
      </c>
      <c r="BS44" t="str">
        <f>""</f>
        <v/>
      </c>
      <c r="BT44">
        <f>3505.133</f>
        <v>3505.1329999999998</v>
      </c>
      <c r="BU44" t="str">
        <f>""</f>
        <v/>
      </c>
      <c r="BV44">
        <f>3600.122</f>
        <v>3600.1219999999998</v>
      </c>
      <c r="BW44" t="str">
        <f>""</f>
        <v/>
      </c>
      <c r="BX44">
        <f>2628.361</f>
        <v>2628.3609999999999</v>
      </c>
      <c r="BY44" t="str">
        <f>""</f>
        <v/>
      </c>
      <c r="BZ44">
        <f>1378.998</f>
        <v>1378.998</v>
      </c>
      <c r="CA44" t="str">
        <f>""</f>
        <v/>
      </c>
      <c r="CB44">
        <f>1720.079</f>
        <v>1720.079</v>
      </c>
      <c r="CC44" t="str">
        <f>""</f>
        <v/>
      </c>
      <c r="CD44">
        <f>2364.595</f>
        <v>2364.5949999999998</v>
      </c>
      <c r="CE44" t="str">
        <f>""</f>
        <v/>
      </c>
      <c r="CF44">
        <f>2607.569</f>
        <v>2607.569</v>
      </c>
      <c r="CG44" t="str">
        <f>""</f>
        <v/>
      </c>
      <c r="CH44">
        <f>1840.245</f>
        <v>1840.2449999999999</v>
      </c>
      <c r="CI44" t="str">
        <f>""</f>
        <v/>
      </c>
      <c r="CJ44">
        <f>1950.705</f>
        <v>1950.7049999999999</v>
      </c>
      <c r="CK44" t="str">
        <f>""</f>
        <v/>
      </c>
      <c r="CL44">
        <f>1720.274</f>
        <v>1720.2739999999999</v>
      </c>
      <c r="CM44" t="str">
        <f>""</f>
        <v/>
      </c>
      <c r="CN44">
        <f>1842.021</f>
        <v>1842.021</v>
      </c>
      <c r="CO44" t="str">
        <f>""</f>
        <v/>
      </c>
      <c r="CP44" t="str">
        <f>""</f>
        <v/>
      </c>
      <c r="CQ44" t="str">
        <f>""</f>
        <v/>
      </c>
      <c r="CR44" t="str">
        <f>""</f>
        <v/>
      </c>
      <c r="CS44" t="str">
        <f>""</f>
        <v/>
      </c>
      <c r="CT44" t="str">
        <f>""</f>
        <v/>
      </c>
      <c r="CU44" t="str">
        <f>""</f>
        <v/>
      </c>
      <c r="CV44" t="str">
        <f>""</f>
        <v/>
      </c>
      <c r="CW44" t="str">
        <f>""</f>
        <v/>
      </c>
      <c r="CX44" t="str">
        <f>""</f>
        <v/>
      </c>
      <c r="CY44" t="str">
        <f>""</f>
        <v/>
      </c>
      <c r="CZ44" t="str">
        <f>""</f>
        <v/>
      </c>
      <c r="DA44" t="str">
        <f>""</f>
        <v/>
      </c>
      <c r="DB44" t="str">
        <f>""</f>
        <v/>
      </c>
      <c r="DC44" t="str">
        <f>""</f>
        <v/>
      </c>
      <c r="DD44" t="str">
        <f>""</f>
        <v/>
      </c>
      <c r="DE44" t="str">
        <f>""</f>
        <v/>
      </c>
      <c r="DF44" t="str">
        <f>""</f>
        <v/>
      </c>
      <c r="DG44" t="str">
        <f>""</f>
        <v/>
      </c>
      <c r="DH44" t="str">
        <f>""</f>
        <v/>
      </c>
      <c r="DI44" t="str">
        <f>""</f>
        <v/>
      </c>
      <c r="DJ44" t="str">
        <f>""</f>
        <v/>
      </c>
      <c r="DK44" t="str">
        <f>""</f>
        <v/>
      </c>
      <c r="DL44" t="str">
        <f>""</f>
        <v/>
      </c>
      <c r="DM44" t="str">
        <f>""</f>
        <v/>
      </c>
      <c r="DN44" t="str">
        <f>""</f>
        <v/>
      </c>
      <c r="DO44" t="str">
        <f>""</f>
        <v/>
      </c>
      <c r="DP44" t="str">
        <f>""</f>
        <v/>
      </c>
      <c r="DQ44" t="str">
        <f>""</f>
        <v/>
      </c>
      <c r="DR44" t="str">
        <f>""</f>
        <v/>
      </c>
      <c r="DS44" t="str">
        <f>""</f>
        <v/>
      </c>
      <c r="DT44" t="str">
        <f>""</f>
        <v/>
      </c>
      <c r="DU44" t="str">
        <f>""</f>
        <v/>
      </c>
    </row>
    <row r="45" spans="1:125" x14ac:dyDescent="0.25">
      <c r="A45" t="str">
        <f>"    Banco Santander SA"</f>
        <v xml:space="preserve">    Banco Santander SA</v>
      </c>
      <c r="B45" t="str">
        <f>"SAN SM Equity"</f>
        <v>SAN SM Equity</v>
      </c>
      <c r="C45" t="str">
        <f t="shared" si="3"/>
        <v>BM109</v>
      </c>
      <c r="D45" t="str">
        <f t="shared" si="4"/>
        <v>BS_TRADING_SECURITIES_DERIVS</v>
      </c>
      <c r="E45" t="str">
        <f t="shared" si="5"/>
        <v>Dynamic</v>
      </c>
      <c r="F45" t="str">
        <f ca="1">IF(AND(ISNUMBER($F$250),$B$208=1),$F$250,HLOOKUP(INDIRECT(ADDRESS(2,COLUMN())),OFFSET($BN$2,0,0,ROW()-1,60),ROW()-1,FALSE))</f>
        <v/>
      </c>
      <c r="G45" t="str">
        <f ca="1">IF(AND(ISNUMBER($G$250),$B$208=1),$G$250,HLOOKUP(INDIRECT(ADDRESS(2,COLUMN())),OFFSET($BN$2,0,0,ROW()-1,60),ROW()-1,FALSE))</f>
        <v/>
      </c>
      <c r="H45" t="str">
        <f ca="1">IF(AND(ISNUMBER($H$250),$B$208=1),$H$250,HLOOKUP(INDIRECT(ADDRESS(2,COLUMN())),OFFSET($BN$2,0,0,ROW()-1,60),ROW()-1,FALSE))</f>
        <v/>
      </c>
      <c r="I45" t="str">
        <f ca="1">IF(AND(ISNUMBER($I$250),$B$208=1),$I$250,HLOOKUP(INDIRECT(ADDRESS(2,COLUMN())),OFFSET($BN$2,0,0,ROW()-1,60),ROW()-1,FALSE))</f>
        <v/>
      </c>
      <c r="J45" t="str">
        <f ca="1">IF(AND(ISNUMBER($J$250),$B$208=1),$J$250,HLOOKUP(INDIRECT(ADDRESS(2,COLUMN())),OFFSET($BN$2,0,0,ROW()-1,60),ROW()-1,FALSE))</f>
        <v/>
      </c>
      <c r="K45" t="str">
        <f ca="1">IF(AND(ISNUMBER($K$250),$B$208=1),$K$250,HLOOKUP(INDIRECT(ADDRESS(2,COLUMN())),OFFSET($BN$2,0,0,ROW()-1,60),ROW()-1,FALSE))</f>
        <v/>
      </c>
      <c r="L45" t="str">
        <f ca="1">IF(AND(ISNUMBER($L$250),$B$208=1),$L$250,HLOOKUP(INDIRECT(ADDRESS(2,COLUMN())),OFFSET($BN$2,0,0,ROW()-1,60),ROW()-1,FALSE))</f>
        <v/>
      </c>
      <c r="M45" t="str">
        <f ca="1">IF(AND(ISNUMBER($M$250),$B$208=1),$M$250,HLOOKUP(INDIRECT(ADDRESS(2,COLUMN())),OFFSET($BN$2,0,0,ROW()-1,60),ROW()-1,FALSE))</f>
        <v/>
      </c>
      <c r="N45" t="str">
        <f ca="1">IF(AND(ISNUMBER($N$250),$B$208=1),$N$250,HLOOKUP(INDIRECT(ADDRESS(2,COLUMN())),OFFSET($BN$2,0,0,ROW()-1,60),ROW()-1,FALSE))</f>
        <v/>
      </c>
      <c r="O45" t="str">
        <f ca="1">IF(AND(ISNUMBER($O$250),$B$208=1),$O$250,HLOOKUP(INDIRECT(ADDRESS(2,COLUMN())),OFFSET($BN$2,0,0,ROW()-1,60),ROW()-1,FALSE))</f>
        <v/>
      </c>
      <c r="P45" t="str">
        <f ca="1">IF(AND(ISNUMBER($P$250),$B$208=1),$P$250,HLOOKUP(INDIRECT(ADDRESS(2,COLUMN())),OFFSET($BN$2,0,0,ROW()-1,60),ROW()-1,FALSE))</f>
        <v/>
      </c>
      <c r="Q45" t="str">
        <f ca="1">IF(AND(ISNUMBER($Q$250),$B$208=1),$Q$250,HLOOKUP(INDIRECT(ADDRESS(2,COLUMN())),OFFSET($BN$2,0,0,ROW()-1,60),ROW()-1,FALSE))</f>
        <v/>
      </c>
      <c r="R45" t="str">
        <f ca="1">IF(AND(ISNUMBER($R$250),$B$208=1),$R$250,HLOOKUP(INDIRECT(ADDRESS(2,COLUMN())),OFFSET($BN$2,0,0,ROW()-1,60),ROW()-1,FALSE))</f>
        <v/>
      </c>
      <c r="S45" t="str">
        <f ca="1">IF(AND(ISNUMBER($S$250),$B$208=1),$S$250,HLOOKUP(INDIRECT(ADDRESS(2,COLUMN())),OFFSET($BN$2,0,0,ROW()-1,60),ROW()-1,FALSE))</f>
        <v/>
      </c>
      <c r="T45" t="str">
        <f ca="1">IF(AND(ISNUMBER($T$250),$B$208=1),$T$250,HLOOKUP(INDIRECT(ADDRESS(2,COLUMN())),OFFSET($BN$2,0,0,ROW()-1,60),ROW()-1,FALSE))</f>
        <v/>
      </c>
      <c r="U45" t="str">
        <f ca="1">IF(AND(ISNUMBER($U$250),$B$208=1),$U$250,HLOOKUP(INDIRECT(ADDRESS(2,COLUMN())),OFFSET($BN$2,0,0,ROW()-1,60),ROW()-1,FALSE))</f>
        <v/>
      </c>
      <c r="V45" t="str">
        <f ca="1">IF(AND(ISNUMBER($V$250),$B$208=1),$V$250,HLOOKUP(INDIRECT(ADDRESS(2,COLUMN())),OFFSET($BN$2,0,0,ROW()-1,60),ROW()-1,FALSE))</f>
        <v/>
      </c>
      <c r="W45" t="str">
        <f ca="1">IF(AND(ISNUMBER($W$250),$B$208=1),$W$250,HLOOKUP(INDIRECT(ADDRESS(2,COLUMN())),OFFSET($BN$2,0,0,ROW()-1,60),ROW()-1,FALSE))</f>
        <v/>
      </c>
      <c r="X45" t="str">
        <f ca="1">IF(AND(ISNUMBER($X$250),$B$208=1),$X$250,HLOOKUP(INDIRECT(ADDRESS(2,COLUMN())),OFFSET($BN$2,0,0,ROW()-1,60),ROW()-1,FALSE))</f>
        <v/>
      </c>
      <c r="Y45" t="str">
        <f ca="1">IF(AND(ISNUMBER($Y$250),$B$208=1),$Y$250,HLOOKUP(INDIRECT(ADDRESS(2,COLUMN())),OFFSET($BN$2,0,0,ROW()-1,60),ROW()-1,FALSE))</f>
        <v/>
      </c>
      <c r="Z45">
        <f ca="1">IF(AND(ISNUMBER($Z$250),$B$208=1),$Z$250,HLOOKUP(INDIRECT(ADDRESS(2,COLUMN())),OFFSET($BN$2,0,0,ROW()-1,60),ROW()-1,FALSE))</f>
        <v>63397</v>
      </c>
      <c r="AA45">
        <f ca="1">IF(AND(ISNUMBER($AA$250),$B$208=1),$AA$250,HLOOKUP(INDIRECT(ADDRESS(2,COLUMN())),OFFSET($BN$2,0,0,ROW()-1,60),ROW()-1,FALSE))</f>
        <v>68673</v>
      </c>
      <c r="AB45">
        <f ca="1">IF(AND(ISNUMBER($AB$250),$B$208=1),$AB$250,HLOOKUP(INDIRECT(ADDRESS(2,COLUMN())),OFFSET($BN$2,0,0,ROW()-1,60),ROW()-1,FALSE))</f>
        <v>57798</v>
      </c>
      <c r="AC45">
        <f ca="1">IF(AND(ISNUMBER($AC$250),$B$208=1),$AC$250,HLOOKUP(INDIRECT(ADDRESS(2,COLUMN())),OFFSET($BN$2,0,0,ROW()-1,60),ROW()-1,FALSE))</f>
        <v>56207</v>
      </c>
      <c r="AD45">
        <f ca="1">IF(AND(ISNUMBER($AD$250),$B$208=1),$AD$250,HLOOKUP(INDIRECT(ADDRESS(2,COLUMN())),OFFSET($BN$2,0,0,ROW()-1,60),ROW()-1,FALSE))</f>
        <v>55939</v>
      </c>
      <c r="AE45">
        <f ca="1">IF(AND(ISNUMBER($AE$250),$B$208=1),$AE$250,HLOOKUP(INDIRECT(ADDRESS(2,COLUMN())),OFFSET($BN$2,0,0,ROW()-1,60),ROW()-1,FALSE))</f>
        <v>52677</v>
      </c>
      <c r="AF45">
        <f ca="1">IF(AND(ISNUMBER($AF$250),$B$208=1),$AF$250,HLOOKUP(INDIRECT(ADDRESS(2,COLUMN())),OFFSET($BN$2,0,0,ROW()-1,60),ROW()-1,FALSE))</f>
        <v>55997</v>
      </c>
      <c r="AG45" t="str">
        <f ca="1">IF(AND(ISNUMBER($AG$250),$B$208=1),$AG$250,HLOOKUP(INDIRECT(ADDRESS(2,COLUMN())),OFFSET($BN$2,0,0,ROW()-1,60),ROW()-1,FALSE))</f>
        <v/>
      </c>
      <c r="AH45">
        <f ca="1">IF(AND(ISNUMBER($AH$250),$B$208=1),$AH$250,HLOOKUP(INDIRECT(ADDRESS(2,COLUMN())),OFFSET($BN$2,0,0,ROW()-1,60),ROW()-1,FALSE))</f>
        <v>57243</v>
      </c>
      <c r="AI45">
        <f ca="1">IF(AND(ISNUMBER($AI$250),$B$208=1),$AI$250,HLOOKUP(INDIRECT(ADDRESS(2,COLUMN())),OFFSET($BN$2,0,0,ROW()-1,60),ROW()-1,FALSE))</f>
        <v>56913</v>
      </c>
      <c r="AJ45">
        <f ca="1">IF(AND(ISNUMBER($AJ$250),$B$208=1),$AJ$250,HLOOKUP(INDIRECT(ADDRESS(2,COLUMN())),OFFSET($BN$2,0,0,ROW()-1,60),ROW()-1,FALSE))</f>
        <v>58210</v>
      </c>
      <c r="AK45" t="str">
        <f ca="1">IF(AND(ISNUMBER($AK$250),$B$208=1),$AK$250,HLOOKUP(INDIRECT(ADDRESS(2,COLUMN())),OFFSET($BN$2,0,0,ROW()-1,60),ROW()-1,FALSE))</f>
        <v/>
      </c>
      <c r="AL45">
        <f ca="1">IF(AND(ISNUMBER($AL$250),$B$208=1),$AL$250,HLOOKUP(INDIRECT(ADDRESS(2,COLUMN())),OFFSET($BN$2,0,0,ROW()-1,60),ROW()-1,FALSE))</f>
        <v>72043</v>
      </c>
      <c r="AM45">
        <f ca="1">IF(AND(ISNUMBER($AM$250),$B$208=1),$AM$250,HLOOKUP(INDIRECT(ADDRESS(2,COLUMN())),OFFSET($BN$2,0,0,ROW()-1,60),ROW()-1,FALSE))</f>
        <v>83756</v>
      </c>
      <c r="AN45">
        <f ca="1">IF(AND(ISNUMBER($AN$250),$B$208=1),$AN$250,HLOOKUP(INDIRECT(ADDRESS(2,COLUMN())),OFFSET($BN$2,0,0,ROW()-1,60),ROW()-1,FALSE))</f>
        <v>87275</v>
      </c>
      <c r="AO45">
        <f ca="1">IF(AND(ISNUMBER($AO$250),$B$208=1),$AO$250,HLOOKUP(INDIRECT(ADDRESS(2,COLUMN())),OFFSET($BN$2,0,0,ROW()-1,60),ROW()-1,FALSE))</f>
        <v>76643</v>
      </c>
      <c r="AP45">
        <f ca="1">IF(AND(ISNUMBER($AP$250),$B$208=1),$AP$250,HLOOKUP(INDIRECT(ADDRESS(2,COLUMN())),OFFSET($BN$2,0,0,ROW()-1,60),ROW()-1,FALSE))</f>
        <v>76724</v>
      </c>
      <c r="AQ45">
        <f ca="1">IF(AND(ISNUMBER($AQ$250),$B$208=1),$AQ$250,HLOOKUP(INDIRECT(ADDRESS(2,COLUMN())),OFFSET($BN$2,0,0,ROW()-1,60),ROW()-1,FALSE))</f>
        <v>80425</v>
      </c>
      <c r="AR45">
        <f ca="1">IF(AND(ISNUMBER($AR$250),$B$208=1),$AR$250,HLOOKUP(INDIRECT(ADDRESS(2,COLUMN())),OFFSET($BN$2,0,0,ROW()-1,60),ROW()-1,FALSE))</f>
        <v>72557</v>
      </c>
      <c r="AS45">
        <f ca="1">IF(AND(ISNUMBER($AS$250),$B$208=1),$AS$250,HLOOKUP(INDIRECT(ADDRESS(2,COLUMN())),OFFSET($BN$2,0,0,ROW()-1,60),ROW()-1,FALSE))</f>
        <v>89305</v>
      </c>
      <c r="AT45">
        <f ca="1">IF(AND(ISNUMBER($AT$250),$B$208=1),$AT$250,HLOOKUP(INDIRECT(ADDRESS(2,COLUMN())),OFFSET($BN$2,0,0,ROW()-1,60),ROW()-1,FALSE))</f>
        <v>76858</v>
      </c>
      <c r="AU45">
        <f ca="1">IF(AND(ISNUMBER($AU$250),$B$208=1),$AU$250,HLOOKUP(INDIRECT(ADDRESS(2,COLUMN())),OFFSET($BN$2,0,0,ROW()-1,60),ROW()-1,FALSE))</f>
        <v>71533</v>
      </c>
      <c r="AV45">
        <f ca="1">IF(AND(ISNUMBER($AV$250),$B$208=1),$AV$250,HLOOKUP(INDIRECT(ADDRESS(2,COLUMN())),OFFSET($BN$2,0,0,ROW()-1,60),ROW()-1,FALSE))</f>
        <v>64335</v>
      </c>
      <c r="AW45">
        <f ca="1">IF(AND(ISNUMBER($AW$250),$B$208=1),$AW$250,HLOOKUP(INDIRECT(ADDRESS(2,COLUMN())),OFFSET($BN$2,0,0,ROW()-1,60),ROW()-1,FALSE))</f>
        <v>60252</v>
      </c>
      <c r="AX45">
        <f ca="1">IF(AND(ISNUMBER($AX$250),$B$208=1),$AX$250,HLOOKUP(INDIRECT(ADDRESS(2,COLUMN())),OFFSET($BN$2,0,0,ROW()-1,60),ROW()-1,FALSE))</f>
        <v>58899</v>
      </c>
      <c r="AY45">
        <f ca="1">IF(AND(ISNUMBER($AY$250),$B$208=1),$AY$250,HLOOKUP(INDIRECT(ADDRESS(2,COLUMN())),OFFSET($BN$2,0,0,ROW()-1,60),ROW()-1,FALSE))</f>
        <v>79669</v>
      </c>
      <c r="AZ45">
        <f ca="1">IF(AND(ISNUMBER($AZ$250),$B$208=1),$AZ$250,HLOOKUP(INDIRECT(ADDRESS(2,COLUMN())),OFFSET($BN$2,0,0,ROW()-1,60),ROW()-1,FALSE))</f>
        <v>91437</v>
      </c>
      <c r="BA45">
        <f ca="1">IF(AND(ISNUMBER($BA$250),$B$208=1),$BA$250,HLOOKUP(INDIRECT(ADDRESS(2,COLUMN())),OFFSET($BN$2,0,0,ROW()-1,60),ROW()-1,FALSE))</f>
        <v>105391</v>
      </c>
      <c r="BB45">
        <f ca="1">IF(AND(ISNUMBER($BB$250),$B$208=1),$BB$250,HLOOKUP(INDIRECT(ADDRESS(2,COLUMN())),OFFSET($BN$2,0,0,ROW()-1,60),ROW()-1,FALSE))</f>
        <v>110319</v>
      </c>
      <c r="BC45">
        <f ca="1">IF(AND(ISNUMBER($BC$250),$B$208=1),$BC$250,HLOOKUP(INDIRECT(ADDRESS(2,COLUMN())),OFFSET($BN$2,0,0,ROW()-1,60),ROW()-1,FALSE))</f>
        <v>122472</v>
      </c>
      <c r="BD45">
        <f ca="1">IF(AND(ISNUMBER($BD$250),$B$208=1),$BD$250,HLOOKUP(INDIRECT(ADDRESS(2,COLUMN())),OFFSET($BN$2,0,0,ROW()-1,60),ROW()-1,FALSE))</f>
        <v>112303</v>
      </c>
      <c r="BE45" t="str">
        <f ca="1">IF(AND(ISNUMBER($BE$250),$B$208=1),$BE$250,HLOOKUP(INDIRECT(ADDRESS(2,COLUMN())),OFFSET($BN$2,0,0,ROW()-1,60),ROW()-1,FALSE))</f>
        <v/>
      </c>
      <c r="BF45">
        <f ca="1">IF(AND(ISNUMBER($BF$250),$B$208=1),$BF$250,HLOOKUP(INDIRECT(ADDRESS(2,COLUMN())),OFFSET($BN$2,0,0,ROW()-1,60),ROW()-1,FALSE))</f>
        <v>102498</v>
      </c>
      <c r="BG45" t="str">
        <f ca="1">IF(AND(ISNUMBER($BG$250),$B$208=1),$BG$250,HLOOKUP(INDIRECT(ADDRESS(2,COLUMN())),OFFSET($BN$2,0,0,ROW()-1,60),ROW()-1,FALSE))</f>
        <v/>
      </c>
      <c r="BH45">
        <f ca="1">IF(AND(ISNUMBER($BH$250),$B$208=1),$BH$250,HLOOKUP(INDIRECT(ADDRESS(2,COLUMN())),OFFSET($BN$2,0,0,ROW()-1,60),ROW()-1,FALSE))</f>
        <v>68494</v>
      </c>
      <c r="BI45">
        <f ca="1">IF(AND(ISNUMBER($BI$250),$B$208=1),$BI$250,HLOOKUP(INDIRECT(ADDRESS(2,COLUMN())),OFFSET($BN$2,0,0,ROW()-1,60),ROW()-1,FALSE))</f>
        <v>62509</v>
      </c>
      <c r="BJ45">
        <f ca="1">IF(AND(ISNUMBER($BJ$250),$B$208=1),$BJ$250,HLOOKUP(INDIRECT(ADDRESS(2,COLUMN())),OFFSET($BN$2,0,0,ROW()-1,60),ROW()-1,FALSE))</f>
        <v>73068.769</v>
      </c>
      <c r="BK45" t="str">
        <f ca="1">IF(AND(ISNUMBER($BK$250),$B$208=1),$BK$250,HLOOKUP(INDIRECT(ADDRESS(2,COLUMN())),OFFSET($BN$2,0,0,ROW()-1,60),ROW()-1,FALSE))</f>
        <v/>
      </c>
      <c r="BL45">
        <f ca="1">IF(AND(ISNUMBER($BL$250),$B$208=1),$BL$250,HLOOKUP(INDIRECT(ADDRESS(2,COLUMN())),OFFSET($BN$2,0,0,ROW()-1,60),ROW()-1,FALSE))</f>
        <v>85357</v>
      </c>
      <c r="BM45" t="str">
        <f ca="1">IF(AND(ISNUMBER($BM$250),$B$208=1),$BM$250,HLOOKUP(INDIRECT(ADDRESS(2,COLUMN())),OFFSET($BN$2,0,0,ROW()-1,60),ROW()-1,FALSE))</f>
        <v/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  <c r="BT45" t="str">
        <f>""</f>
        <v/>
      </c>
      <c r="BU45" t="str">
        <f>""</f>
        <v/>
      </c>
      <c r="BV45" t="str">
        <f>""</f>
        <v/>
      </c>
      <c r="BW45" t="str">
        <f>""</f>
        <v/>
      </c>
      <c r="BX45" t="str">
        <f>""</f>
        <v/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  <c r="CH45">
        <f>63397</f>
        <v>63397</v>
      </c>
      <c r="CI45">
        <f>68673</f>
        <v>68673</v>
      </c>
      <c r="CJ45">
        <f>57798</f>
        <v>57798</v>
      </c>
      <c r="CK45">
        <f>56207</f>
        <v>56207</v>
      </c>
      <c r="CL45">
        <f>55939</f>
        <v>55939</v>
      </c>
      <c r="CM45">
        <f>52677</f>
        <v>52677</v>
      </c>
      <c r="CN45">
        <f>55997</f>
        <v>55997</v>
      </c>
      <c r="CO45" t="str">
        <f>""</f>
        <v/>
      </c>
      <c r="CP45">
        <f>57243</f>
        <v>57243</v>
      </c>
      <c r="CQ45">
        <f>56913</f>
        <v>56913</v>
      </c>
      <c r="CR45">
        <f>58210</f>
        <v>58210</v>
      </c>
      <c r="CS45" t="str">
        <f>""</f>
        <v/>
      </c>
      <c r="CT45">
        <f>72043</f>
        <v>72043</v>
      </c>
      <c r="CU45">
        <f>83756</f>
        <v>83756</v>
      </c>
      <c r="CV45">
        <f>87275</f>
        <v>87275</v>
      </c>
      <c r="CW45">
        <f>76643</f>
        <v>76643</v>
      </c>
      <c r="CX45">
        <f>76724</f>
        <v>76724</v>
      </c>
      <c r="CY45">
        <f>80425</f>
        <v>80425</v>
      </c>
      <c r="CZ45">
        <f>72557</f>
        <v>72557</v>
      </c>
      <c r="DA45">
        <f>89305</f>
        <v>89305</v>
      </c>
      <c r="DB45">
        <f>76858</f>
        <v>76858</v>
      </c>
      <c r="DC45">
        <f>71533</f>
        <v>71533</v>
      </c>
      <c r="DD45">
        <f>64335</f>
        <v>64335</v>
      </c>
      <c r="DE45">
        <f>60252</f>
        <v>60252</v>
      </c>
      <c r="DF45">
        <f>58899</f>
        <v>58899</v>
      </c>
      <c r="DG45">
        <f>79669</f>
        <v>79669</v>
      </c>
      <c r="DH45">
        <f>91437</f>
        <v>91437</v>
      </c>
      <c r="DI45">
        <f>105391</f>
        <v>105391</v>
      </c>
      <c r="DJ45">
        <f>110319</f>
        <v>110319</v>
      </c>
      <c r="DK45">
        <f>122472</f>
        <v>122472</v>
      </c>
      <c r="DL45">
        <f>112303</f>
        <v>112303</v>
      </c>
      <c r="DM45" t="str">
        <f>""</f>
        <v/>
      </c>
      <c r="DN45">
        <f>102498</f>
        <v>102498</v>
      </c>
      <c r="DO45" t="str">
        <f>""</f>
        <v/>
      </c>
      <c r="DP45">
        <f>68494</f>
        <v>68494</v>
      </c>
      <c r="DQ45">
        <f>62509</f>
        <v>62509</v>
      </c>
      <c r="DR45">
        <f>73068.769</f>
        <v>73068.769</v>
      </c>
      <c r="DS45" t="str">
        <f>""</f>
        <v/>
      </c>
      <c r="DT45">
        <f>85357</f>
        <v>85357</v>
      </c>
      <c r="DU45" t="str">
        <f>""</f>
        <v/>
      </c>
    </row>
    <row r="46" spans="1:125" x14ac:dyDescent="0.25">
      <c r="A46" t="str">
        <f>"    Barclays PLC"</f>
        <v xml:space="preserve">    Barclays PLC</v>
      </c>
      <c r="B46" t="str">
        <f>"BARC LN Equity"</f>
        <v>BARC LN Equity</v>
      </c>
      <c r="C46" t="str">
        <f t="shared" si="3"/>
        <v>BM109</v>
      </c>
      <c r="D46" t="str">
        <f t="shared" si="4"/>
        <v>BS_TRADING_SECURITIES_DERIVS</v>
      </c>
      <c r="E46" t="str">
        <f t="shared" si="5"/>
        <v>Dynamic</v>
      </c>
      <c r="F46">
        <f ca="1">IF(AND(ISNUMBER($F$251),$B$208=1),$F$251,HLOOKUP(INDIRECT(ADDRESS(2,COLUMN())),OFFSET($BN$2,0,0,ROW()-1,60),ROW()-1,FALSE))</f>
        <v>352006.60249999998</v>
      </c>
      <c r="G46" t="str">
        <f ca="1">IF(AND(ISNUMBER($G$251),$B$208=1),$G$251,HLOOKUP(INDIRECT(ADDRESS(2,COLUMN())),OFFSET($BN$2,0,0,ROW()-1,60),ROW()-1,FALSE))</f>
        <v/>
      </c>
      <c r="H46">
        <f ca="1">IF(AND(ISNUMBER($H$251),$B$208=1),$H$251,HLOOKUP(INDIRECT(ADDRESS(2,COLUMN())),OFFSET($BN$2,0,0,ROW()-1,60),ROW()-1,FALSE))</f>
        <v>295814.07</v>
      </c>
      <c r="I46" t="str">
        <f ca="1">IF(AND(ISNUMBER($I$251),$B$208=1),$I$251,HLOOKUP(INDIRECT(ADDRESS(2,COLUMN())),OFFSET($BN$2,0,0,ROW()-1,60),ROW()-1,FALSE))</f>
        <v/>
      </c>
      <c r="J46">
        <f ca="1">IF(AND(ISNUMBER($J$251),$B$208=1),$J$251,HLOOKUP(INDIRECT(ADDRESS(2,COLUMN())),OFFSET($BN$2,0,0,ROW()-1,60),ROW()-1,FALSE))</f>
        <v>293746.25890000002</v>
      </c>
      <c r="K46" t="str">
        <f ca="1">IF(AND(ISNUMBER($K$251),$B$208=1),$K$251,HLOOKUP(INDIRECT(ADDRESS(2,COLUMN())),OFFSET($BN$2,0,0,ROW()-1,60),ROW()-1,FALSE))</f>
        <v/>
      </c>
      <c r="L46">
        <f ca="1">IF(AND(ISNUMBER($L$251),$B$208=1),$L$251,HLOOKUP(INDIRECT(ADDRESS(2,COLUMN())),OFFSET($BN$2,0,0,ROW()-1,60),ROW()-1,FALSE))</f>
        <v>308219.1618</v>
      </c>
      <c r="M46" t="str">
        <f ca="1">IF(AND(ISNUMBER($M$251),$B$208=1),$M$251,HLOOKUP(INDIRECT(ADDRESS(2,COLUMN())),OFFSET($BN$2,0,0,ROW()-1,60),ROW()-1,FALSE))</f>
        <v/>
      </c>
      <c r="N46">
        <f ca="1">IF(AND(ISNUMBER($N$251),$B$208=1),$N$251,HLOOKUP(INDIRECT(ADDRESS(2,COLUMN())),OFFSET($BN$2,0,0,ROW()-1,60),ROW()-1,FALSE))</f>
        <v>340708.18839999998</v>
      </c>
      <c r="O46" t="str">
        <f ca="1">IF(AND(ISNUMBER($O$251),$B$208=1),$O$251,HLOOKUP(INDIRECT(ADDRESS(2,COLUMN())),OFFSET($BN$2,0,0,ROW()-1,60),ROW()-1,FALSE))</f>
        <v/>
      </c>
      <c r="P46">
        <f ca="1">IF(AND(ISNUMBER($P$251),$B$208=1),$P$251,HLOOKUP(INDIRECT(ADDRESS(2,COLUMN())),OFFSET($BN$2,0,0,ROW()-1,60),ROW()-1,FALSE))</f>
        <v>399622.35359999997</v>
      </c>
      <c r="Q46" t="str">
        <f ca="1">IF(AND(ISNUMBER($Q$251),$B$208=1),$Q$251,HLOOKUP(INDIRECT(ADDRESS(2,COLUMN())),OFFSET($BN$2,0,0,ROW()-1,60),ROW()-1,FALSE))</f>
        <v/>
      </c>
      <c r="R46">
        <f ca="1">IF(AND(ISNUMBER($R$251),$B$208=1),$R$251,HLOOKUP(INDIRECT(ADDRESS(2,COLUMN())),OFFSET($BN$2,0,0,ROW()-1,60),ROW()-1,FALSE))</f>
        <v>311067.25189999997</v>
      </c>
      <c r="S46" t="str">
        <f ca="1">IF(AND(ISNUMBER($S$251),$B$208=1),$S$251,HLOOKUP(INDIRECT(ADDRESS(2,COLUMN())),OFFSET($BN$2,0,0,ROW()-1,60),ROW()-1,FALSE))</f>
        <v/>
      </c>
      <c r="T46">
        <f ca="1">IF(AND(ISNUMBER($T$251),$B$208=1),$T$251,HLOOKUP(INDIRECT(ADDRESS(2,COLUMN())),OFFSET($BN$2,0,0,ROW()-1,60),ROW()-1,FALSE))</f>
        <v>297797.6876</v>
      </c>
      <c r="U46" t="str">
        <f ca="1">IF(AND(ISNUMBER($U$251),$B$208=1),$U$251,HLOOKUP(INDIRECT(ADDRESS(2,COLUMN())),OFFSET($BN$2,0,0,ROW()-1,60),ROW()-1,FALSE))</f>
        <v/>
      </c>
      <c r="V46">
        <f ca="1">IF(AND(ISNUMBER($V$251),$B$208=1),$V$251,HLOOKUP(INDIRECT(ADDRESS(2,COLUMN())),OFFSET($BN$2,0,0,ROW()-1,60),ROW()-1,FALSE))</f>
        <v>337093.15990000003</v>
      </c>
      <c r="W46" t="str">
        <f ca="1">IF(AND(ISNUMBER($W$251),$B$208=1),$W$251,HLOOKUP(INDIRECT(ADDRESS(2,COLUMN())),OFFSET($BN$2,0,0,ROW()-1,60),ROW()-1,FALSE))</f>
        <v/>
      </c>
      <c r="X46" t="str">
        <f ca="1">IF(AND(ISNUMBER($X$251),$B$208=1),$X$251,HLOOKUP(INDIRECT(ADDRESS(2,COLUMN())),OFFSET($BN$2,0,0,ROW()-1,60),ROW()-1,FALSE))</f>
        <v/>
      </c>
      <c r="Y46" t="str">
        <f ca="1">IF(AND(ISNUMBER($Y$251),$B$208=1),$Y$251,HLOOKUP(INDIRECT(ADDRESS(2,COLUMN())),OFFSET($BN$2,0,0,ROW()-1,60),ROW()-1,FALSE))</f>
        <v/>
      </c>
      <c r="Z46">
        <f ca="1">IF(AND(ISNUMBER($Z$251),$B$208=1),$Z$251,HLOOKUP(INDIRECT(ADDRESS(2,COLUMN())),OFFSET($BN$2,0,0,ROW()-1,60),ROW()-1,FALSE))</f>
        <v>270555.04220000003</v>
      </c>
      <c r="AA46" t="str">
        <f ca="1">IF(AND(ISNUMBER($AA$251),$B$208=1),$AA$251,HLOOKUP(INDIRECT(ADDRESS(2,COLUMN())),OFFSET($BN$2,0,0,ROW()-1,60),ROW()-1,FALSE))</f>
        <v/>
      </c>
      <c r="AB46" t="str">
        <f ca="1">IF(AND(ISNUMBER($AB$251),$B$208=1),$AB$251,HLOOKUP(INDIRECT(ADDRESS(2,COLUMN())),OFFSET($BN$2,0,0,ROW()-1,60),ROW()-1,FALSE))</f>
        <v/>
      </c>
      <c r="AC46" t="str">
        <f ca="1">IF(AND(ISNUMBER($AC$251),$B$208=1),$AC$251,HLOOKUP(INDIRECT(ADDRESS(2,COLUMN())),OFFSET($BN$2,0,0,ROW()-1,60),ROW()-1,FALSE))</f>
        <v/>
      </c>
      <c r="AD46">
        <f ca="1">IF(AND(ISNUMBER($AD$251),$B$208=1),$AD$251,HLOOKUP(INDIRECT(ADDRESS(2,COLUMN())),OFFSET($BN$2,0,0,ROW()-1,60),ROW()-1,FALSE))</f>
        <v>247511.91620000001</v>
      </c>
      <c r="AE46" t="str">
        <f ca="1">IF(AND(ISNUMBER($AE$251),$B$208=1),$AE$251,HLOOKUP(INDIRECT(ADDRESS(2,COLUMN())),OFFSET($BN$2,0,0,ROW()-1,60),ROW()-1,FALSE))</f>
        <v/>
      </c>
      <c r="AF46" t="str">
        <f ca="1">IF(AND(ISNUMBER($AF$251),$B$208=1),$AF$251,HLOOKUP(INDIRECT(ADDRESS(2,COLUMN())),OFFSET($BN$2,0,0,ROW()-1,60),ROW()-1,FALSE))</f>
        <v/>
      </c>
      <c r="AG46" t="str">
        <f ca="1">IF(AND(ISNUMBER($AG$251),$B$208=1),$AG$251,HLOOKUP(INDIRECT(ADDRESS(2,COLUMN())),OFFSET($BN$2,0,0,ROW()-1,60),ROW()-1,FALSE))</f>
        <v/>
      </c>
      <c r="AH46">
        <f ca="1">IF(AND(ISNUMBER($AH$251),$B$208=1),$AH$251,HLOOKUP(INDIRECT(ADDRESS(2,COLUMN())),OFFSET($BN$2,0,0,ROW()-1,60),ROW()-1,FALSE))</f>
        <v>267177.18320000003</v>
      </c>
      <c r="AI46" t="str">
        <f ca="1">IF(AND(ISNUMBER($AI$251),$B$208=1),$AI$251,HLOOKUP(INDIRECT(ADDRESS(2,COLUMN())),OFFSET($BN$2,0,0,ROW()-1,60),ROW()-1,FALSE))</f>
        <v/>
      </c>
      <c r="AJ46" t="str">
        <f ca="1">IF(AND(ISNUMBER($AJ$251),$B$208=1),$AJ$251,HLOOKUP(INDIRECT(ADDRESS(2,COLUMN())),OFFSET($BN$2,0,0,ROW()-1,60),ROW()-1,FALSE))</f>
        <v/>
      </c>
      <c r="AK46" t="str">
        <f ca="1">IF(AND(ISNUMBER($AK$251),$B$208=1),$AK$251,HLOOKUP(INDIRECT(ADDRESS(2,COLUMN())),OFFSET($BN$2,0,0,ROW()-1,60),ROW()-1,FALSE))</f>
        <v/>
      </c>
      <c r="AL46">
        <f ca="1">IF(AND(ISNUMBER($AL$251),$B$208=1),$AL$251,HLOOKUP(INDIRECT(ADDRESS(2,COLUMN())),OFFSET($BN$2,0,0,ROW()-1,60),ROW()-1,FALSE))</f>
        <v>404544.25709999999</v>
      </c>
      <c r="AM46" t="str">
        <f ca="1">IF(AND(ISNUMBER($AM$251),$B$208=1),$AM$251,HLOOKUP(INDIRECT(ADDRESS(2,COLUMN())),OFFSET($BN$2,0,0,ROW()-1,60),ROW()-1,FALSE))</f>
        <v/>
      </c>
      <c r="AN46" t="str">
        <f ca="1">IF(AND(ISNUMBER($AN$251),$B$208=1),$AN$251,HLOOKUP(INDIRECT(ADDRESS(2,COLUMN())),OFFSET($BN$2,0,0,ROW()-1,60),ROW()-1,FALSE))</f>
        <v/>
      </c>
      <c r="AO46" t="str">
        <f ca="1">IF(AND(ISNUMBER($AO$251),$B$208=1),$AO$251,HLOOKUP(INDIRECT(ADDRESS(2,COLUMN())),OFFSET($BN$2,0,0,ROW()-1,60),ROW()-1,FALSE))</f>
        <v/>
      </c>
      <c r="AP46">
        <f ca="1">IF(AND(ISNUMBER($AP$251),$B$208=1),$AP$251,HLOOKUP(INDIRECT(ADDRESS(2,COLUMN())),OFFSET($BN$2,0,0,ROW()-1,60),ROW()-1,FALSE))</f>
        <v>443093.93040000001</v>
      </c>
      <c r="AQ46" t="str">
        <f ca="1">IF(AND(ISNUMBER($AQ$251),$B$208=1),$AQ$251,HLOOKUP(INDIRECT(ADDRESS(2,COLUMN())),OFFSET($BN$2,0,0,ROW()-1,60),ROW()-1,FALSE))</f>
        <v/>
      </c>
      <c r="AR46" t="str">
        <f ca="1">IF(AND(ISNUMBER($AR$251),$B$208=1),$AR$251,HLOOKUP(INDIRECT(ADDRESS(2,COLUMN())),OFFSET($BN$2,0,0,ROW()-1,60),ROW()-1,FALSE))</f>
        <v/>
      </c>
      <c r="AS46" t="str">
        <f ca="1">IF(AND(ISNUMBER($AS$251),$B$208=1),$AS$251,HLOOKUP(INDIRECT(ADDRESS(2,COLUMN())),OFFSET($BN$2,0,0,ROW()-1,60),ROW()-1,FALSE))</f>
        <v/>
      </c>
      <c r="AT46" t="str">
        <f ca="1">IF(AND(ISNUMBER($AT$251),$B$208=1),$AT$251,HLOOKUP(INDIRECT(ADDRESS(2,COLUMN())),OFFSET($BN$2,0,0,ROW()-1,60),ROW()-1,FALSE))</f>
        <v/>
      </c>
      <c r="AU46" t="str">
        <f ca="1">IF(AND(ISNUMBER($AU$251),$B$208=1),$AU$251,HLOOKUP(INDIRECT(ADDRESS(2,COLUMN())),OFFSET($BN$2,0,0,ROW()-1,60),ROW()-1,FALSE))</f>
        <v/>
      </c>
      <c r="AV46" t="str">
        <f ca="1">IF(AND(ISNUMBER($AV$251),$B$208=1),$AV$251,HLOOKUP(INDIRECT(ADDRESS(2,COLUMN())),OFFSET($BN$2,0,0,ROW()-1,60),ROW()-1,FALSE))</f>
        <v/>
      </c>
      <c r="AW46" t="str">
        <f ca="1">IF(AND(ISNUMBER($AW$251),$B$208=1),$AW$251,HLOOKUP(INDIRECT(ADDRESS(2,COLUMN())),OFFSET($BN$2,0,0,ROW()-1,60),ROW()-1,FALSE))</f>
        <v/>
      </c>
      <c r="AX46" t="str">
        <f ca="1">IF(AND(ISNUMBER($AX$251),$B$208=1),$AX$251,HLOOKUP(INDIRECT(ADDRESS(2,COLUMN())),OFFSET($BN$2,0,0,ROW()-1,60),ROW()-1,FALSE))</f>
        <v/>
      </c>
      <c r="AY46" t="str">
        <f ca="1">IF(AND(ISNUMBER($AY$251),$B$208=1),$AY$251,HLOOKUP(INDIRECT(ADDRESS(2,COLUMN())),OFFSET($BN$2,0,0,ROW()-1,60),ROW()-1,FALSE))</f>
        <v/>
      </c>
      <c r="AZ46" t="str">
        <f ca="1">IF(AND(ISNUMBER($AZ$251),$B$208=1),$AZ$251,HLOOKUP(INDIRECT(ADDRESS(2,COLUMN())),OFFSET($BN$2,0,0,ROW()-1,60),ROW()-1,FALSE))</f>
        <v/>
      </c>
      <c r="BA46" t="str">
        <f ca="1">IF(AND(ISNUMBER($BA$251),$B$208=1),$BA$251,HLOOKUP(INDIRECT(ADDRESS(2,COLUMN())),OFFSET($BN$2,0,0,ROW()-1,60),ROW()-1,FALSE))</f>
        <v/>
      </c>
      <c r="BB46" t="str">
        <f ca="1">IF(AND(ISNUMBER($BB$251),$B$208=1),$BB$251,HLOOKUP(INDIRECT(ADDRESS(2,COLUMN())),OFFSET($BN$2,0,0,ROW()-1,60),ROW()-1,FALSE))</f>
        <v/>
      </c>
      <c r="BC46" t="str">
        <f ca="1">IF(AND(ISNUMBER($BC$251),$B$208=1),$BC$251,HLOOKUP(INDIRECT(ADDRESS(2,COLUMN())),OFFSET($BN$2,0,0,ROW()-1,60),ROW()-1,FALSE))</f>
        <v/>
      </c>
      <c r="BD46">
        <f ca="1">IF(AND(ISNUMBER($BD$251),$B$208=1),$BD$251,HLOOKUP(INDIRECT(ADDRESS(2,COLUMN())),OFFSET($BN$2,0,0,ROW()-1,60),ROW()-1,FALSE))</f>
        <v>635533.16229999997</v>
      </c>
      <c r="BE46" t="str">
        <f ca="1">IF(AND(ISNUMBER($BE$251),$B$208=1),$BE$251,HLOOKUP(INDIRECT(ADDRESS(2,COLUMN())),OFFSET($BN$2,0,0,ROW()-1,60),ROW()-1,FALSE))</f>
        <v/>
      </c>
      <c r="BF46">
        <f ca="1">IF(AND(ISNUMBER($BF$251),$B$208=1),$BF$251,HLOOKUP(INDIRECT(ADDRESS(2,COLUMN())),OFFSET($BN$2,0,0,ROW()-1,60),ROW()-1,FALSE))</f>
        <v>640591.10759999999</v>
      </c>
      <c r="BG46" t="str">
        <f ca="1">IF(AND(ISNUMBER($BG$251),$B$208=1),$BG$251,HLOOKUP(INDIRECT(ADDRESS(2,COLUMN())),OFFSET($BN$2,0,0,ROW()-1,60),ROW()-1,FALSE))</f>
        <v/>
      </c>
      <c r="BH46">
        <f ca="1">IF(AND(ISNUMBER($BH$251),$B$208=1),$BH$251,HLOOKUP(INDIRECT(ADDRESS(2,COLUMN())),OFFSET($BN$2,0,0,ROW()-1,60),ROW()-1,FALSE))</f>
        <v>418344.37410000002</v>
      </c>
      <c r="BI46" t="str">
        <f ca="1">IF(AND(ISNUMBER($BI$251),$B$208=1),$BI$251,HLOOKUP(INDIRECT(ADDRESS(2,COLUMN())),OFFSET($BN$2,0,0,ROW()-1,60),ROW()-1,FALSE))</f>
        <v/>
      </c>
      <c r="BJ46">
        <f ca="1">IF(AND(ISNUMBER($BJ$251),$B$208=1),$BJ$251,HLOOKUP(INDIRECT(ADDRESS(2,COLUMN())),OFFSET($BN$2,0,0,ROW()-1,60),ROW()-1,FALSE))</f>
        <v>488266.82069999998</v>
      </c>
      <c r="BK46" t="str">
        <f ca="1">IF(AND(ISNUMBER($BK$251),$B$208=1),$BK$251,HLOOKUP(INDIRECT(ADDRESS(2,COLUMN())),OFFSET($BN$2,0,0,ROW()-1,60),ROW()-1,FALSE))</f>
        <v/>
      </c>
      <c r="BL46">
        <f ca="1">IF(AND(ISNUMBER($BL$251),$B$208=1),$BL$251,HLOOKUP(INDIRECT(ADDRESS(2,COLUMN())),OFFSET($BN$2,0,0,ROW()-1,60),ROW()-1,FALSE))</f>
        <v>614816.08279999997</v>
      </c>
      <c r="BM46" t="str">
        <f ca="1">IF(AND(ISNUMBER($BM$251),$B$208=1),$BM$251,HLOOKUP(INDIRECT(ADDRESS(2,COLUMN())),OFFSET($BN$2,0,0,ROW()-1,60),ROW()-1,FALSE))</f>
        <v/>
      </c>
      <c r="BN46">
        <f>352006.6025</f>
        <v>352006.60249999998</v>
      </c>
      <c r="BO46" t="str">
        <f>""</f>
        <v/>
      </c>
      <c r="BP46">
        <f>295814.07</f>
        <v>295814.07</v>
      </c>
      <c r="BQ46" t="str">
        <f>""</f>
        <v/>
      </c>
      <c r="BR46">
        <f>293746.2589</f>
        <v>293746.25890000002</v>
      </c>
      <c r="BS46" t="str">
        <f>""</f>
        <v/>
      </c>
      <c r="BT46">
        <f>308219.1618</f>
        <v>308219.1618</v>
      </c>
      <c r="BU46" t="str">
        <f>""</f>
        <v/>
      </c>
      <c r="BV46">
        <f>340708.1884</f>
        <v>340708.18839999998</v>
      </c>
      <c r="BW46" t="str">
        <f>""</f>
        <v/>
      </c>
      <c r="BX46">
        <f>399622.3536</f>
        <v>399622.35359999997</v>
      </c>
      <c r="BY46" t="str">
        <f>""</f>
        <v/>
      </c>
      <c r="BZ46">
        <f>311067.2519</f>
        <v>311067.25189999997</v>
      </c>
      <c r="CA46" t="str">
        <f>""</f>
        <v/>
      </c>
      <c r="CB46">
        <f>297797.6876</f>
        <v>297797.6876</v>
      </c>
      <c r="CC46" t="str">
        <f>""</f>
        <v/>
      </c>
      <c r="CD46">
        <f>337093.1599</f>
        <v>337093.15990000003</v>
      </c>
      <c r="CE46" t="str">
        <f>""</f>
        <v/>
      </c>
      <c r="CF46" t="str">
        <f>""</f>
        <v/>
      </c>
      <c r="CG46" t="str">
        <f>""</f>
        <v/>
      </c>
      <c r="CH46">
        <f>270555.0422</f>
        <v>270555.04220000003</v>
      </c>
      <c r="CI46" t="str">
        <f>""</f>
        <v/>
      </c>
      <c r="CJ46" t="str">
        <f>""</f>
        <v/>
      </c>
      <c r="CK46" t="str">
        <f>""</f>
        <v/>
      </c>
      <c r="CL46">
        <f>247511.9162</f>
        <v>247511.91620000001</v>
      </c>
      <c r="CM46" t="str">
        <f>""</f>
        <v/>
      </c>
      <c r="CN46" t="str">
        <f>""</f>
        <v/>
      </c>
      <c r="CO46" t="str">
        <f>""</f>
        <v/>
      </c>
      <c r="CP46">
        <f>267177.1832</f>
        <v>267177.18320000003</v>
      </c>
      <c r="CQ46" t="str">
        <f>""</f>
        <v/>
      </c>
      <c r="CR46" t="str">
        <f>""</f>
        <v/>
      </c>
      <c r="CS46" t="str">
        <f>""</f>
        <v/>
      </c>
      <c r="CT46">
        <f>404544.2571</f>
        <v>404544.25709999999</v>
      </c>
      <c r="CU46" t="str">
        <f>""</f>
        <v/>
      </c>
      <c r="CV46" t="str">
        <f>""</f>
        <v/>
      </c>
      <c r="CW46" t="str">
        <f>""</f>
        <v/>
      </c>
      <c r="CX46">
        <f>443093.9304</f>
        <v>443093.93040000001</v>
      </c>
      <c r="CY46" t="str">
        <f>""</f>
        <v/>
      </c>
      <c r="CZ46" t="str">
        <f>""</f>
        <v/>
      </c>
      <c r="DA46" t="str">
        <f>""</f>
        <v/>
      </c>
      <c r="DB46" t="str">
        <f>""</f>
        <v/>
      </c>
      <c r="DC46" t="str">
        <f>""</f>
        <v/>
      </c>
      <c r="DD46" t="str">
        <f>""</f>
        <v/>
      </c>
      <c r="DE46" t="str">
        <f>""</f>
        <v/>
      </c>
      <c r="DF46" t="str">
        <f>""</f>
        <v/>
      </c>
      <c r="DG46" t="str">
        <f>""</f>
        <v/>
      </c>
      <c r="DH46" t="str">
        <f>""</f>
        <v/>
      </c>
      <c r="DI46" t="str">
        <f>""</f>
        <v/>
      </c>
      <c r="DJ46" t="str">
        <f>""</f>
        <v/>
      </c>
      <c r="DK46" t="str">
        <f>""</f>
        <v/>
      </c>
      <c r="DL46">
        <f>635533.1623</f>
        <v>635533.16229999997</v>
      </c>
      <c r="DM46" t="str">
        <f>""</f>
        <v/>
      </c>
      <c r="DN46">
        <f>640591.1076</f>
        <v>640591.10759999999</v>
      </c>
      <c r="DO46" t="str">
        <f>""</f>
        <v/>
      </c>
      <c r="DP46">
        <f>418344.3741</f>
        <v>418344.37410000002</v>
      </c>
      <c r="DQ46" t="str">
        <f>""</f>
        <v/>
      </c>
      <c r="DR46">
        <f>488266.8207</f>
        <v>488266.82069999998</v>
      </c>
      <c r="DS46" t="str">
        <f>""</f>
        <v/>
      </c>
      <c r="DT46">
        <f>614816.0828</f>
        <v>614816.08279999997</v>
      </c>
      <c r="DU46" t="str">
        <f>""</f>
        <v/>
      </c>
    </row>
    <row r="47" spans="1:125" x14ac:dyDescent="0.25">
      <c r="A47" t="str">
        <f>"    BAWAG Group AG"</f>
        <v xml:space="preserve">    BAWAG Group AG</v>
      </c>
      <c r="B47" t="str">
        <f>"BG AV Equity"</f>
        <v>BG AV Equity</v>
      </c>
      <c r="C47" t="str">
        <f t="shared" si="3"/>
        <v>BM109</v>
      </c>
      <c r="D47" t="str">
        <f t="shared" si="4"/>
        <v>BS_TRADING_SECURITIES_DERIVS</v>
      </c>
      <c r="E47" t="str">
        <f t="shared" si="5"/>
        <v>Dynamic</v>
      </c>
      <c r="F47" t="str">
        <f ca="1">IF(AND(ISNUMBER($F$252),$B$208=1),$F$252,HLOOKUP(INDIRECT(ADDRESS(2,COLUMN())),OFFSET($BN$2,0,0,ROW()-1,60),ROW()-1,FALSE))</f>
        <v/>
      </c>
      <c r="G47" t="str">
        <f ca="1">IF(AND(ISNUMBER($G$252),$B$208=1),$G$252,HLOOKUP(INDIRECT(ADDRESS(2,COLUMN())),OFFSET($BN$2,0,0,ROW()-1,60),ROW()-1,FALSE))</f>
        <v/>
      </c>
      <c r="H47">
        <f ca="1">IF(AND(ISNUMBER($H$252),$B$208=1),$H$252,HLOOKUP(INDIRECT(ADDRESS(2,COLUMN())),OFFSET($BN$2,0,0,ROW()-1,60),ROW()-1,FALSE))</f>
        <v>58</v>
      </c>
      <c r="I47" t="str">
        <f ca="1">IF(AND(ISNUMBER($I$252),$B$208=1),$I$252,HLOOKUP(INDIRECT(ADDRESS(2,COLUMN())),OFFSET($BN$2,0,0,ROW()-1,60),ROW()-1,FALSE))</f>
        <v/>
      </c>
      <c r="J47" t="str">
        <f ca="1">IF(AND(ISNUMBER($J$252),$B$208=1),$J$252,HLOOKUP(INDIRECT(ADDRESS(2,COLUMN())),OFFSET($BN$2,0,0,ROW()-1,60),ROW()-1,FALSE))</f>
        <v/>
      </c>
      <c r="K47" t="str">
        <f ca="1">IF(AND(ISNUMBER($K$252),$B$208=1),$K$252,HLOOKUP(INDIRECT(ADDRESS(2,COLUMN())),OFFSET($BN$2,0,0,ROW()-1,60),ROW()-1,FALSE))</f>
        <v/>
      </c>
      <c r="L47" t="str">
        <f ca="1">IF(AND(ISNUMBER($L$252),$B$208=1),$L$252,HLOOKUP(INDIRECT(ADDRESS(2,COLUMN())),OFFSET($BN$2,0,0,ROW()-1,60),ROW()-1,FALSE))</f>
        <v/>
      </c>
      <c r="M47" t="str">
        <f ca="1">IF(AND(ISNUMBER($M$252),$B$208=1),$M$252,HLOOKUP(INDIRECT(ADDRESS(2,COLUMN())),OFFSET($BN$2,0,0,ROW()-1,60),ROW()-1,FALSE))</f>
        <v/>
      </c>
      <c r="N47">
        <f ca="1">IF(AND(ISNUMBER($N$252),$B$208=1),$N$252,HLOOKUP(INDIRECT(ADDRESS(2,COLUMN())),OFFSET($BN$2,0,0,ROW()-1,60),ROW()-1,FALSE))</f>
        <v>156</v>
      </c>
      <c r="O47" t="str">
        <f ca="1">IF(AND(ISNUMBER($O$252),$B$208=1),$O$252,HLOOKUP(INDIRECT(ADDRESS(2,COLUMN())),OFFSET($BN$2,0,0,ROW()-1,60),ROW()-1,FALSE))</f>
        <v/>
      </c>
      <c r="P47" t="str">
        <f ca="1">IF(AND(ISNUMBER($P$252),$B$208=1),$P$252,HLOOKUP(INDIRECT(ADDRESS(2,COLUMN())),OFFSET($BN$2,0,0,ROW()-1,60),ROW()-1,FALSE))</f>
        <v/>
      </c>
      <c r="Q47" t="str">
        <f ca="1">IF(AND(ISNUMBER($Q$252),$B$208=1),$Q$252,HLOOKUP(INDIRECT(ADDRESS(2,COLUMN())),OFFSET($BN$2,0,0,ROW()-1,60),ROW()-1,FALSE))</f>
        <v/>
      </c>
      <c r="R47" t="str">
        <f ca="1">IF(AND(ISNUMBER($R$252),$B$208=1),$R$252,HLOOKUP(INDIRECT(ADDRESS(2,COLUMN())),OFFSET($BN$2,0,0,ROW()-1,60),ROW()-1,FALSE))</f>
        <v/>
      </c>
      <c r="S47" t="str">
        <f ca="1">IF(AND(ISNUMBER($S$252),$B$208=1),$S$252,HLOOKUP(INDIRECT(ADDRESS(2,COLUMN())),OFFSET($BN$2,0,0,ROW()-1,60),ROW()-1,FALSE))</f>
        <v/>
      </c>
      <c r="T47" t="str">
        <f ca="1">IF(AND(ISNUMBER($T$252),$B$208=1),$T$252,HLOOKUP(INDIRECT(ADDRESS(2,COLUMN())),OFFSET($BN$2,0,0,ROW()-1,60),ROW()-1,FALSE))</f>
        <v/>
      </c>
      <c r="U47" t="str">
        <f ca="1">IF(AND(ISNUMBER($U$252),$B$208=1),$U$252,HLOOKUP(INDIRECT(ADDRESS(2,COLUMN())),OFFSET($BN$2,0,0,ROW()-1,60),ROW()-1,FALSE))</f>
        <v/>
      </c>
      <c r="V47" t="str">
        <f ca="1">IF(AND(ISNUMBER($V$252),$B$208=1),$V$252,HLOOKUP(INDIRECT(ADDRESS(2,COLUMN())),OFFSET($BN$2,0,0,ROW()-1,60),ROW()-1,FALSE))</f>
        <v/>
      </c>
      <c r="W47" t="str">
        <f ca="1">IF(AND(ISNUMBER($W$252),$B$208=1),$W$252,HLOOKUP(INDIRECT(ADDRESS(2,COLUMN())),OFFSET($BN$2,0,0,ROW()-1,60),ROW()-1,FALSE))</f>
        <v/>
      </c>
      <c r="X47" t="str">
        <f ca="1">IF(AND(ISNUMBER($X$252),$B$208=1),$X$252,HLOOKUP(INDIRECT(ADDRESS(2,COLUMN())),OFFSET($BN$2,0,0,ROW()-1,60),ROW()-1,FALSE))</f>
        <v/>
      </c>
      <c r="Y47" t="str">
        <f ca="1">IF(AND(ISNUMBER($Y$252),$B$208=1),$Y$252,HLOOKUP(INDIRECT(ADDRESS(2,COLUMN())),OFFSET($BN$2,0,0,ROW()-1,60),ROW()-1,FALSE))</f>
        <v/>
      </c>
      <c r="Z47" t="str">
        <f ca="1">IF(AND(ISNUMBER($Z$252),$B$208=1),$Z$252,HLOOKUP(INDIRECT(ADDRESS(2,COLUMN())),OFFSET($BN$2,0,0,ROW()-1,60),ROW()-1,FALSE))</f>
        <v/>
      </c>
      <c r="AA47" t="str">
        <f ca="1">IF(AND(ISNUMBER($AA$252),$B$208=1),$AA$252,HLOOKUP(INDIRECT(ADDRESS(2,COLUMN())),OFFSET($BN$2,0,0,ROW()-1,60),ROW()-1,FALSE))</f>
        <v/>
      </c>
      <c r="AB47">
        <f ca="1">IF(AND(ISNUMBER($AB$252),$B$208=1),$AB$252,HLOOKUP(INDIRECT(ADDRESS(2,COLUMN())),OFFSET($BN$2,0,0,ROW()-1,60),ROW()-1,FALSE))</f>
        <v>494</v>
      </c>
      <c r="AC47" t="str">
        <f ca="1">IF(AND(ISNUMBER($AC$252),$B$208=1),$AC$252,HLOOKUP(INDIRECT(ADDRESS(2,COLUMN())),OFFSET($BN$2,0,0,ROW()-1,60),ROW()-1,FALSE))</f>
        <v/>
      </c>
      <c r="AD47" t="str">
        <f ca="1">IF(AND(ISNUMBER($AD$252),$B$208=1),$AD$252,HLOOKUP(INDIRECT(ADDRESS(2,COLUMN())),OFFSET($BN$2,0,0,ROW()-1,60),ROW()-1,FALSE))</f>
        <v/>
      </c>
      <c r="AE47" t="str">
        <f ca="1">IF(AND(ISNUMBER($AE$252),$B$208=1),$AE$252,HLOOKUP(INDIRECT(ADDRESS(2,COLUMN())),OFFSET($BN$2,0,0,ROW()-1,60),ROW()-1,FALSE))</f>
        <v/>
      </c>
      <c r="AF47">
        <f ca="1">IF(AND(ISNUMBER($AF$252),$B$208=1),$AF$252,HLOOKUP(INDIRECT(ADDRESS(2,COLUMN())),OFFSET($BN$2,0,0,ROW()-1,60),ROW()-1,FALSE))</f>
        <v>440</v>
      </c>
      <c r="AG47" t="str">
        <f ca="1">IF(AND(ISNUMBER($AG$252),$B$208=1),$AG$252,HLOOKUP(INDIRECT(ADDRESS(2,COLUMN())),OFFSET($BN$2,0,0,ROW()-1,60),ROW()-1,FALSE))</f>
        <v/>
      </c>
      <c r="AH47" t="str">
        <f ca="1">IF(AND(ISNUMBER($AH$252),$B$208=1),$AH$252,HLOOKUP(INDIRECT(ADDRESS(2,COLUMN())),OFFSET($BN$2,0,0,ROW()-1,60),ROW()-1,FALSE))</f>
        <v/>
      </c>
      <c r="AI47" t="str">
        <f ca="1">IF(AND(ISNUMBER($AI$252),$B$208=1),$AI$252,HLOOKUP(INDIRECT(ADDRESS(2,COLUMN())),OFFSET($BN$2,0,0,ROW()-1,60),ROW()-1,FALSE))</f>
        <v/>
      </c>
      <c r="AJ47" t="str">
        <f ca="1">IF(AND(ISNUMBER($AJ$252),$B$208=1),$AJ$252,HLOOKUP(INDIRECT(ADDRESS(2,COLUMN())),OFFSET($BN$2,0,0,ROW()-1,60),ROW()-1,FALSE))</f>
        <v/>
      </c>
      <c r="AK47" t="str">
        <f ca="1">IF(AND(ISNUMBER($AK$252),$B$208=1),$AK$252,HLOOKUP(INDIRECT(ADDRESS(2,COLUMN())),OFFSET($BN$2,0,0,ROW()-1,60),ROW()-1,FALSE))</f>
        <v/>
      </c>
      <c r="AL47" t="str">
        <f ca="1">IF(AND(ISNUMBER($AL$252),$B$208=1),$AL$252,HLOOKUP(INDIRECT(ADDRESS(2,COLUMN())),OFFSET($BN$2,0,0,ROW()-1,60),ROW()-1,FALSE))</f>
        <v/>
      </c>
      <c r="AM47" t="str">
        <f ca="1">IF(AND(ISNUMBER($AM$252),$B$208=1),$AM$252,HLOOKUP(INDIRECT(ADDRESS(2,COLUMN())),OFFSET($BN$2,0,0,ROW()-1,60),ROW()-1,FALSE))</f>
        <v/>
      </c>
      <c r="AN47" t="str">
        <f ca="1">IF(AND(ISNUMBER($AN$252),$B$208=1),$AN$252,HLOOKUP(INDIRECT(ADDRESS(2,COLUMN())),OFFSET($BN$2,0,0,ROW()-1,60),ROW()-1,FALSE))</f>
        <v/>
      </c>
      <c r="AO47" t="str">
        <f ca="1">IF(AND(ISNUMBER($AO$252),$B$208=1),$AO$252,HLOOKUP(INDIRECT(ADDRESS(2,COLUMN())),OFFSET($BN$2,0,0,ROW()-1,60),ROW()-1,FALSE))</f>
        <v/>
      </c>
      <c r="AP47" t="str">
        <f ca="1">IF(AND(ISNUMBER($AP$252),$B$208=1),$AP$252,HLOOKUP(INDIRECT(ADDRESS(2,COLUMN())),OFFSET($BN$2,0,0,ROW()-1,60),ROW()-1,FALSE))</f>
        <v/>
      </c>
      <c r="AQ47" t="str">
        <f ca="1">IF(AND(ISNUMBER($AQ$252),$B$208=1),$AQ$252,HLOOKUP(INDIRECT(ADDRESS(2,COLUMN())),OFFSET($BN$2,0,0,ROW()-1,60),ROW()-1,FALSE))</f>
        <v/>
      </c>
      <c r="AR47" t="str">
        <f ca="1">IF(AND(ISNUMBER($AR$252),$B$208=1),$AR$252,HLOOKUP(INDIRECT(ADDRESS(2,COLUMN())),OFFSET($BN$2,0,0,ROW()-1,60),ROW()-1,FALSE))</f>
        <v/>
      </c>
      <c r="AS47" t="str">
        <f ca="1">IF(AND(ISNUMBER($AS$252),$B$208=1),$AS$252,HLOOKUP(INDIRECT(ADDRESS(2,COLUMN())),OFFSET($BN$2,0,0,ROW()-1,60),ROW()-1,FALSE))</f>
        <v/>
      </c>
      <c r="AT47" t="str">
        <f ca="1">IF(AND(ISNUMBER($AT$252),$B$208=1),$AT$252,HLOOKUP(INDIRECT(ADDRESS(2,COLUMN())),OFFSET($BN$2,0,0,ROW()-1,60),ROW()-1,FALSE))</f>
        <v/>
      </c>
      <c r="AU47" t="str">
        <f ca="1">IF(AND(ISNUMBER($AU$252),$B$208=1),$AU$252,HLOOKUP(INDIRECT(ADDRESS(2,COLUMN())),OFFSET($BN$2,0,0,ROW()-1,60),ROW()-1,FALSE))</f>
        <v/>
      </c>
      <c r="AV47" t="str">
        <f ca="1">IF(AND(ISNUMBER($AV$252),$B$208=1),$AV$252,HLOOKUP(INDIRECT(ADDRESS(2,COLUMN())),OFFSET($BN$2,0,0,ROW()-1,60),ROW()-1,FALSE))</f>
        <v/>
      </c>
      <c r="AW47" t="str">
        <f ca="1">IF(AND(ISNUMBER($AW$252),$B$208=1),$AW$252,HLOOKUP(INDIRECT(ADDRESS(2,COLUMN())),OFFSET($BN$2,0,0,ROW()-1,60),ROW()-1,FALSE))</f>
        <v/>
      </c>
      <c r="AX47" t="str">
        <f ca="1">IF(AND(ISNUMBER($AX$252),$B$208=1),$AX$252,HLOOKUP(INDIRECT(ADDRESS(2,COLUMN())),OFFSET($BN$2,0,0,ROW()-1,60),ROW()-1,FALSE))</f>
        <v/>
      </c>
      <c r="AY47" t="str">
        <f ca="1">IF(AND(ISNUMBER($AY$252),$B$208=1),$AY$252,HLOOKUP(INDIRECT(ADDRESS(2,COLUMN())),OFFSET($BN$2,0,0,ROW()-1,60),ROW()-1,FALSE))</f>
        <v/>
      </c>
      <c r="AZ47" t="str">
        <f ca="1">IF(AND(ISNUMBER($AZ$252),$B$208=1),$AZ$252,HLOOKUP(INDIRECT(ADDRESS(2,COLUMN())),OFFSET($BN$2,0,0,ROW()-1,60),ROW()-1,FALSE))</f>
        <v/>
      </c>
      <c r="BA47" t="str">
        <f ca="1">IF(AND(ISNUMBER($BA$252),$B$208=1),$BA$252,HLOOKUP(INDIRECT(ADDRESS(2,COLUMN())),OFFSET($BN$2,0,0,ROW()-1,60),ROW()-1,FALSE))</f>
        <v/>
      </c>
      <c r="BB47" t="str">
        <f ca="1">IF(AND(ISNUMBER($BB$252),$B$208=1),$BB$252,HLOOKUP(INDIRECT(ADDRESS(2,COLUMN())),OFFSET($BN$2,0,0,ROW()-1,60),ROW()-1,FALSE))</f>
        <v/>
      </c>
      <c r="BC47" t="str">
        <f ca="1">IF(AND(ISNUMBER($BC$252),$B$208=1),$BC$252,HLOOKUP(INDIRECT(ADDRESS(2,COLUMN())),OFFSET($BN$2,0,0,ROW()-1,60),ROW()-1,FALSE))</f>
        <v/>
      </c>
      <c r="BD47" t="str">
        <f ca="1">IF(AND(ISNUMBER($BD$252),$B$208=1),$BD$252,HLOOKUP(INDIRECT(ADDRESS(2,COLUMN())),OFFSET($BN$2,0,0,ROW()-1,60),ROW()-1,FALSE))</f>
        <v/>
      </c>
      <c r="BE47" t="str">
        <f ca="1">IF(AND(ISNUMBER($BE$252),$B$208=1),$BE$252,HLOOKUP(INDIRECT(ADDRESS(2,COLUMN())),OFFSET($BN$2,0,0,ROW()-1,60),ROW()-1,FALSE))</f>
        <v/>
      </c>
      <c r="BF47" t="str">
        <f ca="1">IF(AND(ISNUMBER($BF$252),$B$208=1),$BF$252,HLOOKUP(INDIRECT(ADDRESS(2,COLUMN())),OFFSET($BN$2,0,0,ROW()-1,60),ROW()-1,FALSE))</f>
        <v/>
      </c>
      <c r="BG47" t="str">
        <f ca="1">IF(AND(ISNUMBER($BG$252),$B$208=1),$BG$252,HLOOKUP(INDIRECT(ADDRESS(2,COLUMN())),OFFSET($BN$2,0,0,ROW()-1,60),ROW()-1,FALSE))</f>
        <v/>
      </c>
      <c r="BH47" t="str">
        <f ca="1">IF(AND(ISNUMBER($BH$252),$B$208=1),$BH$252,HLOOKUP(INDIRECT(ADDRESS(2,COLUMN())),OFFSET($BN$2,0,0,ROW()-1,60),ROW()-1,FALSE))</f>
        <v/>
      </c>
      <c r="BI47" t="str">
        <f ca="1">IF(AND(ISNUMBER($BI$252),$B$208=1),$BI$252,HLOOKUP(INDIRECT(ADDRESS(2,COLUMN())),OFFSET($BN$2,0,0,ROW()-1,60),ROW()-1,FALSE))</f>
        <v/>
      </c>
      <c r="BJ47" t="str">
        <f ca="1">IF(AND(ISNUMBER($BJ$252),$B$208=1),$BJ$252,HLOOKUP(INDIRECT(ADDRESS(2,COLUMN())),OFFSET($BN$2,0,0,ROW()-1,60),ROW()-1,FALSE))</f>
        <v/>
      </c>
      <c r="BK47" t="str">
        <f ca="1">IF(AND(ISNUMBER($BK$252),$B$208=1),$BK$252,HLOOKUP(INDIRECT(ADDRESS(2,COLUMN())),OFFSET($BN$2,0,0,ROW()-1,60),ROW()-1,FALSE))</f>
        <v/>
      </c>
      <c r="BL47" t="str">
        <f ca="1">IF(AND(ISNUMBER($BL$252),$B$208=1),$BL$252,HLOOKUP(INDIRECT(ADDRESS(2,COLUMN())),OFFSET($BN$2,0,0,ROW()-1,60),ROW()-1,FALSE))</f>
        <v/>
      </c>
      <c r="BM47" t="str">
        <f ca="1">IF(AND(ISNUMBER($BM$252),$B$208=1),$BM$252,HLOOKUP(INDIRECT(ADDRESS(2,COLUMN())),OFFSET($BN$2,0,0,ROW()-1,60),ROW()-1,FALSE))</f>
        <v/>
      </c>
      <c r="BN47" t="str">
        <f>""</f>
        <v/>
      </c>
      <c r="BO47" t="str">
        <f>""</f>
        <v/>
      </c>
      <c r="BP47">
        <f>58</f>
        <v>58</v>
      </c>
      <c r="BQ47" t="str">
        <f>""</f>
        <v/>
      </c>
      <c r="BR47" t="str">
        <f>""</f>
        <v/>
      </c>
      <c r="BS47" t="str">
        <f>""</f>
        <v/>
      </c>
      <c r="BT47" t="str">
        <f>""</f>
        <v/>
      </c>
      <c r="BU47" t="str">
        <f>""</f>
        <v/>
      </c>
      <c r="BV47">
        <f>156</f>
        <v>156</v>
      </c>
      <c r="BW47" t="str">
        <f>""</f>
        <v/>
      </c>
      <c r="BX47" t="str">
        <f>""</f>
        <v/>
      </c>
      <c r="BY47" t="str">
        <f>""</f>
        <v/>
      </c>
      <c r="BZ47" t="str">
        <f>""</f>
        <v/>
      </c>
      <c r="CA47" t="str">
        <f>""</f>
        <v/>
      </c>
      <c r="CB47" t="str">
        <f>""</f>
        <v/>
      </c>
      <c r="CC47" t="str">
        <f>""</f>
        <v/>
      </c>
      <c r="CD47" t="str">
        <f>""</f>
        <v/>
      </c>
      <c r="CE47" t="str">
        <f>""</f>
        <v/>
      </c>
      <c r="CF47" t="str">
        <f>""</f>
        <v/>
      </c>
      <c r="CG47" t="str">
        <f>""</f>
        <v/>
      </c>
      <c r="CH47" t="str">
        <f>""</f>
        <v/>
      </c>
      <c r="CI47" t="str">
        <f>""</f>
        <v/>
      </c>
      <c r="CJ47">
        <f>494</f>
        <v>494</v>
      </c>
      <c r="CK47" t="str">
        <f>""</f>
        <v/>
      </c>
      <c r="CL47" t="str">
        <f>""</f>
        <v/>
      </c>
      <c r="CM47" t="str">
        <f>""</f>
        <v/>
      </c>
      <c r="CN47">
        <f>440</f>
        <v>440</v>
      </c>
      <c r="CO47" t="str">
        <f>""</f>
        <v/>
      </c>
      <c r="CP47" t="str">
        <f>""</f>
        <v/>
      </c>
      <c r="CQ47" t="str">
        <f>""</f>
        <v/>
      </c>
      <c r="CR47" t="str">
        <f>""</f>
        <v/>
      </c>
      <c r="CS47" t="str">
        <f>""</f>
        <v/>
      </c>
      <c r="CT47" t="str">
        <f>""</f>
        <v/>
      </c>
      <c r="CU47" t="str">
        <f>""</f>
        <v/>
      </c>
      <c r="CV47" t="str">
        <f>""</f>
        <v/>
      </c>
      <c r="CW47" t="str">
        <f>""</f>
        <v/>
      </c>
      <c r="CX47" t="str">
        <f>""</f>
        <v/>
      </c>
      <c r="CY47" t="str">
        <f>""</f>
        <v/>
      </c>
      <c r="CZ47" t="str">
        <f>""</f>
        <v/>
      </c>
      <c r="DA47" t="str">
        <f>""</f>
        <v/>
      </c>
      <c r="DB47" t="str">
        <f>""</f>
        <v/>
      </c>
      <c r="DC47" t="str">
        <f>""</f>
        <v/>
      </c>
      <c r="DD47" t="str">
        <f>""</f>
        <v/>
      </c>
      <c r="DE47" t="str">
        <f>""</f>
        <v/>
      </c>
      <c r="DF47" t="str">
        <f>""</f>
        <v/>
      </c>
      <c r="DG47" t="str">
        <f>""</f>
        <v/>
      </c>
      <c r="DH47" t="str">
        <f>""</f>
        <v/>
      </c>
      <c r="DI47" t="str">
        <f>""</f>
        <v/>
      </c>
      <c r="DJ47" t="str">
        <f>""</f>
        <v/>
      </c>
      <c r="DK47" t="str">
        <f>""</f>
        <v/>
      </c>
      <c r="DL47" t="str">
        <f>""</f>
        <v/>
      </c>
      <c r="DM47" t="str">
        <f>""</f>
        <v/>
      </c>
      <c r="DN47" t="str">
        <f>""</f>
        <v/>
      </c>
      <c r="DO47" t="str">
        <f>""</f>
        <v/>
      </c>
      <c r="DP47" t="str">
        <f>""</f>
        <v/>
      </c>
      <c r="DQ47" t="str">
        <f>""</f>
        <v/>
      </c>
      <c r="DR47" t="str">
        <f>""</f>
        <v/>
      </c>
      <c r="DS47" t="str">
        <f>""</f>
        <v/>
      </c>
      <c r="DT47" t="str">
        <f>""</f>
        <v/>
      </c>
      <c r="DU47" t="str">
        <f>""</f>
        <v/>
      </c>
    </row>
    <row r="48" spans="1:125" x14ac:dyDescent="0.25">
      <c r="A48" t="str">
        <f>"    BNP Paribas SA"</f>
        <v xml:space="preserve">    BNP Paribas SA</v>
      </c>
      <c r="B48" t="str">
        <f>"BNP FP Equity"</f>
        <v>BNP FP Equity</v>
      </c>
      <c r="C48" t="str">
        <f t="shared" si="3"/>
        <v>BM109</v>
      </c>
      <c r="D48" t="str">
        <f t="shared" si="4"/>
        <v>BS_TRADING_SECURITIES_DERIVS</v>
      </c>
      <c r="E48" t="str">
        <f t="shared" si="5"/>
        <v>Dynamic</v>
      </c>
      <c r="F48">
        <f ca="1">IF(AND(ISNUMBER($F$253),$B$208=1),$F$253,HLOOKUP(INDIRECT(ADDRESS(2,COLUMN())),OFFSET($BN$2,0,0,ROW()-1,60),ROW()-1,FALSE))</f>
        <v>322631</v>
      </c>
      <c r="G48">
        <f ca="1">IF(AND(ISNUMBER($G$253),$B$208=1),$G$253,HLOOKUP(INDIRECT(ADDRESS(2,COLUMN())),OFFSET($BN$2,0,0,ROW()-1,60),ROW()-1,FALSE))</f>
        <v>282380</v>
      </c>
      <c r="H48">
        <f ca="1">IF(AND(ISNUMBER($H$253),$B$208=1),$H$253,HLOOKUP(INDIRECT(ADDRESS(2,COLUMN())),OFFSET($BN$2,0,0,ROW()-1,60),ROW()-1,FALSE))</f>
        <v>278668</v>
      </c>
      <c r="I48">
        <f ca="1">IF(AND(ISNUMBER($I$253),$B$208=1),$I$253,HLOOKUP(INDIRECT(ADDRESS(2,COLUMN())),OFFSET($BN$2,0,0,ROW()-1,60),ROW()-1,FALSE))</f>
        <v>282436</v>
      </c>
      <c r="J48">
        <f ca="1">IF(AND(ISNUMBER($J$253),$B$208=1),$J$253,HLOOKUP(INDIRECT(ADDRESS(2,COLUMN())),OFFSET($BN$2,0,0,ROW()-1,60),ROW()-1,FALSE))</f>
        <v>292079</v>
      </c>
      <c r="K48">
        <f ca="1">IF(AND(ISNUMBER($K$253),$B$208=1),$K$253,HLOOKUP(INDIRECT(ADDRESS(2,COLUMN())),OFFSET($BN$2,0,0,ROW()-1,60),ROW()-1,FALSE))</f>
        <v>332004</v>
      </c>
      <c r="L48">
        <f ca="1">IF(AND(ISNUMBER($L$253),$B$208=1),$L$253,HLOOKUP(INDIRECT(ADDRESS(2,COLUMN())),OFFSET($BN$2,0,0,ROW()-1,60),ROW()-1,FALSE))</f>
        <v>312894</v>
      </c>
      <c r="M48">
        <f ca="1">IF(AND(ISNUMBER($M$253),$B$208=1),$M$253,HLOOKUP(INDIRECT(ADDRESS(2,COLUMN())),OFFSET($BN$2,0,0,ROW()-1,60),ROW()-1,FALSE))</f>
        <v>278949</v>
      </c>
      <c r="N48">
        <f ca="1">IF(AND(ISNUMBER($N$253),$B$208=1),$N$253,HLOOKUP(INDIRECT(ADDRESS(2,COLUMN())),OFFSET($BN$2,0,0,ROW()-1,60),ROW()-1,FALSE))</f>
        <v>327932</v>
      </c>
      <c r="O48">
        <f ca="1">IF(AND(ISNUMBER($O$253),$B$208=1),$O$253,HLOOKUP(INDIRECT(ADDRESS(2,COLUMN())),OFFSET($BN$2,0,0,ROW()-1,60),ROW()-1,FALSE))</f>
        <v>458962</v>
      </c>
      <c r="P48">
        <f ca="1">IF(AND(ISNUMBER($P$253),$B$208=1),$P$253,HLOOKUP(INDIRECT(ADDRESS(2,COLUMN())),OFFSET($BN$2,0,0,ROW()-1,60),ROW()-1,FALSE))</f>
        <v>354070</v>
      </c>
      <c r="Q48">
        <f ca="1">IF(AND(ISNUMBER($Q$253),$B$208=1),$Q$253,HLOOKUP(INDIRECT(ADDRESS(2,COLUMN())),OFFSET($BN$2,0,0,ROW()-1,60),ROW()-1,FALSE))</f>
        <v>283413</v>
      </c>
      <c r="R48">
        <f ca="1">IF(AND(ISNUMBER($R$253),$B$208=1),$R$253,HLOOKUP(INDIRECT(ADDRESS(2,COLUMN())),OFFSET($BN$2,0,0,ROW()-1,60),ROW()-1,FALSE))</f>
        <v>240423</v>
      </c>
      <c r="S48">
        <f ca="1">IF(AND(ISNUMBER($S$253),$B$208=1),$S$253,HLOOKUP(INDIRECT(ADDRESS(2,COLUMN())),OFFSET($BN$2,0,0,ROW()-1,60),ROW()-1,FALSE))</f>
        <v>244187</v>
      </c>
      <c r="T48">
        <f ca="1">IF(AND(ISNUMBER($T$253),$B$208=1),$T$253,HLOOKUP(INDIRECT(ADDRESS(2,COLUMN())),OFFSET($BN$2,0,0,ROW()-1,60),ROW()-1,FALSE))</f>
        <v>237889</v>
      </c>
      <c r="U48">
        <f ca="1">IF(AND(ISNUMBER($U$253),$B$208=1),$U$253,HLOOKUP(INDIRECT(ADDRESS(2,COLUMN())),OFFSET($BN$2,0,0,ROW()-1,60),ROW()-1,FALSE))</f>
        <v>254337</v>
      </c>
      <c r="V48">
        <f ca="1">IF(AND(ISNUMBER($V$253),$B$208=1),$V$253,HLOOKUP(INDIRECT(ADDRESS(2,COLUMN())),OFFSET($BN$2,0,0,ROW()-1,60),ROW()-1,FALSE))</f>
        <v>276779</v>
      </c>
      <c r="W48">
        <f ca="1">IF(AND(ISNUMBER($W$253),$B$208=1),$W$253,HLOOKUP(INDIRECT(ADDRESS(2,COLUMN())),OFFSET($BN$2,0,0,ROW()-1,60),ROW()-1,FALSE))</f>
        <v>272013</v>
      </c>
      <c r="X48">
        <f ca="1">IF(AND(ISNUMBER($X$253),$B$208=1),$X$253,HLOOKUP(INDIRECT(ADDRESS(2,COLUMN())),OFFSET($BN$2,0,0,ROW()-1,60),ROW()-1,FALSE))</f>
        <v>292798</v>
      </c>
      <c r="Y48">
        <f ca="1">IF(AND(ISNUMBER($Y$253),$B$208=1),$Y$253,HLOOKUP(INDIRECT(ADDRESS(2,COLUMN())),OFFSET($BN$2,0,0,ROW()-1,60),ROW()-1,FALSE))</f>
        <v>369561</v>
      </c>
      <c r="Z48">
        <f ca="1">IF(AND(ISNUMBER($Z$253),$B$208=1),$Z$253,HLOOKUP(INDIRECT(ADDRESS(2,COLUMN())),OFFSET($BN$2,0,0,ROW()-1,60),ROW()-1,FALSE))</f>
        <v>247287</v>
      </c>
      <c r="AA48">
        <f ca="1">IF(AND(ISNUMBER($AA$253),$B$208=1),$AA$253,HLOOKUP(INDIRECT(ADDRESS(2,COLUMN())),OFFSET($BN$2,0,0,ROW()-1,60),ROW()-1,FALSE))</f>
        <v>297716</v>
      </c>
      <c r="AB48">
        <f ca="1">IF(AND(ISNUMBER($AB$253),$B$208=1),$AB$253,HLOOKUP(INDIRECT(ADDRESS(2,COLUMN())),OFFSET($BN$2,0,0,ROW()-1,60),ROW()-1,FALSE))</f>
        <v>256250</v>
      </c>
      <c r="AC48">
        <f ca="1">IF(AND(ISNUMBER($AC$253),$B$208=1),$AC$253,HLOOKUP(INDIRECT(ADDRESS(2,COLUMN())),OFFSET($BN$2,0,0,ROW()-1,60),ROW()-1,FALSE))</f>
        <v>237779</v>
      </c>
      <c r="AD48">
        <f ca="1">IF(AND(ISNUMBER($AD$253),$B$208=1),$AD$253,HLOOKUP(INDIRECT(ADDRESS(2,COLUMN())),OFFSET($BN$2,0,0,ROW()-1,60),ROW()-1,FALSE))</f>
        <v>232895</v>
      </c>
      <c r="AE48">
        <f ca="1">IF(AND(ISNUMBER($AE$253),$B$208=1),$AE$253,HLOOKUP(INDIRECT(ADDRESS(2,COLUMN())),OFFSET($BN$2,0,0,ROW()-1,60),ROW()-1,FALSE))</f>
        <v>241176</v>
      </c>
      <c r="AF48">
        <f ca="1">IF(AND(ISNUMBER($AF$253),$B$208=1),$AF$253,HLOOKUP(INDIRECT(ADDRESS(2,COLUMN())),OFFSET($BN$2,0,0,ROW()-1,60),ROW()-1,FALSE))</f>
        <v>240778</v>
      </c>
      <c r="AG48">
        <f ca="1">IF(AND(ISNUMBER($AG$253),$B$208=1),$AG$253,HLOOKUP(INDIRECT(ADDRESS(2,COLUMN())),OFFSET($BN$2,0,0,ROW()-1,60),ROW()-1,FALSE))</f>
        <v>226162</v>
      </c>
      <c r="AH48">
        <f ca="1">IF(AND(ISNUMBER($AH$253),$B$208=1),$AH$253,HLOOKUP(INDIRECT(ADDRESS(2,COLUMN())),OFFSET($BN$2,0,0,ROW()-1,60),ROW()-1,FALSE))</f>
        <v>229896</v>
      </c>
      <c r="AI48">
        <f ca="1">IF(AND(ISNUMBER($AI$253),$B$208=1),$AI$253,HLOOKUP(INDIRECT(ADDRESS(2,COLUMN())),OFFSET($BN$2,0,0,ROW()-1,60),ROW()-1,FALSE))</f>
        <v>241399</v>
      </c>
      <c r="AJ48">
        <f ca="1">IF(AND(ISNUMBER($AJ$253),$B$208=1),$AJ$253,HLOOKUP(INDIRECT(ADDRESS(2,COLUMN())),OFFSET($BN$2,0,0,ROW()-1,60),ROW()-1,FALSE))</f>
        <v>253559</v>
      </c>
      <c r="AK48">
        <f ca="1">IF(AND(ISNUMBER($AK$253),$B$208=1),$AK$253,HLOOKUP(INDIRECT(ADDRESS(2,COLUMN())),OFFSET($BN$2,0,0,ROW()-1,60),ROW()-1,FALSE))</f>
        <v>272369</v>
      </c>
      <c r="AL48">
        <f ca="1">IF(AND(ISNUMBER($AL$253),$B$208=1),$AL$253,HLOOKUP(INDIRECT(ADDRESS(2,COLUMN())),OFFSET($BN$2,0,0,ROW()-1,60),ROW()-1,FALSE))</f>
        <v>328162</v>
      </c>
      <c r="AM48">
        <f ca="1">IF(AND(ISNUMBER($AM$253),$B$208=1),$AM$253,HLOOKUP(INDIRECT(ADDRESS(2,COLUMN())),OFFSET($BN$2,0,0,ROW()-1,60),ROW()-1,FALSE))</f>
        <v>334356</v>
      </c>
      <c r="AN48">
        <f ca="1">IF(AND(ISNUMBER($AN$253),$B$208=1),$AN$253,HLOOKUP(INDIRECT(ADDRESS(2,COLUMN())),OFFSET($BN$2,0,0,ROW()-1,60),ROW()-1,FALSE))</f>
        <v>383444</v>
      </c>
      <c r="AO48">
        <f ca="1">IF(AND(ISNUMBER($AO$253),$B$208=1),$AO$253,HLOOKUP(INDIRECT(ADDRESS(2,COLUMN())),OFFSET($BN$2,0,0,ROW()-1,60),ROW()-1,FALSE))</f>
        <v>363226</v>
      </c>
      <c r="AP48">
        <f ca="1">IF(AND(ISNUMBER($AP$253),$B$208=1),$AP$253,HLOOKUP(INDIRECT(ADDRESS(2,COLUMN())),OFFSET($BN$2,0,0,ROW()-1,60),ROW()-1,FALSE))</f>
        <v>336624</v>
      </c>
      <c r="AQ48" t="str">
        <f ca="1">IF(AND(ISNUMBER($AQ$253),$B$208=1),$AQ$253,HLOOKUP(INDIRECT(ADDRESS(2,COLUMN())),OFFSET($BN$2,0,0,ROW()-1,60),ROW()-1,FALSE))</f>
        <v/>
      </c>
      <c r="AR48">
        <f ca="1">IF(AND(ISNUMBER($AR$253),$B$208=1),$AR$253,HLOOKUP(INDIRECT(ADDRESS(2,COLUMN())),OFFSET($BN$2,0,0,ROW()-1,60),ROW()-1,FALSE))</f>
        <v>359092</v>
      </c>
      <c r="AS48" t="str">
        <f ca="1">IF(AND(ISNUMBER($AS$253),$B$208=1),$AS$253,HLOOKUP(INDIRECT(ADDRESS(2,COLUMN())),OFFSET($BN$2,0,0,ROW()-1,60),ROW()-1,FALSE))</f>
        <v/>
      </c>
      <c r="AT48">
        <f ca="1">IF(AND(ISNUMBER($AT$253),$B$208=1),$AT$253,HLOOKUP(INDIRECT(ADDRESS(2,COLUMN())),OFFSET($BN$2,0,0,ROW()-1,60),ROW()-1,FALSE))</f>
        <v>412498</v>
      </c>
      <c r="AU48" t="str">
        <f ca="1">IF(AND(ISNUMBER($AU$253),$B$208=1),$AU$253,HLOOKUP(INDIRECT(ADDRESS(2,COLUMN())),OFFSET($BN$2,0,0,ROW()-1,60),ROW()-1,FALSE))</f>
        <v/>
      </c>
      <c r="AV48">
        <f ca="1">IF(AND(ISNUMBER($AV$253),$B$208=1),$AV$253,HLOOKUP(INDIRECT(ADDRESS(2,COLUMN())),OFFSET($BN$2,0,0,ROW()-1,60),ROW()-1,FALSE))</f>
        <v>303388</v>
      </c>
      <c r="AW48" t="str">
        <f ca="1">IF(AND(ISNUMBER($AW$253),$B$208=1),$AW$253,HLOOKUP(INDIRECT(ADDRESS(2,COLUMN())),OFFSET($BN$2,0,0,ROW()-1,60),ROW()-1,FALSE))</f>
        <v/>
      </c>
      <c r="AX48">
        <f ca="1">IF(AND(ISNUMBER($AX$253),$B$208=1),$AX$253,HLOOKUP(INDIRECT(ADDRESS(2,COLUMN())),OFFSET($BN$2,0,0,ROW()-1,60),ROW()-1,FALSE))</f>
        <v>305643</v>
      </c>
      <c r="AY48" t="str">
        <f ca="1">IF(AND(ISNUMBER($AY$253),$B$208=1),$AY$253,HLOOKUP(INDIRECT(ADDRESS(2,COLUMN())),OFFSET($BN$2,0,0,ROW()-1,60),ROW()-1,FALSE))</f>
        <v/>
      </c>
      <c r="AZ48" t="str">
        <f ca="1">IF(AND(ISNUMBER($AZ$253),$B$208=1),$AZ$253,HLOOKUP(INDIRECT(ADDRESS(2,COLUMN())),OFFSET($BN$2,0,0,ROW()-1,60),ROW()-1,FALSE))</f>
        <v/>
      </c>
      <c r="BA48" t="str">
        <f ca="1">IF(AND(ISNUMBER($BA$253),$B$208=1),$BA$253,HLOOKUP(INDIRECT(ADDRESS(2,COLUMN())),OFFSET($BN$2,0,0,ROW()-1,60),ROW()-1,FALSE))</f>
        <v/>
      </c>
      <c r="BB48">
        <f ca="1">IF(AND(ISNUMBER($BB$253),$B$208=1),$BB$253,HLOOKUP(INDIRECT(ADDRESS(2,COLUMN())),OFFSET($BN$2,0,0,ROW()-1,60),ROW()-1,FALSE))</f>
        <v>410635</v>
      </c>
      <c r="BC48" t="str">
        <f ca="1">IF(AND(ISNUMBER($BC$253),$B$208=1),$BC$253,HLOOKUP(INDIRECT(ADDRESS(2,COLUMN())),OFFSET($BN$2,0,0,ROW()-1,60),ROW()-1,FALSE))</f>
        <v/>
      </c>
      <c r="BD48" t="str">
        <f ca="1">IF(AND(ISNUMBER($BD$253),$B$208=1),$BD$253,HLOOKUP(INDIRECT(ADDRESS(2,COLUMN())),OFFSET($BN$2,0,0,ROW()-1,60),ROW()-1,FALSE))</f>
        <v/>
      </c>
      <c r="BE48" t="str">
        <f ca="1">IF(AND(ISNUMBER($BE$253),$B$208=1),$BE$253,HLOOKUP(INDIRECT(ADDRESS(2,COLUMN())),OFFSET($BN$2,0,0,ROW()-1,60),ROW()-1,FALSE))</f>
        <v/>
      </c>
      <c r="BF48">
        <f ca="1">IF(AND(ISNUMBER($BF$253),$B$208=1),$BF$253,HLOOKUP(INDIRECT(ADDRESS(2,COLUMN())),OFFSET($BN$2,0,0,ROW()-1,60),ROW()-1,FALSE))</f>
        <v>451967</v>
      </c>
      <c r="BG48" t="str">
        <f ca="1">IF(AND(ISNUMBER($BG$253),$B$208=1),$BG$253,HLOOKUP(INDIRECT(ADDRESS(2,COLUMN())),OFFSET($BN$2,0,0,ROW()-1,60),ROW()-1,FALSE))</f>
        <v/>
      </c>
      <c r="BH48" t="str">
        <f ca="1">IF(AND(ISNUMBER($BH$253),$B$208=1),$BH$253,HLOOKUP(INDIRECT(ADDRESS(2,COLUMN())),OFFSET($BN$2,0,0,ROW()-1,60),ROW()-1,FALSE))</f>
        <v/>
      </c>
      <c r="BI48" t="str">
        <f ca="1">IF(AND(ISNUMBER($BI$253),$B$208=1),$BI$253,HLOOKUP(INDIRECT(ADDRESS(2,COLUMN())),OFFSET($BN$2,0,0,ROW()-1,60),ROW()-1,FALSE))</f>
        <v/>
      </c>
      <c r="BJ48">
        <f ca="1">IF(AND(ISNUMBER($BJ$253),$B$208=1),$BJ$253,HLOOKUP(INDIRECT(ADDRESS(2,COLUMN())),OFFSET($BN$2,0,0,ROW()-1,60),ROW()-1,FALSE))</f>
        <v>347783</v>
      </c>
      <c r="BK48" t="str">
        <f ca="1">IF(AND(ISNUMBER($BK$253),$B$208=1),$BK$253,HLOOKUP(INDIRECT(ADDRESS(2,COLUMN())),OFFSET($BN$2,0,0,ROW()-1,60),ROW()-1,FALSE))</f>
        <v/>
      </c>
      <c r="BL48" t="str">
        <f ca="1">IF(AND(ISNUMBER($BL$253),$B$208=1),$BL$253,HLOOKUP(INDIRECT(ADDRESS(2,COLUMN())),OFFSET($BN$2,0,0,ROW()-1,60),ROW()-1,FALSE))</f>
        <v/>
      </c>
      <c r="BM48" t="str">
        <f ca="1">IF(AND(ISNUMBER($BM$253),$B$208=1),$BM$253,HLOOKUP(INDIRECT(ADDRESS(2,COLUMN())),OFFSET($BN$2,0,0,ROW()-1,60),ROW()-1,FALSE))</f>
        <v/>
      </c>
      <c r="BN48">
        <f>322631</f>
        <v>322631</v>
      </c>
      <c r="BO48">
        <f>282380</f>
        <v>282380</v>
      </c>
      <c r="BP48">
        <f>278668</f>
        <v>278668</v>
      </c>
      <c r="BQ48">
        <f>282436</f>
        <v>282436</v>
      </c>
      <c r="BR48">
        <f>292079</f>
        <v>292079</v>
      </c>
      <c r="BS48">
        <f>332004</f>
        <v>332004</v>
      </c>
      <c r="BT48">
        <f>312894</f>
        <v>312894</v>
      </c>
      <c r="BU48">
        <f>278949</f>
        <v>278949</v>
      </c>
      <c r="BV48">
        <f>327932</f>
        <v>327932</v>
      </c>
      <c r="BW48">
        <f>458962</f>
        <v>458962</v>
      </c>
      <c r="BX48">
        <f>354070</f>
        <v>354070</v>
      </c>
      <c r="BY48">
        <f>283413</f>
        <v>283413</v>
      </c>
      <c r="BZ48">
        <f>240423</f>
        <v>240423</v>
      </c>
      <c r="CA48">
        <f>244187</f>
        <v>244187</v>
      </c>
      <c r="CB48">
        <f>237889</f>
        <v>237889</v>
      </c>
      <c r="CC48">
        <f>254337</f>
        <v>254337</v>
      </c>
      <c r="CD48">
        <f>276779</f>
        <v>276779</v>
      </c>
      <c r="CE48">
        <f>272013</f>
        <v>272013</v>
      </c>
      <c r="CF48">
        <f>292798</f>
        <v>292798</v>
      </c>
      <c r="CG48">
        <f>369561</f>
        <v>369561</v>
      </c>
      <c r="CH48">
        <f>247287</f>
        <v>247287</v>
      </c>
      <c r="CI48">
        <f>297716</f>
        <v>297716</v>
      </c>
      <c r="CJ48">
        <f>256250</f>
        <v>256250</v>
      </c>
      <c r="CK48">
        <f>237779</f>
        <v>237779</v>
      </c>
      <c r="CL48">
        <f>232895</f>
        <v>232895</v>
      </c>
      <c r="CM48">
        <f>241176</f>
        <v>241176</v>
      </c>
      <c r="CN48">
        <f>240778</f>
        <v>240778</v>
      </c>
      <c r="CO48">
        <f>226162</f>
        <v>226162</v>
      </c>
      <c r="CP48">
        <f>229896</f>
        <v>229896</v>
      </c>
      <c r="CQ48">
        <f>241399</f>
        <v>241399</v>
      </c>
      <c r="CR48">
        <f>253559</f>
        <v>253559</v>
      </c>
      <c r="CS48">
        <f>272369</f>
        <v>272369</v>
      </c>
      <c r="CT48">
        <f>328162</f>
        <v>328162</v>
      </c>
      <c r="CU48">
        <f>334356</f>
        <v>334356</v>
      </c>
      <c r="CV48">
        <f>383444</f>
        <v>383444</v>
      </c>
      <c r="CW48">
        <f>363226</f>
        <v>363226</v>
      </c>
      <c r="CX48">
        <f>336624</f>
        <v>336624</v>
      </c>
      <c r="CY48" t="str">
        <f>""</f>
        <v/>
      </c>
      <c r="CZ48">
        <f>359092</f>
        <v>359092</v>
      </c>
      <c r="DA48" t="str">
        <f>""</f>
        <v/>
      </c>
      <c r="DB48">
        <f>412498</f>
        <v>412498</v>
      </c>
      <c r="DC48" t="str">
        <f>""</f>
        <v/>
      </c>
      <c r="DD48">
        <f>303388</f>
        <v>303388</v>
      </c>
      <c r="DE48" t="str">
        <f>""</f>
        <v/>
      </c>
      <c r="DF48">
        <f>305643</f>
        <v>305643</v>
      </c>
      <c r="DG48" t="str">
        <f>""</f>
        <v/>
      </c>
      <c r="DH48" t="str">
        <f>""</f>
        <v/>
      </c>
      <c r="DI48" t="str">
        <f>""</f>
        <v/>
      </c>
      <c r="DJ48">
        <f>410635</f>
        <v>410635</v>
      </c>
      <c r="DK48" t="str">
        <f>""</f>
        <v/>
      </c>
      <c r="DL48" t="str">
        <f>""</f>
        <v/>
      </c>
      <c r="DM48" t="str">
        <f>""</f>
        <v/>
      </c>
      <c r="DN48">
        <f>451967</f>
        <v>451967</v>
      </c>
      <c r="DO48" t="str">
        <f>""</f>
        <v/>
      </c>
      <c r="DP48" t="str">
        <f>""</f>
        <v/>
      </c>
      <c r="DQ48" t="str">
        <f>""</f>
        <v/>
      </c>
      <c r="DR48">
        <f>347783</f>
        <v>347783</v>
      </c>
      <c r="DS48" t="str">
        <f>""</f>
        <v/>
      </c>
      <c r="DT48" t="str">
        <f>""</f>
        <v/>
      </c>
      <c r="DU48" t="str">
        <f>""</f>
        <v/>
      </c>
    </row>
    <row r="49" spans="1:125" x14ac:dyDescent="0.25">
      <c r="A49" t="str">
        <f>"    Banco BPM SpA"</f>
        <v xml:space="preserve">    Banco BPM SpA</v>
      </c>
      <c r="B49" t="str">
        <f>"BAMI IM Equity"</f>
        <v>BAMI IM Equity</v>
      </c>
      <c r="C49" t="str">
        <f t="shared" si="3"/>
        <v>BM109</v>
      </c>
      <c r="D49" t="str">
        <f t="shared" si="4"/>
        <v>BS_TRADING_SECURITIES_DERIVS</v>
      </c>
      <c r="E49" t="str">
        <f t="shared" si="5"/>
        <v>Dynamic</v>
      </c>
      <c r="F49" t="str">
        <f ca="1">IF(AND(ISNUMBER($F$254),$B$208=1),$F$254,HLOOKUP(INDIRECT(ADDRESS(2,COLUMN())),OFFSET($BN$2,0,0,ROW()-1,60),ROW()-1,FALSE))</f>
        <v/>
      </c>
      <c r="G49" t="str">
        <f ca="1">IF(AND(ISNUMBER($G$254),$B$208=1),$G$254,HLOOKUP(INDIRECT(ADDRESS(2,COLUMN())),OFFSET($BN$2,0,0,ROW()-1,60),ROW()-1,FALSE))</f>
        <v/>
      </c>
      <c r="H49">
        <f ca="1">IF(AND(ISNUMBER($H$254),$B$208=1),$H$254,HLOOKUP(INDIRECT(ADDRESS(2,COLUMN())),OFFSET($BN$2,0,0,ROW()-1,60),ROW()-1,FALSE))</f>
        <v>1839.6369999999999</v>
      </c>
      <c r="I49" t="str">
        <f ca="1">IF(AND(ISNUMBER($I$254),$B$208=1),$I$254,HLOOKUP(INDIRECT(ADDRESS(2,COLUMN())),OFFSET($BN$2,0,0,ROW()-1,60),ROW()-1,FALSE))</f>
        <v/>
      </c>
      <c r="J49">
        <f ca="1">IF(AND(ISNUMBER($J$254),$B$208=1),$J$254,HLOOKUP(INDIRECT(ADDRESS(2,COLUMN())),OFFSET($BN$2,0,0,ROW()-1,60),ROW()-1,FALSE))</f>
        <v>1892.8140000000001</v>
      </c>
      <c r="K49" t="str">
        <f ca="1">IF(AND(ISNUMBER($K$254),$B$208=1),$K$254,HLOOKUP(INDIRECT(ADDRESS(2,COLUMN())),OFFSET($BN$2,0,0,ROW()-1,60),ROW()-1,FALSE))</f>
        <v/>
      </c>
      <c r="L49">
        <f ca="1">IF(AND(ISNUMBER($L$254),$B$208=1),$L$254,HLOOKUP(INDIRECT(ADDRESS(2,COLUMN())),OFFSET($BN$2,0,0,ROW()-1,60),ROW()-1,FALSE))</f>
        <v>2307.7109999999998</v>
      </c>
      <c r="M49" t="str">
        <f ca="1">IF(AND(ISNUMBER($M$254),$B$208=1),$M$254,HLOOKUP(INDIRECT(ADDRESS(2,COLUMN())),OFFSET($BN$2,0,0,ROW()-1,60),ROW()-1,FALSE))</f>
        <v/>
      </c>
      <c r="N49">
        <f ca="1">IF(AND(ISNUMBER($N$254),$B$208=1),$N$254,HLOOKUP(INDIRECT(ADDRESS(2,COLUMN())),OFFSET($BN$2,0,0,ROW()-1,60),ROW()-1,FALSE))</f>
        <v>2724.0030000000002</v>
      </c>
      <c r="O49" t="str">
        <f ca="1">IF(AND(ISNUMBER($O$254),$B$208=1),$O$254,HLOOKUP(INDIRECT(ADDRESS(2,COLUMN())),OFFSET($BN$2,0,0,ROW()-1,60),ROW()-1,FALSE))</f>
        <v/>
      </c>
      <c r="P49">
        <f ca="1">IF(AND(ISNUMBER($P$254),$B$208=1),$P$254,HLOOKUP(INDIRECT(ADDRESS(2,COLUMN())),OFFSET($BN$2,0,0,ROW()-1,60),ROW()-1,FALSE))</f>
        <v>3587.4070000000002</v>
      </c>
      <c r="Q49" t="str">
        <f ca="1">IF(AND(ISNUMBER($Q$254),$B$208=1),$Q$254,HLOOKUP(INDIRECT(ADDRESS(2,COLUMN())),OFFSET($BN$2,0,0,ROW()-1,60),ROW()-1,FALSE))</f>
        <v/>
      </c>
      <c r="R49">
        <f ca="1">IF(AND(ISNUMBER($R$254),$B$208=1),$R$254,HLOOKUP(INDIRECT(ADDRESS(2,COLUMN())),OFFSET($BN$2,0,0,ROW()-1,60),ROW()-1,FALSE))</f>
        <v>1995.454</v>
      </c>
      <c r="S49" t="str">
        <f ca="1">IF(AND(ISNUMBER($S$254),$B$208=1),$S$254,HLOOKUP(INDIRECT(ADDRESS(2,COLUMN())),OFFSET($BN$2,0,0,ROW()-1,60),ROW()-1,FALSE))</f>
        <v/>
      </c>
      <c r="T49">
        <f ca="1">IF(AND(ISNUMBER($T$254),$B$208=1),$T$254,HLOOKUP(INDIRECT(ADDRESS(2,COLUMN())),OFFSET($BN$2,0,0,ROW()-1,60),ROW()-1,FALSE))</f>
        <v>1798.627</v>
      </c>
      <c r="U49" t="str">
        <f ca="1">IF(AND(ISNUMBER($U$254),$B$208=1),$U$254,HLOOKUP(INDIRECT(ADDRESS(2,COLUMN())),OFFSET($BN$2,0,0,ROW()-1,60),ROW()-1,FALSE))</f>
        <v/>
      </c>
      <c r="V49">
        <f ca="1">IF(AND(ISNUMBER($V$254),$B$208=1),$V$254,HLOOKUP(INDIRECT(ADDRESS(2,COLUMN())),OFFSET($BN$2,0,0,ROW()-1,60),ROW()-1,FALSE))</f>
        <v>2586.585</v>
      </c>
      <c r="W49" t="str">
        <f ca="1">IF(AND(ISNUMBER($W$254),$B$208=1),$W$254,HLOOKUP(INDIRECT(ADDRESS(2,COLUMN())),OFFSET($BN$2,0,0,ROW()-1,60),ROW()-1,FALSE))</f>
        <v/>
      </c>
      <c r="X49">
        <f ca="1">IF(AND(ISNUMBER($X$254),$B$208=1),$X$254,HLOOKUP(INDIRECT(ADDRESS(2,COLUMN())),OFFSET($BN$2,0,0,ROW()-1,60),ROW()-1,FALSE))</f>
        <v>1920.779</v>
      </c>
      <c r="Y49" t="str">
        <f ca="1">IF(AND(ISNUMBER($Y$254),$B$208=1),$Y$254,HLOOKUP(INDIRECT(ADDRESS(2,COLUMN())),OFFSET($BN$2,0,0,ROW()-1,60),ROW()-1,FALSE))</f>
        <v/>
      </c>
      <c r="Z49">
        <f ca="1">IF(AND(ISNUMBER($Z$254),$B$208=1),$Z$254,HLOOKUP(INDIRECT(ADDRESS(2,COLUMN())),OFFSET($BN$2,0,0,ROW()-1,60),ROW()-1,FALSE))</f>
        <v>1959.7090000000001</v>
      </c>
      <c r="AA49" t="str">
        <f ca="1">IF(AND(ISNUMBER($AA$254),$B$208=1),$AA$254,HLOOKUP(INDIRECT(ADDRESS(2,COLUMN())),OFFSET($BN$2,0,0,ROW()-1,60),ROW()-1,FALSE))</f>
        <v/>
      </c>
      <c r="AB49">
        <f ca="1">IF(AND(ISNUMBER($AB$254),$B$208=1),$AB$254,HLOOKUP(INDIRECT(ADDRESS(2,COLUMN())),OFFSET($BN$2,0,0,ROW()-1,60),ROW()-1,FALSE))</f>
        <v>1797.91</v>
      </c>
      <c r="AC49" t="str">
        <f ca="1">IF(AND(ISNUMBER($AC$254),$B$208=1),$AC$254,HLOOKUP(INDIRECT(ADDRESS(2,COLUMN())),OFFSET($BN$2,0,0,ROW()-1,60),ROW()-1,FALSE))</f>
        <v/>
      </c>
      <c r="AD49">
        <f ca="1">IF(AND(ISNUMBER($AD$254),$B$208=1),$AD$254,HLOOKUP(INDIRECT(ADDRESS(2,COLUMN())),OFFSET($BN$2,0,0,ROW()-1,60),ROW()-1,FALSE))</f>
        <v>1738.2819999999999</v>
      </c>
      <c r="AE49" t="str">
        <f ca="1">IF(AND(ISNUMBER($AE$254),$B$208=1),$AE$254,HLOOKUP(INDIRECT(ADDRESS(2,COLUMN())),OFFSET($BN$2,0,0,ROW()-1,60),ROW()-1,FALSE))</f>
        <v/>
      </c>
      <c r="AF49">
        <f ca="1">IF(AND(ISNUMBER($AF$254),$B$208=1),$AF$254,HLOOKUP(INDIRECT(ADDRESS(2,COLUMN())),OFFSET($BN$2,0,0,ROW()-1,60),ROW()-1,FALSE))</f>
        <v>2067.1219999999998</v>
      </c>
      <c r="AG49" t="str">
        <f ca="1">IF(AND(ISNUMBER($AG$254),$B$208=1),$AG$254,HLOOKUP(INDIRECT(ADDRESS(2,COLUMN())),OFFSET($BN$2,0,0,ROW()-1,60),ROW()-1,FALSE))</f>
        <v/>
      </c>
      <c r="AH49">
        <f ca="1">IF(AND(ISNUMBER($AH$254),$B$208=1),$AH$254,HLOOKUP(INDIRECT(ADDRESS(2,COLUMN())),OFFSET($BN$2,0,0,ROW()-1,60),ROW()-1,FALSE))</f>
        <v>1905.248</v>
      </c>
      <c r="AI49" t="str">
        <f ca="1">IF(AND(ISNUMBER($AI$254),$B$208=1),$AI$254,HLOOKUP(INDIRECT(ADDRESS(2,COLUMN())),OFFSET($BN$2,0,0,ROW()-1,60),ROW()-1,FALSE))</f>
        <v/>
      </c>
      <c r="AJ49" t="str">
        <f ca="1">IF(AND(ISNUMBER($AJ$254),$B$208=1),$AJ$254,HLOOKUP(INDIRECT(ADDRESS(2,COLUMN())),OFFSET($BN$2,0,0,ROW()-1,60),ROW()-1,FALSE))</f>
        <v/>
      </c>
      <c r="AK49" t="str">
        <f ca="1">IF(AND(ISNUMBER($AK$254),$B$208=1),$AK$254,HLOOKUP(INDIRECT(ADDRESS(2,COLUMN())),OFFSET($BN$2,0,0,ROW()-1,60),ROW()-1,FALSE))</f>
        <v/>
      </c>
      <c r="AL49">
        <f ca="1">IF(AND(ISNUMBER($AL$254),$B$208=1),$AL$254,HLOOKUP(INDIRECT(ADDRESS(2,COLUMN())),OFFSET($BN$2,0,0,ROW()-1,60),ROW()-1,FALSE))</f>
        <v>1578.883</v>
      </c>
      <c r="AM49" t="str">
        <f ca="1">IF(AND(ISNUMBER($AM$254),$B$208=1),$AM$254,HLOOKUP(INDIRECT(ADDRESS(2,COLUMN())),OFFSET($BN$2,0,0,ROW()-1,60),ROW()-1,FALSE))</f>
        <v/>
      </c>
      <c r="AN49" t="str">
        <f ca="1">IF(AND(ISNUMBER($AN$254),$B$208=1),$AN$254,HLOOKUP(INDIRECT(ADDRESS(2,COLUMN())),OFFSET($BN$2,0,0,ROW()-1,60),ROW()-1,FALSE))</f>
        <v/>
      </c>
      <c r="AO49" t="str">
        <f ca="1">IF(AND(ISNUMBER($AO$254),$B$208=1),$AO$254,HLOOKUP(INDIRECT(ADDRESS(2,COLUMN())),OFFSET($BN$2,0,0,ROW()-1,60),ROW()-1,FALSE))</f>
        <v/>
      </c>
      <c r="AP49">
        <f ca="1">IF(AND(ISNUMBER($AP$254),$B$208=1),$AP$254,HLOOKUP(INDIRECT(ADDRESS(2,COLUMN())),OFFSET($BN$2,0,0,ROW()-1,60),ROW()-1,FALSE))</f>
        <v>2345.6469999999999</v>
      </c>
      <c r="AQ49" t="str">
        <f ca="1">IF(AND(ISNUMBER($AQ$254),$B$208=1),$AQ$254,HLOOKUP(INDIRECT(ADDRESS(2,COLUMN())),OFFSET($BN$2,0,0,ROW()-1,60),ROW()-1,FALSE))</f>
        <v/>
      </c>
      <c r="AR49" t="str">
        <f ca="1">IF(AND(ISNUMBER($AR$254),$B$208=1),$AR$254,HLOOKUP(INDIRECT(ADDRESS(2,COLUMN())),OFFSET($BN$2,0,0,ROW()-1,60),ROW()-1,FALSE))</f>
        <v/>
      </c>
      <c r="AS49" t="str">
        <f ca="1">IF(AND(ISNUMBER($AS$254),$B$208=1),$AS$254,HLOOKUP(INDIRECT(ADDRESS(2,COLUMN())),OFFSET($BN$2,0,0,ROW()-1,60),ROW()-1,FALSE))</f>
        <v/>
      </c>
      <c r="AT49">
        <f ca="1">IF(AND(ISNUMBER($AT$254),$B$208=1),$AT$254,HLOOKUP(INDIRECT(ADDRESS(2,COLUMN())),OFFSET($BN$2,0,0,ROW()-1,60),ROW()-1,FALSE))</f>
        <v>2983.0239999999999</v>
      </c>
      <c r="AU49" t="str">
        <f ca="1">IF(AND(ISNUMBER($AU$254),$B$208=1),$AU$254,HLOOKUP(INDIRECT(ADDRESS(2,COLUMN())),OFFSET($BN$2,0,0,ROW()-1,60),ROW()-1,FALSE))</f>
        <v/>
      </c>
      <c r="AV49" t="str">
        <f ca="1">IF(AND(ISNUMBER($AV$254),$B$208=1),$AV$254,HLOOKUP(INDIRECT(ADDRESS(2,COLUMN())),OFFSET($BN$2,0,0,ROW()-1,60),ROW()-1,FALSE))</f>
        <v/>
      </c>
      <c r="AW49" t="str">
        <f ca="1">IF(AND(ISNUMBER($AW$254),$B$208=1),$AW$254,HLOOKUP(INDIRECT(ADDRESS(2,COLUMN())),OFFSET($BN$2,0,0,ROW()-1,60),ROW()-1,FALSE))</f>
        <v/>
      </c>
      <c r="AX49">
        <f ca="1">IF(AND(ISNUMBER($AX$254),$B$208=1),$AX$254,HLOOKUP(INDIRECT(ADDRESS(2,COLUMN())),OFFSET($BN$2,0,0,ROW()-1,60),ROW()-1,FALSE))</f>
        <v>3267.0729999999999</v>
      </c>
      <c r="AY49" t="str">
        <f ca="1">IF(AND(ISNUMBER($AY$254),$B$208=1),$AY$254,HLOOKUP(INDIRECT(ADDRESS(2,COLUMN())),OFFSET($BN$2,0,0,ROW()-1,60),ROW()-1,FALSE))</f>
        <v/>
      </c>
      <c r="AZ49" t="str">
        <f ca="1">IF(AND(ISNUMBER($AZ$254),$B$208=1),$AZ$254,HLOOKUP(INDIRECT(ADDRESS(2,COLUMN())),OFFSET($BN$2,0,0,ROW()-1,60),ROW()-1,FALSE))</f>
        <v/>
      </c>
      <c r="BA49" t="str">
        <f ca="1">IF(AND(ISNUMBER($BA$254),$B$208=1),$BA$254,HLOOKUP(INDIRECT(ADDRESS(2,COLUMN())),OFFSET($BN$2,0,0,ROW()-1,60),ROW()-1,FALSE))</f>
        <v/>
      </c>
      <c r="BB49" t="str">
        <f ca="1">IF(AND(ISNUMBER($BB$254),$B$208=1),$BB$254,HLOOKUP(INDIRECT(ADDRESS(2,COLUMN())),OFFSET($BN$2,0,0,ROW()-1,60),ROW()-1,FALSE))</f>
        <v/>
      </c>
      <c r="BC49" t="str">
        <f ca="1">IF(AND(ISNUMBER($BC$254),$B$208=1),$BC$254,HLOOKUP(INDIRECT(ADDRESS(2,COLUMN())),OFFSET($BN$2,0,0,ROW()-1,60),ROW()-1,FALSE))</f>
        <v/>
      </c>
      <c r="BD49" t="str">
        <f ca="1">IF(AND(ISNUMBER($BD$254),$B$208=1),$BD$254,HLOOKUP(INDIRECT(ADDRESS(2,COLUMN())),OFFSET($BN$2,0,0,ROW()-1,60),ROW()-1,FALSE))</f>
        <v/>
      </c>
      <c r="BE49" t="str">
        <f ca="1">IF(AND(ISNUMBER($BE$254),$B$208=1),$BE$254,HLOOKUP(INDIRECT(ADDRESS(2,COLUMN())),OFFSET($BN$2,0,0,ROW()-1,60),ROW()-1,FALSE))</f>
        <v/>
      </c>
      <c r="BF49" t="str">
        <f ca="1">IF(AND(ISNUMBER($BF$254),$B$208=1),$BF$254,HLOOKUP(INDIRECT(ADDRESS(2,COLUMN())),OFFSET($BN$2,0,0,ROW()-1,60),ROW()-1,FALSE))</f>
        <v/>
      </c>
      <c r="BG49" t="str">
        <f ca="1">IF(AND(ISNUMBER($BG$254),$B$208=1),$BG$254,HLOOKUP(INDIRECT(ADDRESS(2,COLUMN())),OFFSET($BN$2,0,0,ROW()-1,60),ROW()-1,FALSE))</f>
        <v/>
      </c>
      <c r="BH49" t="str">
        <f ca="1">IF(AND(ISNUMBER($BH$254),$B$208=1),$BH$254,HLOOKUP(INDIRECT(ADDRESS(2,COLUMN())),OFFSET($BN$2,0,0,ROW()-1,60),ROW()-1,FALSE))</f>
        <v/>
      </c>
      <c r="BI49" t="str">
        <f ca="1">IF(AND(ISNUMBER($BI$254),$B$208=1),$BI$254,HLOOKUP(INDIRECT(ADDRESS(2,COLUMN())),OFFSET($BN$2,0,0,ROW()-1,60),ROW()-1,FALSE))</f>
        <v/>
      </c>
      <c r="BJ49" t="str">
        <f ca="1">IF(AND(ISNUMBER($BJ$254),$B$208=1),$BJ$254,HLOOKUP(INDIRECT(ADDRESS(2,COLUMN())),OFFSET($BN$2,0,0,ROW()-1,60),ROW()-1,FALSE))</f>
        <v/>
      </c>
      <c r="BK49" t="str">
        <f ca="1">IF(AND(ISNUMBER($BK$254),$B$208=1),$BK$254,HLOOKUP(INDIRECT(ADDRESS(2,COLUMN())),OFFSET($BN$2,0,0,ROW()-1,60),ROW()-1,FALSE))</f>
        <v/>
      </c>
      <c r="BL49" t="str">
        <f ca="1">IF(AND(ISNUMBER($BL$254),$B$208=1),$BL$254,HLOOKUP(INDIRECT(ADDRESS(2,COLUMN())),OFFSET($BN$2,0,0,ROW()-1,60),ROW()-1,FALSE))</f>
        <v/>
      </c>
      <c r="BM49" t="str">
        <f ca="1">IF(AND(ISNUMBER($BM$254),$B$208=1),$BM$254,HLOOKUP(INDIRECT(ADDRESS(2,COLUMN())),OFFSET($BN$2,0,0,ROW()-1,60),ROW()-1,FALSE))</f>
        <v/>
      </c>
      <c r="BN49" t="str">
        <f>""</f>
        <v/>
      </c>
      <c r="BO49" t="str">
        <f>""</f>
        <v/>
      </c>
      <c r="BP49">
        <f>1839.637</f>
        <v>1839.6369999999999</v>
      </c>
      <c r="BQ49" t="str">
        <f>""</f>
        <v/>
      </c>
      <c r="BR49">
        <f>1892.814</f>
        <v>1892.8140000000001</v>
      </c>
      <c r="BS49" t="str">
        <f>""</f>
        <v/>
      </c>
      <c r="BT49">
        <f>2307.711</f>
        <v>2307.7109999999998</v>
      </c>
      <c r="BU49" t="str">
        <f>""</f>
        <v/>
      </c>
      <c r="BV49">
        <f>2724.003</f>
        <v>2724.0030000000002</v>
      </c>
      <c r="BW49" t="str">
        <f>""</f>
        <v/>
      </c>
      <c r="BX49">
        <f>3587.407</f>
        <v>3587.4070000000002</v>
      </c>
      <c r="BY49" t="str">
        <f>""</f>
        <v/>
      </c>
      <c r="BZ49">
        <f>1995.454</f>
        <v>1995.454</v>
      </c>
      <c r="CA49" t="str">
        <f>""</f>
        <v/>
      </c>
      <c r="CB49">
        <f>1798.627</f>
        <v>1798.627</v>
      </c>
      <c r="CC49" t="str">
        <f>""</f>
        <v/>
      </c>
      <c r="CD49">
        <f>2586.585</f>
        <v>2586.585</v>
      </c>
      <c r="CE49" t="str">
        <f>""</f>
        <v/>
      </c>
      <c r="CF49">
        <f>1920.779</f>
        <v>1920.779</v>
      </c>
      <c r="CG49" t="str">
        <f>""</f>
        <v/>
      </c>
      <c r="CH49">
        <f>1959.709</f>
        <v>1959.7090000000001</v>
      </c>
      <c r="CI49" t="str">
        <f>""</f>
        <v/>
      </c>
      <c r="CJ49">
        <f>1797.91</f>
        <v>1797.91</v>
      </c>
      <c r="CK49" t="str">
        <f>""</f>
        <v/>
      </c>
      <c r="CL49">
        <f>1738.282</f>
        <v>1738.2819999999999</v>
      </c>
      <c r="CM49" t="str">
        <f>""</f>
        <v/>
      </c>
      <c r="CN49">
        <f>2067.122</f>
        <v>2067.1219999999998</v>
      </c>
      <c r="CO49" t="str">
        <f>""</f>
        <v/>
      </c>
      <c r="CP49">
        <f>1905.248</f>
        <v>1905.248</v>
      </c>
      <c r="CQ49" t="str">
        <f>""</f>
        <v/>
      </c>
      <c r="CR49" t="str">
        <f>""</f>
        <v/>
      </c>
      <c r="CS49" t="str">
        <f>""</f>
        <v/>
      </c>
      <c r="CT49">
        <f>1578.883</f>
        <v>1578.883</v>
      </c>
      <c r="CU49" t="str">
        <f>""</f>
        <v/>
      </c>
      <c r="CV49" t="str">
        <f>""</f>
        <v/>
      </c>
      <c r="CW49" t="str">
        <f>""</f>
        <v/>
      </c>
      <c r="CX49">
        <f>2345.647</f>
        <v>2345.6469999999999</v>
      </c>
      <c r="CY49" t="str">
        <f>""</f>
        <v/>
      </c>
      <c r="CZ49" t="str">
        <f>""</f>
        <v/>
      </c>
      <c r="DA49" t="str">
        <f>""</f>
        <v/>
      </c>
      <c r="DB49">
        <f>2983.024</f>
        <v>2983.0239999999999</v>
      </c>
      <c r="DC49" t="str">
        <f>""</f>
        <v/>
      </c>
      <c r="DD49" t="str">
        <f>""</f>
        <v/>
      </c>
      <c r="DE49" t="str">
        <f>""</f>
        <v/>
      </c>
      <c r="DF49">
        <f>3267.073</f>
        <v>3267.0729999999999</v>
      </c>
      <c r="DG49" t="str">
        <f>""</f>
        <v/>
      </c>
      <c r="DH49" t="str">
        <f>""</f>
        <v/>
      </c>
      <c r="DI49" t="str">
        <f>""</f>
        <v/>
      </c>
      <c r="DJ49" t="str">
        <f>""</f>
        <v/>
      </c>
      <c r="DK49" t="str">
        <f>""</f>
        <v/>
      </c>
      <c r="DL49" t="str">
        <f>""</f>
        <v/>
      </c>
      <c r="DM49" t="str">
        <f>""</f>
        <v/>
      </c>
      <c r="DN49" t="str">
        <f>""</f>
        <v/>
      </c>
      <c r="DO49" t="str">
        <f>""</f>
        <v/>
      </c>
      <c r="DP49" t="str">
        <f>""</f>
        <v/>
      </c>
      <c r="DQ49" t="str">
        <f>""</f>
        <v/>
      </c>
      <c r="DR49" t="str">
        <f>""</f>
        <v/>
      </c>
      <c r="DS49" t="str">
        <f>""</f>
        <v/>
      </c>
      <c r="DT49" t="str">
        <f>""</f>
        <v/>
      </c>
      <c r="DU49" t="str">
        <f>""</f>
        <v/>
      </c>
    </row>
    <row r="50" spans="1:125" x14ac:dyDescent="0.25">
      <c r="A50" t="str">
        <f>"    Banco Bilbao Vizcaya Argentaria SA"</f>
        <v xml:space="preserve">    Banco Bilbao Vizcaya Argentaria SA</v>
      </c>
      <c r="B50" t="str">
        <f>"BBVA SM Equity"</f>
        <v>BBVA SM Equity</v>
      </c>
      <c r="C50" t="str">
        <f t="shared" si="3"/>
        <v>BM109</v>
      </c>
      <c r="D50" t="str">
        <f t="shared" si="4"/>
        <v>BS_TRADING_SECURITIES_DERIVS</v>
      </c>
      <c r="E50" t="str">
        <f t="shared" si="5"/>
        <v>Dynamic</v>
      </c>
      <c r="F50">
        <f ca="1">IF(AND(ISNUMBER($F$255),$B$208=1),$F$255,HLOOKUP(INDIRECT(ADDRESS(2,COLUMN())),OFFSET($BN$2,0,0,ROW()-1,60),ROW()-1,FALSE))</f>
        <v>36003</v>
      </c>
      <c r="G50" t="str">
        <f ca="1">IF(AND(ISNUMBER($G$255),$B$208=1),$G$255,HLOOKUP(INDIRECT(ADDRESS(2,COLUMN())),OFFSET($BN$2,0,0,ROW()-1,60),ROW()-1,FALSE))</f>
        <v/>
      </c>
      <c r="H50">
        <f ca="1">IF(AND(ISNUMBER($H$255),$B$208=1),$H$255,HLOOKUP(INDIRECT(ADDRESS(2,COLUMN())),OFFSET($BN$2,0,0,ROW()-1,60),ROW()-1,FALSE))</f>
        <v>33183</v>
      </c>
      <c r="I50" t="str">
        <f ca="1">IF(AND(ISNUMBER($I$255),$B$208=1),$I$255,HLOOKUP(INDIRECT(ADDRESS(2,COLUMN())),OFFSET($BN$2,0,0,ROW()-1,60),ROW()-1,FALSE))</f>
        <v/>
      </c>
      <c r="J50">
        <f ca="1">IF(AND(ISNUMBER($J$255),$B$208=1),$J$255,HLOOKUP(INDIRECT(ADDRESS(2,COLUMN())),OFFSET($BN$2,0,0,ROW()-1,60),ROW()-1,FALSE))</f>
        <v>34293</v>
      </c>
      <c r="K50" t="str">
        <f ca="1">IF(AND(ISNUMBER($K$255),$B$208=1),$K$255,HLOOKUP(INDIRECT(ADDRESS(2,COLUMN())),OFFSET($BN$2,0,0,ROW()-1,60),ROW()-1,FALSE))</f>
        <v/>
      </c>
      <c r="L50">
        <f ca="1">IF(AND(ISNUMBER($L$255),$B$208=1),$L$255,HLOOKUP(INDIRECT(ADDRESS(2,COLUMN())),OFFSET($BN$2,0,0,ROW()-1,60),ROW()-1,FALSE))</f>
        <v>39346</v>
      </c>
      <c r="M50" t="str">
        <f ca="1">IF(AND(ISNUMBER($M$255),$B$208=1),$M$255,HLOOKUP(INDIRECT(ADDRESS(2,COLUMN())),OFFSET($BN$2,0,0,ROW()-1,60),ROW()-1,FALSE))</f>
        <v/>
      </c>
      <c r="N50">
        <f ca="1">IF(AND(ISNUMBER($N$255),$B$208=1),$N$255,HLOOKUP(INDIRECT(ADDRESS(2,COLUMN())),OFFSET($BN$2,0,0,ROW()-1,60),ROW()-1,FALSE))</f>
        <v>39908</v>
      </c>
      <c r="O50" t="str">
        <f ca="1">IF(AND(ISNUMBER($O$255),$B$208=1),$O$255,HLOOKUP(INDIRECT(ADDRESS(2,COLUMN())),OFFSET($BN$2,0,0,ROW()-1,60),ROW()-1,FALSE))</f>
        <v/>
      </c>
      <c r="P50" t="str">
        <f ca="1">IF(AND(ISNUMBER($P$255),$B$208=1),$P$255,HLOOKUP(INDIRECT(ADDRESS(2,COLUMN())),OFFSET($BN$2,0,0,ROW()-1,60),ROW()-1,FALSE))</f>
        <v/>
      </c>
      <c r="Q50" t="str">
        <f ca="1">IF(AND(ISNUMBER($Q$255),$B$208=1),$Q$255,HLOOKUP(INDIRECT(ADDRESS(2,COLUMN())),OFFSET($BN$2,0,0,ROW()-1,60),ROW()-1,FALSE))</f>
        <v/>
      </c>
      <c r="R50">
        <f ca="1">IF(AND(ISNUMBER($R$255),$B$208=1),$R$255,HLOOKUP(INDIRECT(ADDRESS(2,COLUMN())),OFFSET($BN$2,0,0,ROW()-1,60),ROW()-1,FALSE))</f>
        <v>30933</v>
      </c>
      <c r="S50" t="str">
        <f ca="1">IF(AND(ISNUMBER($S$255),$B$208=1),$S$255,HLOOKUP(INDIRECT(ADDRESS(2,COLUMN())),OFFSET($BN$2,0,0,ROW()-1,60),ROW()-1,FALSE))</f>
        <v/>
      </c>
      <c r="T50" t="str">
        <f ca="1">IF(AND(ISNUMBER($T$255),$B$208=1),$T$255,HLOOKUP(INDIRECT(ADDRESS(2,COLUMN())),OFFSET($BN$2,0,0,ROW()-1,60),ROW()-1,FALSE))</f>
        <v/>
      </c>
      <c r="U50" t="str">
        <f ca="1">IF(AND(ISNUMBER($U$255),$B$208=1),$U$255,HLOOKUP(INDIRECT(ADDRESS(2,COLUMN())),OFFSET($BN$2,0,0,ROW()-1,60),ROW()-1,FALSE))</f>
        <v/>
      </c>
      <c r="V50">
        <f ca="1">IF(AND(ISNUMBER($V$255),$B$208=1),$V$255,HLOOKUP(INDIRECT(ADDRESS(2,COLUMN())),OFFSET($BN$2,0,0,ROW()-1,60),ROW()-1,FALSE))</f>
        <v>40182</v>
      </c>
      <c r="W50" t="str">
        <f ca="1">IF(AND(ISNUMBER($W$255),$B$208=1),$W$255,HLOOKUP(INDIRECT(ADDRESS(2,COLUMN())),OFFSET($BN$2,0,0,ROW()-1,60),ROW()-1,FALSE))</f>
        <v/>
      </c>
      <c r="X50" t="str">
        <f ca="1">IF(AND(ISNUMBER($X$255),$B$208=1),$X$255,HLOOKUP(INDIRECT(ADDRESS(2,COLUMN())),OFFSET($BN$2,0,0,ROW()-1,60),ROW()-1,FALSE))</f>
        <v/>
      </c>
      <c r="Y50" t="str">
        <f ca="1">IF(AND(ISNUMBER($Y$255),$B$208=1),$Y$255,HLOOKUP(INDIRECT(ADDRESS(2,COLUMN())),OFFSET($BN$2,0,0,ROW()-1,60),ROW()-1,FALSE))</f>
        <v/>
      </c>
      <c r="Z50">
        <f ca="1">IF(AND(ISNUMBER($Z$255),$B$208=1),$Z$255,HLOOKUP(INDIRECT(ADDRESS(2,COLUMN())),OFFSET($BN$2,0,0,ROW()-1,60),ROW()-1,FALSE))</f>
        <v>32232</v>
      </c>
      <c r="AA50" t="str">
        <f ca="1">IF(AND(ISNUMBER($AA$255),$B$208=1),$AA$255,HLOOKUP(INDIRECT(ADDRESS(2,COLUMN())),OFFSET($BN$2,0,0,ROW()-1,60),ROW()-1,FALSE))</f>
        <v/>
      </c>
      <c r="AB50" t="str">
        <f ca="1">IF(AND(ISNUMBER($AB$255),$B$208=1),$AB$255,HLOOKUP(INDIRECT(ADDRESS(2,COLUMN())),OFFSET($BN$2,0,0,ROW()-1,60),ROW()-1,FALSE))</f>
        <v/>
      </c>
      <c r="AC50" t="str">
        <f ca="1">IF(AND(ISNUMBER($AC$255),$B$208=1),$AC$255,HLOOKUP(INDIRECT(ADDRESS(2,COLUMN())),OFFSET($BN$2,0,0,ROW()-1,60),ROW()-1,FALSE))</f>
        <v/>
      </c>
      <c r="AD50">
        <f ca="1">IF(AND(ISNUMBER($AD$255),$B$208=1),$AD$255,HLOOKUP(INDIRECT(ADDRESS(2,COLUMN())),OFFSET($BN$2,0,0,ROW()-1,60),ROW()-1,FALSE))</f>
        <v>30536</v>
      </c>
      <c r="AE50" t="str">
        <f ca="1">IF(AND(ISNUMBER($AE$255),$B$208=1),$AE$255,HLOOKUP(INDIRECT(ADDRESS(2,COLUMN())),OFFSET($BN$2,0,0,ROW()-1,60),ROW()-1,FALSE))</f>
        <v/>
      </c>
      <c r="AF50" t="str">
        <f ca="1">IF(AND(ISNUMBER($AF$255),$B$208=1),$AF$255,HLOOKUP(INDIRECT(ADDRESS(2,COLUMN())),OFFSET($BN$2,0,0,ROW()-1,60),ROW()-1,FALSE))</f>
        <v/>
      </c>
      <c r="AG50" t="str">
        <f ca="1">IF(AND(ISNUMBER($AG$255),$B$208=1),$AG$255,HLOOKUP(INDIRECT(ADDRESS(2,COLUMN())),OFFSET($BN$2,0,0,ROW()-1,60),ROW()-1,FALSE))</f>
        <v/>
      </c>
      <c r="AH50">
        <f ca="1">IF(AND(ISNUMBER($AH$255),$B$208=1),$AH$255,HLOOKUP(INDIRECT(ADDRESS(2,COLUMN())),OFFSET($BN$2,0,0,ROW()-1,60),ROW()-1,FALSE))</f>
        <v>35265</v>
      </c>
      <c r="AI50" t="str">
        <f ca="1">IF(AND(ISNUMBER($AI$255),$B$208=1),$AI$255,HLOOKUP(INDIRECT(ADDRESS(2,COLUMN())),OFFSET($BN$2,0,0,ROW()-1,60),ROW()-1,FALSE))</f>
        <v/>
      </c>
      <c r="AJ50" t="str">
        <f ca="1">IF(AND(ISNUMBER($AJ$255),$B$208=1),$AJ$255,HLOOKUP(INDIRECT(ADDRESS(2,COLUMN())),OFFSET($BN$2,0,0,ROW()-1,60),ROW()-1,FALSE))</f>
        <v/>
      </c>
      <c r="AK50" t="str">
        <f ca="1">IF(AND(ISNUMBER($AK$255),$B$208=1),$AK$255,HLOOKUP(INDIRECT(ADDRESS(2,COLUMN())),OFFSET($BN$2,0,0,ROW()-1,60),ROW()-1,FALSE))</f>
        <v/>
      </c>
      <c r="AL50">
        <f ca="1">IF(AND(ISNUMBER($AL$255),$B$208=1),$AL$255,HLOOKUP(INDIRECT(ADDRESS(2,COLUMN())),OFFSET($BN$2,0,0,ROW()-1,60),ROW()-1,FALSE))</f>
        <v>42955</v>
      </c>
      <c r="AM50" t="str">
        <f ca="1">IF(AND(ISNUMBER($AM$255),$B$208=1),$AM$255,HLOOKUP(INDIRECT(ADDRESS(2,COLUMN())),OFFSET($BN$2,0,0,ROW()-1,60),ROW()-1,FALSE))</f>
        <v/>
      </c>
      <c r="AN50" t="str">
        <f ca="1">IF(AND(ISNUMBER($AN$255),$B$208=1),$AN$255,HLOOKUP(INDIRECT(ADDRESS(2,COLUMN())),OFFSET($BN$2,0,0,ROW()-1,60),ROW()-1,FALSE))</f>
        <v/>
      </c>
      <c r="AO50" t="str">
        <f ca="1">IF(AND(ISNUMBER($AO$255),$B$208=1),$AO$255,HLOOKUP(INDIRECT(ADDRESS(2,COLUMN())),OFFSET($BN$2,0,0,ROW()-1,60),ROW()-1,FALSE))</f>
        <v/>
      </c>
      <c r="AP50">
        <f ca="1">IF(AND(ISNUMBER($AP$255),$B$208=1),$AP$255,HLOOKUP(INDIRECT(ADDRESS(2,COLUMN())),OFFSET($BN$2,0,0,ROW()-1,60),ROW()-1,FALSE))</f>
        <v>40902</v>
      </c>
      <c r="AQ50" t="str">
        <f ca="1">IF(AND(ISNUMBER($AQ$255),$B$208=1),$AQ$255,HLOOKUP(INDIRECT(ADDRESS(2,COLUMN())),OFFSET($BN$2,0,0,ROW()-1,60),ROW()-1,FALSE))</f>
        <v/>
      </c>
      <c r="AR50" t="str">
        <f ca="1">IF(AND(ISNUMBER($AR$255),$B$208=1),$AR$255,HLOOKUP(INDIRECT(ADDRESS(2,COLUMN())),OFFSET($BN$2,0,0,ROW()-1,60),ROW()-1,FALSE))</f>
        <v/>
      </c>
      <c r="AS50" t="str">
        <f ca="1">IF(AND(ISNUMBER($AS$255),$B$208=1),$AS$255,HLOOKUP(INDIRECT(ADDRESS(2,COLUMN())),OFFSET($BN$2,0,0,ROW()-1,60),ROW()-1,FALSE))</f>
        <v/>
      </c>
      <c r="AT50">
        <f ca="1">IF(AND(ISNUMBER($AT$255),$B$208=1),$AT$255,HLOOKUP(INDIRECT(ADDRESS(2,COLUMN())),OFFSET($BN$2,0,0,ROW()-1,60),ROW()-1,FALSE))</f>
        <v>44229</v>
      </c>
      <c r="AU50" t="str">
        <f ca="1">IF(AND(ISNUMBER($AU$255),$B$208=1),$AU$255,HLOOKUP(INDIRECT(ADDRESS(2,COLUMN())),OFFSET($BN$2,0,0,ROW()-1,60),ROW()-1,FALSE))</f>
        <v/>
      </c>
      <c r="AV50" t="str">
        <f ca="1">IF(AND(ISNUMBER($AV$255),$B$208=1),$AV$255,HLOOKUP(INDIRECT(ADDRESS(2,COLUMN())),OFFSET($BN$2,0,0,ROW()-1,60),ROW()-1,FALSE))</f>
        <v/>
      </c>
      <c r="AW50" t="str">
        <f ca="1">IF(AND(ISNUMBER($AW$255),$B$208=1),$AW$255,HLOOKUP(INDIRECT(ADDRESS(2,COLUMN())),OFFSET($BN$2,0,0,ROW()-1,60),ROW()-1,FALSE))</f>
        <v/>
      </c>
      <c r="AX50">
        <f ca="1">IF(AND(ISNUMBER($AX$255),$B$208=1),$AX$255,HLOOKUP(INDIRECT(ADDRESS(2,COLUMN())),OFFSET($BN$2,0,0,ROW()-1,60),ROW()-1,FALSE))</f>
        <v>37638</v>
      </c>
      <c r="AY50" t="str">
        <f ca="1">IF(AND(ISNUMBER($AY$255),$B$208=1),$AY$255,HLOOKUP(INDIRECT(ADDRESS(2,COLUMN())),OFFSET($BN$2,0,0,ROW()-1,60),ROW()-1,FALSE))</f>
        <v/>
      </c>
      <c r="AZ50" t="str">
        <f ca="1">IF(AND(ISNUMBER($AZ$255),$B$208=1),$AZ$255,HLOOKUP(INDIRECT(ADDRESS(2,COLUMN())),OFFSET($BN$2,0,0,ROW()-1,60),ROW()-1,FALSE))</f>
        <v/>
      </c>
      <c r="BA50" t="str">
        <f ca="1">IF(AND(ISNUMBER($BA$255),$B$208=1),$BA$255,HLOOKUP(INDIRECT(ADDRESS(2,COLUMN())),OFFSET($BN$2,0,0,ROW()-1,60),ROW()-1,FALSE))</f>
        <v/>
      </c>
      <c r="BB50">
        <f ca="1">IF(AND(ISNUMBER($BB$255),$B$208=1),$BB$255,HLOOKUP(INDIRECT(ADDRESS(2,COLUMN())),OFFSET($BN$2,0,0,ROW()-1,60),ROW()-1,FALSE))</f>
        <v>48650</v>
      </c>
      <c r="BC50" t="str">
        <f ca="1">IF(AND(ISNUMBER($BC$255),$B$208=1),$BC$255,HLOOKUP(INDIRECT(ADDRESS(2,COLUMN())),OFFSET($BN$2,0,0,ROW()-1,60),ROW()-1,FALSE))</f>
        <v/>
      </c>
      <c r="BD50" t="str">
        <f ca="1">IF(AND(ISNUMBER($BD$255),$B$208=1),$BD$255,HLOOKUP(INDIRECT(ADDRESS(2,COLUMN())),OFFSET($BN$2,0,0,ROW()-1,60),ROW()-1,FALSE))</f>
        <v/>
      </c>
      <c r="BE50" t="str">
        <f ca="1">IF(AND(ISNUMBER($BE$255),$B$208=1),$BE$255,HLOOKUP(INDIRECT(ADDRESS(2,COLUMN())),OFFSET($BN$2,0,0,ROW()-1,60),ROW()-1,FALSE))</f>
        <v/>
      </c>
      <c r="BF50">
        <f ca="1">IF(AND(ISNUMBER($BF$255),$B$208=1),$BF$255,HLOOKUP(INDIRECT(ADDRESS(2,COLUMN())),OFFSET($BN$2,0,0,ROW()-1,60),ROW()-1,FALSE))</f>
        <v>47429</v>
      </c>
      <c r="BG50" t="str">
        <f ca="1">IF(AND(ISNUMBER($BG$255),$B$208=1),$BG$255,HLOOKUP(INDIRECT(ADDRESS(2,COLUMN())),OFFSET($BN$2,0,0,ROW()-1,60),ROW()-1,FALSE))</f>
        <v/>
      </c>
      <c r="BH50" t="str">
        <f ca="1">IF(AND(ISNUMBER($BH$255),$B$208=1),$BH$255,HLOOKUP(INDIRECT(ADDRESS(2,COLUMN())),OFFSET($BN$2,0,0,ROW()-1,60),ROW()-1,FALSE))</f>
        <v/>
      </c>
      <c r="BI50" t="str">
        <f ca="1">IF(AND(ISNUMBER($BI$255),$B$208=1),$BI$255,HLOOKUP(INDIRECT(ADDRESS(2,COLUMN())),OFFSET($BN$2,0,0,ROW()-1,60),ROW()-1,FALSE))</f>
        <v/>
      </c>
      <c r="BJ50">
        <f ca="1">IF(AND(ISNUMBER($BJ$255),$B$208=1),$BJ$255,HLOOKUP(INDIRECT(ADDRESS(2,COLUMN())),OFFSET($BN$2,0,0,ROW()-1,60),ROW()-1,FALSE))</f>
        <v>33665</v>
      </c>
      <c r="BK50" t="str">
        <f ca="1">IF(AND(ISNUMBER($BK$255),$B$208=1),$BK$255,HLOOKUP(INDIRECT(ADDRESS(2,COLUMN())),OFFSET($BN$2,0,0,ROW()-1,60),ROW()-1,FALSE))</f>
        <v/>
      </c>
      <c r="BL50" t="str">
        <f ca="1">IF(AND(ISNUMBER($BL$255),$B$208=1),$BL$255,HLOOKUP(INDIRECT(ADDRESS(2,COLUMN())),OFFSET($BN$2,0,0,ROW()-1,60),ROW()-1,FALSE))</f>
        <v/>
      </c>
      <c r="BM50" t="str">
        <f ca="1">IF(AND(ISNUMBER($BM$255),$B$208=1),$BM$255,HLOOKUP(INDIRECT(ADDRESS(2,COLUMN())),OFFSET($BN$2,0,0,ROW()-1,60),ROW()-1,FALSE))</f>
        <v/>
      </c>
      <c r="BN50">
        <f>36003</f>
        <v>36003</v>
      </c>
      <c r="BO50" t="str">
        <f>""</f>
        <v/>
      </c>
      <c r="BP50">
        <f>33183</f>
        <v>33183</v>
      </c>
      <c r="BQ50" t="str">
        <f>""</f>
        <v/>
      </c>
      <c r="BR50">
        <f>34293</f>
        <v>34293</v>
      </c>
      <c r="BS50" t="str">
        <f>""</f>
        <v/>
      </c>
      <c r="BT50">
        <f>39346</f>
        <v>39346</v>
      </c>
      <c r="BU50" t="str">
        <f>""</f>
        <v/>
      </c>
      <c r="BV50">
        <f>39908</f>
        <v>39908</v>
      </c>
      <c r="BW50" t="str">
        <f>""</f>
        <v/>
      </c>
      <c r="BX50" t="str">
        <f>""</f>
        <v/>
      </c>
      <c r="BY50" t="str">
        <f>""</f>
        <v/>
      </c>
      <c r="BZ50">
        <f>30933</f>
        <v>30933</v>
      </c>
      <c r="CA50" t="str">
        <f>""</f>
        <v/>
      </c>
      <c r="CB50" t="str">
        <f>""</f>
        <v/>
      </c>
      <c r="CC50" t="str">
        <f>""</f>
        <v/>
      </c>
      <c r="CD50">
        <f>40182</f>
        <v>40182</v>
      </c>
      <c r="CE50" t="str">
        <f>""</f>
        <v/>
      </c>
      <c r="CF50" t="str">
        <f>""</f>
        <v/>
      </c>
      <c r="CG50" t="str">
        <f>""</f>
        <v/>
      </c>
      <c r="CH50">
        <f>32232</f>
        <v>32232</v>
      </c>
      <c r="CI50" t="str">
        <f>""</f>
        <v/>
      </c>
      <c r="CJ50" t="str">
        <f>""</f>
        <v/>
      </c>
      <c r="CK50" t="str">
        <f>""</f>
        <v/>
      </c>
      <c r="CL50">
        <f>30536</f>
        <v>30536</v>
      </c>
      <c r="CM50" t="str">
        <f>""</f>
        <v/>
      </c>
      <c r="CN50" t="str">
        <f>""</f>
        <v/>
      </c>
      <c r="CO50" t="str">
        <f>""</f>
        <v/>
      </c>
      <c r="CP50">
        <f>35265</f>
        <v>35265</v>
      </c>
      <c r="CQ50" t="str">
        <f>""</f>
        <v/>
      </c>
      <c r="CR50" t="str">
        <f>""</f>
        <v/>
      </c>
      <c r="CS50" t="str">
        <f>""</f>
        <v/>
      </c>
      <c r="CT50">
        <f>42955</f>
        <v>42955</v>
      </c>
      <c r="CU50" t="str">
        <f>""</f>
        <v/>
      </c>
      <c r="CV50" t="str">
        <f>""</f>
        <v/>
      </c>
      <c r="CW50" t="str">
        <f>""</f>
        <v/>
      </c>
      <c r="CX50">
        <f>40902</f>
        <v>40902</v>
      </c>
      <c r="CY50" t="str">
        <f>""</f>
        <v/>
      </c>
      <c r="CZ50" t="str">
        <f>""</f>
        <v/>
      </c>
      <c r="DA50" t="str">
        <f>""</f>
        <v/>
      </c>
      <c r="DB50">
        <f>44229</f>
        <v>44229</v>
      </c>
      <c r="DC50" t="str">
        <f>""</f>
        <v/>
      </c>
      <c r="DD50" t="str">
        <f>""</f>
        <v/>
      </c>
      <c r="DE50" t="str">
        <f>""</f>
        <v/>
      </c>
      <c r="DF50">
        <f>37638</f>
        <v>37638</v>
      </c>
      <c r="DG50" t="str">
        <f>""</f>
        <v/>
      </c>
      <c r="DH50" t="str">
        <f>""</f>
        <v/>
      </c>
      <c r="DI50" t="str">
        <f>""</f>
        <v/>
      </c>
      <c r="DJ50">
        <f>48650</f>
        <v>48650</v>
      </c>
      <c r="DK50" t="str">
        <f>""</f>
        <v/>
      </c>
      <c r="DL50" t="str">
        <f>""</f>
        <v/>
      </c>
      <c r="DM50" t="str">
        <f>""</f>
        <v/>
      </c>
      <c r="DN50">
        <f>47429</f>
        <v>47429</v>
      </c>
      <c r="DO50" t="str">
        <f>""</f>
        <v/>
      </c>
      <c r="DP50" t="str">
        <f>""</f>
        <v/>
      </c>
      <c r="DQ50" t="str">
        <f>""</f>
        <v/>
      </c>
      <c r="DR50">
        <f>33665</f>
        <v>33665</v>
      </c>
      <c r="DS50" t="str">
        <f>""</f>
        <v/>
      </c>
      <c r="DT50" t="str">
        <f>""</f>
        <v/>
      </c>
      <c r="DU50" t="str">
        <f>""</f>
        <v/>
      </c>
    </row>
    <row r="51" spans="1:125" x14ac:dyDescent="0.25">
      <c r="A51" t="str">
        <f>"    Bank of Ireland Group PLC"</f>
        <v xml:space="preserve">    Bank of Ireland Group PLC</v>
      </c>
      <c r="B51" t="str">
        <f>"BIRG ID Equity"</f>
        <v>BIRG ID Equity</v>
      </c>
      <c r="C51" t="str">
        <f t="shared" si="3"/>
        <v>BM109</v>
      </c>
      <c r="D51" t="str">
        <f t="shared" si="4"/>
        <v>BS_TRADING_SECURITIES_DERIVS</v>
      </c>
      <c r="E51" t="str">
        <f t="shared" si="5"/>
        <v>Dynamic</v>
      </c>
      <c r="F51" t="str">
        <f ca="1">IF(AND(ISNUMBER($F$256),$B$208=1),$F$256,HLOOKUP(INDIRECT(ADDRESS(2,COLUMN())),OFFSET($BN$2,0,0,ROW()-1,60),ROW()-1,FALSE))</f>
        <v/>
      </c>
      <c r="G51" t="str">
        <f ca="1">IF(AND(ISNUMBER($G$256),$B$208=1),$G$256,HLOOKUP(INDIRECT(ADDRESS(2,COLUMN())),OFFSET($BN$2,0,0,ROW()-1,60),ROW()-1,FALSE))</f>
        <v/>
      </c>
      <c r="H51" t="str">
        <f ca="1">IF(AND(ISNUMBER($H$256),$B$208=1),$H$256,HLOOKUP(INDIRECT(ADDRESS(2,COLUMN())),OFFSET($BN$2,0,0,ROW()-1,60),ROW()-1,FALSE))</f>
        <v/>
      </c>
      <c r="I51" t="str">
        <f ca="1">IF(AND(ISNUMBER($I$256),$B$208=1),$I$256,HLOOKUP(INDIRECT(ADDRESS(2,COLUMN())),OFFSET($BN$2,0,0,ROW()-1,60),ROW()-1,FALSE))</f>
        <v/>
      </c>
      <c r="J51" t="str">
        <f ca="1">IF(AND(ISNUMBER($J$256),$B$208=1),$J$256,HLOOKUP(INDIRECT(ADDRESS(2,COLUMN())),OFFSET($BN$2,0,0,ROW()-1,60),ROW()-1,FALSE))</f>
        <v/>
      </c>
      <c r="K51" t="str">
        <f ca="1">IF(AND(ISNUMBER($K$256),$B$208=1),$K$256,HLOOKUP(INDIRECT(ADDRESS(2,COLUMN())),OFFSET($BN$2,0,0,ROW()-1,60),ROW()-1,FALSE))</f>
        <v/>
      </c>
      <c r="L51" t="str">
        <f ca="1">IF(AND(ISNUMBER($L$256),$B$208=1),$L$256,HLOOKUP(INDIRECT(ADDRESS(2,COLUMN())),OFFSET($BN$2,0,0,ROW()-1,60),ROW()-1,FALSE))</f>
        <v/>
      </c>
      <c r="M51" t="str">
        <f ca="1">IF(AND(ISNUMBER($M$256),$B$208=1),$M$256,HLOOKUP(INDIRECT(ADDRESS(2,COLUMN())),OFFSET($BN$2,0,0,ROW()-1,60),ROW()-1,FALSE))</f>
        <v/>
      </c>
      <c r="N51" t="str">
        <f ca="1">IF(AND(ISNUMBER($N$256),$B$208=1),$N$256,HLOOKUP(INDIRECT(ADDRESS(2,COLUMN())),OFFSET($BN$2,0,0,ROW()-1,60),ROW()-1,FALSE))</f>
        <v/>
      </c>
      <c r="O51" t="str">
        <f ca="1">IF(AND(ISNUMBER($O$256),$B$208=1),$O$256,HLOOKUP(INDIRECT(ADDRESS(2,COLUMN())),OFFSET($BN$2,0,0,ROW()-1,60),ROW()-1,FALSE))</f>
        <v/>
      </c>
      <c r="P51" t="str">
        <f ca="1">IF(AND(ISNUMBER($P$256),$B$208=1),$P$256,HLOOKUP(INDIRECT(ADDRESS(2,COLUMN())),OFFSET($BN$2,0,0,ROW()-1,60),ROW()-1,FALSE))</f>
        <v/>
      </c>
      <c r="Q51" t="str">
        <f ca="1">IF(AND(ISNUMBER($Q$256),$B$208=1),$Q$256,HLOOKUP(INDIRECT(ADDRESS(2,COLUMN())),OFFSET($BN$2,0,0,ROW()-1,60),ROW()-1,FALSE))</f>
        <v/>
      </c>
      <c r="R51" t="str">
        <f ca="1">IF(AND(ISNUMBER($R$256),$B$208=1),$R$256,HLOOKUP(INDIRECT(ADDRESS(2,COLUMN())),OFFSET($BN$2,0,0,ROW()-1,60),ROW()-1,FALSE))</f>
        <v/>
      </c>
      <c r="S51" t="str">
        <f ca="1">IF(AND(ISNUMBER($S$256),$B$208=1),$S$256,HLOOKUP(INDIRECT(ADDRESS(2,COLUMN())),OFFSET($BN$2,0,0,ROW()-1,60),ROW()-1,FALSE))</f>
        <v/>
      </c>
      <c r="T51" t="str">
        <f ca="1">IF(AND(ISNUMBER($T$256),$B$208=1),$T$256,HLOOKUP(INDIRECT(ADDRESS(2,COLUMN())),OFFSET($BN$2,0,0,ROW()-1,60),ROW()-1,FALSE))</f>
        <v/>
      </c>
      <c r="U51" t="str">
        <f ca="1">IF(AND(ISNUMBER($U$256),$B$208=1),$U$256,HLOOKUP(INDIRECT(ADDRESS(2,COLUMN())),OFFSET($BN$2,0,0,ROW()-1,60),ROW()-1,FALSE))</f>
        <v/>
      </c>
      <c r="V51" t="str">
        <f ca="1">IF(AND(ISNUMBER($V$256),$B$208=1),$V$256,HLOOKUP(INDIRECT(ADDRESS(2,COLUMN())),OFFSET($BN$2,0,0,ROW()-1,60),ROW()-1,FALSE))</f>
        <v/>
      </c>
      <c r="W51" t="str">
        <f ca="1">IF(AND(ISNUMBER($W$256),$B$208=1),$W$256,HLOOKUP(INDIRECT(ADDRESS(2,COLUMN())),OFFSET($BN$2,0,0,ROW()-1,60),ROW()-1,FALSE))</f>
        <v/>
      </c>
      <c r="X51" t="str">
        <f ca="1">IF(AND(ISNUMBER($X$256),$B$208=1),$X$256,HLOOKUP(INDIRECT(ADDRESS(2,COLUMN())),OFFSET($BN$2,0,0,ROW()-1,60),ROW()-1,FALSE))</f>
        <v/>
      </c>
      <c r="Y51" t="str">
        <f ca="1">IF(AND(ISNUMBER($Y$256),$B$208=1),$Y$256,HLOOKUP(INDIRECT(ADDRESS(2,COLUMN())),OFFSET($BN$2,0,0,ROW()-1,60),ROW()-1,FALSE))</f>
        <v/>
      </c>
      <c r="Z51" t="str">
        <f ca="1">IF(AND(ISNUMBER($Z$256),$B$208=1),$Z$256,HLOOKUP(INDIRECT(ADDRESS(2,COLUMN())),OFFSET($BN$2,0,0,ROW()-1,60),ROW()-1,FALSE))</f>
        <v/>
      </c>
      <c r="AA51" t="str">
        <f ca="1">IF(AND(ISNUMBER($AA$256),$B$208=1),$AA$256,HLOOKUP(INDIRECT(ADDRESS(2,COLUMN())),OFFSET($BN$2,0,0,ROW()-1,60),ROW()-1,FALSE))</f>
        <v/>
      </c>
      <c r="AB51" t="str">
        <f ca="1">IF(AND(ISNUMBER($AB$256),$B$208=1),$AB$256,HLOOKUP(INDIRECT(ADDRESS(2,COLUMN())),OFFSET($BN$2,0,0,ROW()-1,60),ROW()-1,FALSE))</f>
        <v/>
      </c>
      <c r="AC51" t="str">
        <f ca="1">IF(AND(ISNUMBER($AC$256),$B$208=1),$AC$256,HLOOKUP(INDIRECT(ADDRESS(2,COLUMN())),OFFSET($BN$2,0,0,ROW()-1,60),ROW()-1,FALSE))</f>
        <v/>
      </c>
      <c r="AD51" t="str">
        <f ca="1">IF(AND(ISNUMBER($AD$256),$B$208=1),$AD$256,HLOOKUP(INDIRECT(ADDRESS(2,COLUMN())),OFFSET($BN$2,0,0,ROW()-1,60),ROW()-1,FALSE))</f>
        <v/>
      </c>
      <c r="AE51" t="str">
        <f ca="1">IF(AND(ISNUMBER($AE$256),$B$208=1),$AE$256,HLOOKUP(INDIRECT(ADDRESS(2,COLUMN())),OFFSET($BN$2,0,0,ROW()-1,60),ROW()-1,FALSE))</f>
        <v/>
      </c>
      <c r="AF51" t="str">
        <f ca="1">IF(AND(ISNUMBER($AF$256),$B$208=1),$AF$256,HLOOKUP(INDIRECT(ADDRESS(2,COLUMN())),OFFSET($BN$2,0,0,ROW()-1,60),ROW()-1,FALSE))</f>
        <v/>
      </c>
      <c r="AG51" t="str">
        <f ca="1">IF(AND(ISNUMBER($AG$256),$B$208=1),$AG$256,HLOOKUP(INDIRECT(ADDRESS(2,COLUMN())),OFFSET($BN$2,0,0,ROW()-1,60),ROW()-1,FALSE))</f>
        <v/>
      </c>
      <c r="AH51" t="str">
        <f ca="1">IF(AND(ISNUMBER($AH$256),$B$208=1),$AH$256,HLOOKUP(INDIRECT(ADDRESS(2,COLUMN())),OFFSET($BN$2,0,0,ROW()-1,60),ROW()-1,FALSE))</f>
        <v/>
      </c>
      <c r="AI51" t="str">
        <f ca="1">IF(AND(ISNUMBER($AI$256),$B$208=1),$AI$256,HLOOKUP(INDIRECT(ADDRESS(2,COLUMN())),OFFSET($BN$2,0,0,ROW()-1,60),ROW()-1,FALSE))</f>
        <v/>
      </c>
      <c r="AJ51" t="str">
        <f ca="1">IF(AND(ISNUMBER($AJ$256),$B$208=1),$AJ$256,HLOOKUP(INDIRECT(ADDRESS(2,COLUMN())),OFFSET($BN$2,0,0,ROW()-1,60),ROW()-1,FALSE))</f>
        <v/>
      </c>
      <c r="AK51" t="str">
        <f ca="1">IF(AND(ISNUMBER($AK$256),$B$208=1),$AK$256,HLOOKUP(INDIRECT(ADDRESS(2,COLUMN())),OFFSET($BN$2,0,0,ROW()-1,60),ROW()-1,FALSE))</f>
        <v/>
      </c>
      <c r="AL51" t="str">
        <f ca="1">IF(AND(ISNUMBER($AL$256),$B$208=1),$AL$256,HLOOKUP(INDIRECT(ADDRESS(2,COLUMN())),OFFSET($BN$2,0,0,ROW()-1,60),ROW()-1,FALSE))</f>
        <v/>
      </c>
      <c r="AM51" t="str">
        <f ca="1">IF(AND(ISNUMBER($AM$256),$B$208=1),$AM$256,HLOOKUP(INDIRECT(ADDRESS(2,COLUMN())),OFFSET($BN$2,0,0,ROW()-1,60),ROW()-1,FALSE))</f>
        <v/>
      </c>
      <c r="AN51" t="str">
        <f ca="1">IF(AND(ISNUMBER($AN$256),$B$208=1),$AN$256,HLOOKUP(INDIRECT(ADDRESS(2,COLUMN())),OFFSET($BN$2,0,0,ROW()-1,60),ROW()-1,FALSE))</f>
        <v/>
      </c>
      <c r="AO51" t="str">
        <f ca="1">IF(AND(ISNUMBER($AO$256),$B$208=1),$AO$256,HLOOKUP(INDIRECT(ADDRESS(2,COLUMN())),OFFSET($BN$2,0,0,ROW()-1,60),ROW()-1,FALSE))</f>
        <v/>
      </c>
      <c r="AP51" t="str">
        <f ca="1">IF(AND(ISNUMBER($AP$256),$B$208=1),$AP$256,HLOOKUP(INDIRECT(ADDRESS(2,COLUMN())),OFFSET($BN$2,0,0,ROW()-1,60),ROW()-1,FALSE))</f>
        <v/>
      </c>
      <c r="AQ51" t="str">
        <f ca="1">IF(AND(ISNUMBER($AQ$256),$B$208=1),$AQ$256,HLOOKUP(INDIRECT(ADDRESS(2,COLUMN())),OFFSET($BN$2,0,0,ROW()-1,60),ROW()-1,FALSE))</f>
        <v/>
      </c>
      <c r="AR51" t="str">
        <f ca="1">IF(AND(ISNUMBER($AR$256),$B$208=1),$AR$256,HLOOKUP(INDIRECT(ADDRESS(2,COLUMN())),OFFSET($BN$2,0,0,ROW()-1,60),ROW()-1,FALSE))</f>
        <v/>
      </c>
      <c r="AS51" t="str">
        <f ca="1">IF(AND(ISNUMBER($AS$256),$B$208=1),$AS$256,HLOOKUP(INDIRECT(ADDRESS(2,COLUMN())),OFFSET($BN$2,0,0,ROW()-1,60),ROW()-1,FALSE))</f>
        <v/>
      </c>
      <c r="AT51" t="str">
        <f ca="1">IF(AND(ISNUMBER($AT$256),$B$208=1),$AT$256,HLOOKUP(INDIRECT(ADDRESS(2,COLUMN())),OFFSET($BN$2,0,0,ROW()-1,60),ROW()-1,FALSE))</f>
        <v/>
      </c>
      <c r="AU51" t="str">
        <f ca="1">IF(AND(ISNUMBER($AU$256),$B$208=1),$AU$256,HLOOKUP(INDIRECT(ADDRESS(2,COLUMN())),OFFSET($BN$2,0,0,ROW()-1,60),ROW()-1,FALSE))</f>
        <v/>
      </c>
      <c r="AV51" t="str">
        <f ca="1">IF(AND(ISNUMBER($AV$256),$B$208=1),$AV$256,HLOOKUP(INDIRECT(ADDRESS(2,COLUMN())),OFFSET($BN$2,0,0,ROW()-1,60),ROW()-1,FALSE))</f>
        <v/>
      </c>
      <c r="AW51" t="str">
        <f ca="1">IF(AND(ISNUMBER($AW$256),$B$208=1),$AW$256,HLOOKUP(INDIRECT(ADDRESS(2,COLUMN())),OFFSET($BN$2,0,0,ROW()-1,60),ROW()-1,FALSE))</f>
        <v/>
      </c>
      <c r="AX51" t="str">
        <f ca="1">IF(AND(ISNUMBER($AX$256),$B$208=1),$AX$256,HLOOKUP(INDIRECT(ADDRESS(2,COLUMN())),OFFSET($BN$2,0,0,ROW()-1,60),ROW()-1,FALSE))</f>
        <v/>
      </c>
      <c r="AY51" t="str">
        <f ca="1">IF(AND(ISNUMBER($AY$256),$B$208=1),$AY$256,HLOOKUP(INDIRECT(ADDRESS(2,COLUMN())),OFFSET($BN$2,0,0,ROW()-1,60),ROW()-1,FALSE))</f>
        <v/>
      </c>
      <c r="AZ51" t="str">
        <f ca="1">IF(AND(ISNUMBER($AZ$256),$B$208=1),$AZ$256,HLOOKUP(INDIRECT(ADDRESS(2,COLUMN())),OFFSET($BN$2,0,0,ROW()-1,60),ROW()-1,FALSE))</f>
        <v/>
      </c>
      <c r="BA51" t="str">
        <f ca="1">IF(AND(ISNUMBER($BA$256),$B$208=1),$BA$256,HLOOKUP(INDIRECT(ADDRESS(2,COLUMN())),OFFSET($BN$2,0,0,ROW()-1,60),ROW()-1,FALSE))</f>
        <v/>
      </c>
      <c r="BB51" t="str">
        <f ca="1">IF(AND(ISNUMBER($BB$256),$B$208=1),$BB$256,HLOOKUP(INDIRECT(ADDRESS(2,COLUMN())),OFFSET($BN$2,0,0,ROW()-1,60),ROW()-1,FALSE))</f>
        <v/>
      </c>
      <c r="BC51" t="str">
        <f ca="1">IF(AND(ISNUMBER($BC$256),$B$208=1),$BC$256,HLOOKUP(INDIRECT(ADDRESS(2,COLUMN())),OFFSET($BN$2,0,0,ROW()-1,60),ROW()-1,FALSE))</f>
        <v/>
      </c>
      <c r="BD51" t="str">
        <f ca="1">IF(AND(ISNUMBER($BD$256),$B$208=1),$BD$256,HLOOKUP(INDIRECT(ADDRESS(2,COLUMN())),OFFSET($BN$2,0,0,ROW()-1,60),ROW()-1,FALSE))</f>
        <v/>
      </c>
      <c r="BE51" t="str">
        <f ca="1">IF(AND(ISNUMBER($BE$256),$B$208=1),$BE$256,HLOOKUP(INDIRECT(ADDRESS(2,COLUMN())),OFFSET($BN$2,0,0,ROW()-1,60),ROW()-1,FALSE))</f>
        <v/>
      </c>
      <c r="BF51" t="str">
        <f ca="1">IF(AND(ISNUMBER($BF$256),$B$208=1),$BF$256,HLOOKUP(INDIRECT(ADDRESS(2,COLUMN())),OFFSET($BN$2,0,0,ROW()-1,60),ROW()-1,FALSE))</f>
        <v/>
      </c>
      <c r="BG51" t="str">
        <f ca="1">IF(AND(ISNUMBER($BG$256),$B$208=1),$BG$256,HLOOKUP(INDIRECT(ADDRESS(2,COLUMN())),OFFSET($BN$2,0,0,ROW()-1,60),ROW()-1,FALSE))</f>
        <v/>
      </c>
      <c r="BH51" t="str">
        <f ca="1">IF(AND(ISNUMBER($BH$256),$B$208=1),$BH$256,HLOOKUP(INDIRECT(ADDRESS(2,COLUMN())),OFFSET($BN$2,0,0,ROW()-1,60),ROW()-1,FALSE))</f>
        <v/>
      </c>
      <c r="BI51" t="str">
        <f ca="1">IF(AND(ISNUMBER($BI$256),$B$208=1),$BI$256,HLOOKUP(INDIRECT(ADDRESS(2,COLUMN())),OFFSET($BN$2,0,0,ROW()-1,60),ROW()-1,FALSE))</f>
        <v/>
      </c>
      <c r="BJ51" t="str">
        <f ca="1">IF(AND(ISNUMBER($BJ$256),$B$208=1),$BJ$256,HLOOKUP(INDIRECT(ADDRESS(2,COLUMN())),OFFSET($BN$2,0,0,ROW()-1,60),ROW()-1,FALSE))</f>
        <v/>
      </c>
      <c r="BK51" t="str">
        <f ca="1">IF(AND(ISNUMBER($BK$256),$B$208=1),$BK$256,HLOOKUP(INDIRECT(ADDRESS(2,COLUMN())),OFFSET($BN$2,0,0,ROW()-1,60),ROW()-1,FALSE))</f>
        <v/>
      </c>
      <c r="BL51" t="str">
        <f ca="1">IF(AND(ISNUMBER($BL$256),$B$208=1),$BL$256,HLOOKUP(INDIRECT(ADDRESS(2,COLUMN())),OFFSET($BN$2,0,0,ROW()-1,60),ROW()-1,FALSE))</f>
        <v/>
      </c>
      <c r="BM51" t="str">
        <f ca="1">IF(AND(ISNUMBER($BM$256),$B$208=1),$BM$256,HLOOKUP(INDIRECT(ADDRESS(2,COLUMN())),OFFSET($BN$2,0,0,ROW()-1,60),ROW()-1,FALSE))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  <c r="BT51" t="str">
        <f>""</f>
        <v/>
      </c>
      <c r="BU51" t="str">
        <f>""</f>
        <v/>
      </c>
      <c r="BV51" t="str">
        <f>""</f>
        <v/>
      </c>
      <c r="BW51" t="str">
        <f>""</f>
        <v/>
      </c>
      <c r="BX51" t="str">
        <f>""</f>
        <v/>
      </c>
      <c r="BY51" t="str">
        <f>""</f>
        <v/>
      </c>
      <c r="BZ51" t="str">
        <f>""</f>
        <v/>
      </c>
      <c r="CA51" t="str">
        <f>""</f>
        <v/>
      </c>
      <c r="CB51" t="str">
        <f>""</f>
        <v/>
      </c>
      <c r="CC51" t="str">
        <f>""</f>
        <v/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  <c r="CH51" t="str">
        <f>""</f>
        <v/>
      </c>
      <c r="CI51" t="str">
        <f>""</f>
        <v/>
      </c>
      <c r="CJ51" t="str">
        <f>""</f>
        <v/>
      </c>
      <c r="CK51" t="str">
        <f>""</f>
        <v/>
      </c>
      <c r="CL51" t="str">
        <f>""</f>
        <v/>
      </c>
      <c r="CM51" t="str">
        <f>""</f>
        <v/>
      </c>
      <c r="CN51" t="str">
        <f>""</f>
        <v/>
      </c>
      <c r="CO51" t="str">
        <f>""</f>
        <v/>
      </c>
      <c r="CP51" t="str">
        <f>""</f>
        <v/>
      </c>
      <c r="CQ51" t="str">
        <f>""</f>
        <v/>
      </c>
      <c r="CR51" t="str">
        <f>""</f>
        <v/>
      </c>
      <c r="CS51" t="str">
        <f>""</f>
        <v/>
      </c>
      <c r="CT51" t="str">
        <f>""</f>
        <v/>
      </c>
      <c r="CU51" t="str">
        <f>""</f>
        <v/>
      </c>
      <c r="CV51" t="str">
        <f>""</f>
        <v/>
      </c>
      <c r="CW51" t="str">
        <f>""</f>
        <v/>
      </c>
      <c r="CX51" t="str">
        <f>""</f>
        <v/>
      </c>
      <c r="CY51" t="str">
        <f>""</f>
        <v/>
      </c>
      <c r="CZ51" t="str">
        <f>""</f>
        <v/>
      </c>
      <c r="DA51" t="str">
        <f>""</f>
        <v/>
      </c>
      <c r="DB51" t="str">
        <f>""</f>
        <v/>
      </c>
      <c r="DC51" t="str">
        <f>""</f>
        <v/>
      </c>
      <c r="DD51" t="str">
        <f>""</f>
        <v/>
      </c>
      <c r="DE51" t="str">
        <f>""</f>
        <v/>
      </c>
      <c r="DF51" t="str">
        <f>""</f>
        <v/>
      </c>
      <c r="DG51" t="str">
        <f>""</f>
        <v/>
      </c>
      <c r="DH51" t="str">
        <f>""</f>
        <v/>
      </c>
      <c r="DI51" t="str">
        <f>""</f>
        <v/>
      </c>
      <c r="DJ51" t="str">
        <f>""</f>
        <v/>
      </c>
      <c r="DK51" t="str">
        <f>""</f>
        <v/>
      </c>
      <c r="DL51" t="str">
        <f>""</f>
        <v/>
      </c>
      <c r="DM51" t="str">
        <f>""</f>
        <v/>
      </c>
      <c r="DN51" t="str">
        <f>""</f>
        <v/>
      </c>
      <c r="DO51" t="str">
        <f>""</f>
        <v/>
      </c>
      <c r="DP51" t="str">
        <f>""</f>
        <v/>
      </c>
      <c r="DQ51" t="str">
        <f>""</f>
        <v/>
      </c>
      <c r="DR51" t="str">
        <f>""</f>
        <v/>
      </c>
      <c r="DS51" t="str">
        <f>""</f>
        <v/>
      </c>
      <c r="DT51" t="str">
        <f>""</f>
        <v/>
      </c>
      <c r="DU51" t="str">
        <f>""</f>
        <v/>
      </c>
    </row>
    <row r="52" spans="1:125" x14ac:dyDescent="0.25">
      <c r="A52" t="str">
        <f>"    Bankinter SA"</f>
        <v xml:space="preserve">    Bankinter SA</v>
      </c>
      <c r="B52" t="str">
        <f>"BKT SM Equity"</f>
        <v>BKT SM Equity</v>
      </c>
      <c r="C52" t="str">
        <f t="shared" si="3"/>
        <v>BM109</v>
      </c>
      <c r="D52" t="str">
        <f t="shared" si="4"/>
        <v>BS_TRADING_SECURITIES_DERIVS</v>
      </c>
      <c r="E52" t="str">
        <f t="shared" si="5"/>
        <v>Dynamic</v>
      </c>
      <c r="F52" t="str">
        <f ca="1">IF(AND(ISNUMBER($F$257),$B$208=1),$F$257,HLOOKUP(INDIRECT(ADDRESS(2,COLUMN())),OFFSET($BN$2,0,0,ROW()-1,60),ROW()-1,FALSE))</f>
        <v/>
      </c>
      <c r="G52" t="str">
        <f ca="1">IF(AND(ISNUMBER($G$257),$B$208=1),$G$257,HLOOKUP(INDIRECT(ADDRESS(2,COLUMN())),OFFSET($BN$2,0,0,ROW()-1,60),ROW()-1,FALSE))</f>
        <v/>
      </c>
      <c r="H52" t="str">
        <f ca="1">IF(AND(ISNUMBER($H$257),$B$208=1),$H$257,HLOOKUP(INDIRECT(ADDRESS(2,COLUMN())),OFFSET($BN$2,0,0,ROW()-1,60),ROW()-1,FALSE))</f>
        <v/>
      </c>
      <c r="I52" t="str">
        <f ca="1">IF(AND(ISNUMBER($I$257),$B$208=1),$I$257,HLOOKUP(INDIRECT(ADDRESS(2,COLUMN())),OFFSET($BN$2,0,0,ROW()-1,60),ROW()-1,FALSE))</f>
        <v/>
      </c>
      <c r="J52">
        <f ca="1">IF(AND(ISNUMBER($J$257),$B$208=1),$J$257,HLOOKUP(INDIRECT(ADDRESS(2,COLUMN())),OFFSET($BN$2,0,0,ROW()-1,60),ROW()-1,FALSE))</f>
        <v>756.16</v>
      </c>
      <c r="K52" t="str">
        <f ca="1">IF(AND(ISNUMBER($K$257),$B$208=1),$K$257,HLOOKUP(INDIRECT(ADDRESS(2,COLUMN())),OFFSET($BN$2,0,0,ROW()-1,60),ROW()-1,FALSE))</f>
        <v/>
      </c>
      <c r="L52" t="str">
        <f ca="1">IF(AND(ISNUMBER($L$257),$B$208=1),$L$257,HLOOKUP(INDIRECT(ADDRESS(2,COLUMN())),OFFSET($BN$2,0,0,ROW()-1,60),ROW()-1,FALSE))</f>
        <v/>
      </c>
      <c r="M52" t="str">
        <f ca="1">IF(AND(ISNUMBER($M$257),$B$208=1),$M$257,HLOOKUP(INDIRECT(ADDRESS(2,COLUMN())),OFFSET($BN$2,0,0,ROW()-1,60),ROW()-1,FALSE))</f>
        <v/>
      </c>
      <c r="N52">
        <f ca="1">IF(AND(ISNUMBER($N$257),$B$208=1),$N$257,HLOOKUP(INDIRECT(ADDRESS(2,COLUMN())),OFFSET($BN$2,0,0,ROW()-1,60),ROW()-1,FALSE))</f>
        <v>1181.732</v>
      </c>
      <c r="O52" t="str">
        <f ca="1">IF(AND(ISNUMBER($O$257),$B$208=1),$O$257,HLOOKUP(INDIRECT(ADDRESS(2,COLUMN())),OFFSET($BN$2,0,0,ROW()-1,60),ROW()-1,FALSE))</f>
        <v/>
      </c>
      <c r="P52" t="str">
        <f ca="1">IF(AND(ISNUMBER($P$257),$B$208=1),$P$257,HLOOKUP(INDIRECT(ADDRESS(2,COLUMN())),OFFSET($BN$2,0,0,ROW()-1,60),ROW()-1,FALSE))</f>
        <v/>
      </c>
      <c r="Q52" t="str">
        <f ca="1">IF(AND(ISNUMBER($Q$257),$B$208=1),$Q$257,HLOOKUP(INDIRECT(ADDRESS(2,COLUMN())),OFFSET($BN$2,0,0,ROW()-1,60),ROW()-1,FALSE))</f>
        <v/>
      </c>
      <c r="R52">
        <f ca="1">IF(AND(ISNUMBER($R$257),$B$208=1),$R$257,HLOOKUP(INDIRECT(ADDRESS(2,COLUMN())),OFFSET($BN$2,0,0,ROW()-1,60),ROW()-1,FALSE))</f>
        <v>342.07</v>
      </c>
      <c r="S52" t="str">
        <f ca="1">IF(AND(ISNUMBER($S$257),$B$208=1),$S$257,HLOOKUP(INDIRECT(ADDRESS(2,COLUMN())),OFFSET($BN$2,0,0,ROW()-1,60),ROW()-1,FALSE))</f>
        <v/>
      </c>
      <c r="T52" t="str">
        <f ca="1">IF(AND(ISNUMBER($T$257),$B$208=1),$T$257,HLOOKUP(INDIRECT(ADDRESS(2,COLUMN())),OFFSET($BN$2,0,0,ROW()-1,60),ROW()-1,FALSE))</f>
        <v/>
      </c>
      <c r="U52" t="str">
        <f ca="1">IF(AND(ISNUMBER($U$257),$B$208=1),$U$257,HLOOKUP(INDIRECT(ADDRESS(2,COLUMN())),OFFSET($BN$2,0,0,ROW()-1,60),ROW()-1,FALSE))</f>
        <v/>
      </c>
      <c r="V52">
        <f ca="1">IF(AND(ISNUMBER($V$257),$B$208=1),$V$257,HLOOKUP(INDIRECT(ADDRESS(2,COLUMN())),OFFSET($BN$2,0,0,ROW()-1,60),ROW()-1,FALSE))</f>
        <v>498.92200000000003</v>
      </c>
      <c r="W52" t="str">
        <f ca="1">IF(AND(ISNUMBER($W$257),$B$208=1),$W$257,HLOOKUP(INDIRECT(ADDRESS(2,COLUMN())),OFFSET($BN$2,0,0,ROW()-1,60),ROW()-1,FALSE))</f>
        <v/>
      </c>
      <c r="X52" t="str">
        <f ca="1">IF(AND(ISNUMBER($X$257),$B$208=1),$X$257,HLOOKUP(INDIRECT(ADDRESS(2,COLUMN())),OFFSET($BN$2,0,0,ROW()-1,60),ROW()-1,FALSE))</f>
        <v/>
      </c>
      <c r="Y52" t="str">
        <f ca="1">IF(AND(ISNUMBER($Y$257),$B$208=1),$Y$257,HLOOKUP(INDIRECT(ADDRESS(2,COLUMN())),OFFSET($BN$2,0,0,ROW()-1,60),ROW()-1,FALSE))</f>
        <v/>
      </c>
      <c r="Z52">
        <f ca="1">IF(AND(ISNUMBER($Z$257),$B$208=1),$Z$257,HLOOKUP(INDIRECT(ADDRESS(2,COLUMN())),OFFSET($BN$2,0,0,ROW()-1,60),ROW()-1,FALSE))</f>
        <v>314.21499999999997</v>
      </c>
      <c r="AA52" t="str">
        <f ca="1">IF(AND(ISNUMBER($AA$257),$B$208=1),$AA$257,HLOOKUP(INDIRECT(ADDRESS(2,COLUMN())),OFFSET($BN$2,0,0,ROW()-1,60),ROW()-1,FALSE))</f>
        <v/>
      </c>
      <c r="AB52" t="str">
        <f ca="1">IF(AND(ISNUMBER($AB$257),$B$208=1),$AB$257,HLOOKUP(INDIRECT(ADDRESS(2,COLUMN())),OFFSET($BN$2,0,0,ROW()-1,60),ROW()-1,FALSE))</f>
        <v/>
      </c>
      <c r="AC52" t="str">
        <f ca="1">IF(AND(ISNUMBER($AC$257),$B$208=1),$AC$257,HLOOKUP(INDIRECT(ADDRESS(2,COLUMN())),OFFSET($BN$2,0,0,ROW()-1,60),ROW()-1,FALSE))</f>
        <v/>
      </c>
      <c r="AD52">
        <f ca="1">IF(AND(ISNUMBER($AD$257),$B$208=1),$AD$257,HLOOKUP(INDIRECT(ADDRESS(2,COLUMN())),OFFSET($BN$2,0,0,ROW()-1,60),ROW()-1,FALSE))</f>
        <v>432.233</v>
      </c>
      <c r="AE52" t="str">
        <f ca="1">IF(AND(ISNUMBER($AE$257),$B$208=1),$AE$257,HLOOKUP(INDIRECT(ADDRESS(2,COLUMN())),OFFSET($BN$2,0,0,ROW()-1,60),ROW()-1,FALSE))</f>
        <v/>
      </c>
      <c r="AF52" t="str">
        <f ca="1">IF(AND(ISNUMBER($AF$257),$B$208=1),$AF$257,HLOOKUP(INDIRECT(ADDRESS(2,COLUMN())),OFFSET($BN$2,0,0,ROW()-1,60),ROW()-1,FALSE))</f>
        <v/>
      </c>
      <c r="AG52" t="str">
        <f ca="1">IF(AND(ISNUMBER($AG$257),$B$208=1),$AG$257,HLOOKUP(INDIRECT(ADDRESS(2,COLUMN())),OFFSET($BN$2,0,0,ROW()-1,60),ROW()-1,FALSE))</f>
        <v/>
      </c>
      <c r="AH52">
        <f ca="1">IF(AND(ISNUMBER($AH$257),$B$208=1),$AH$257,HLOOKUP(INDIRECT(ADDRESS(2,COLUMN())),OFFSET($BN$2,0,0,ROW()-1,60),ROW()-1,FALSE))</f>
        <v>268.303</v>
      </c>
      <c r="AI52" t="str">
        <f ca="1">IF(AND(ISNUMBER($AI$257),$B$208=1),$AI$257,HLOOKUP(INDIRECT(ADDRESS(2,COLUMN())),OFFSET($BN$2,0,0,ROW()-1,60),ROW()-1,FALSE))</f>
        <v/>
      </c>
      <c r="AJ52" t="str">
        <f ca="1">IF(AND(ISNUMBER($AJ$257),$B$208=1),$AJ$257,HLOOKUP(INDIRECT(ADDRESS(2,COLUMN())),OFFSET($BN$2,0,0,ROW()-1,60),ROW()-1,FALSE))</f>
        <v/>
      </c>
      <c r="AK52" t="str">
        <f ca="1">IF(AND(ISNUMBER($AK$257),$B$208=1),$AK$257,HLOOKUP(INDIRECT(ADDRESS(2,COLUMN())),OFFSET($BN$2,0,0,ROW()-1,60),ROW()-1,FALSE))</f>
        <v/>
      </c>
      <c r="AL52">
        <f ca="1">IF(AND(ISNUMBER($AL$257),$B$208=1),$AL$257,HLOOKUP(INDIRECT(ADDRESS(2,COLUMN())),OFFSET($BN$2,0,0,ROW()-1,60),ROW()-1,FALSE))</f>
        <v>386.89699999999999</v>
      </c>
      <c r="AM52" t="str">
        <f ca="1">IF(AND(ISNUMBER($AM$257),$B$208=1),$AM$257,HLOOKUP(INDIRECT(ADDRESS(2,COLUMN())),OFFSET($BN$2,0,0,ROW()-1,60),ROW()-1,FALSE))</f>
        <v/>
      </c>
      <c r="AN52" t="str">
        <f ca="1">IF(AND(ISNUMBER($AN$257),$B$208=1),$AN$257,HLOOKUP(INDIRECT(ADDRESS(2,COLUMN())),OFFSET($BN$2,0,0,ROW()-1,60),ROW()-1,FALSE))</f>
        <v/>
      </c>
      <c r="AO52" t="str">
        <f ca="1">IF(AND(ISNUMBER($AO$257),$B$208=1),$AO$257,HLOOKUP(INDIRECT(ADDRESS(2,COLUMN())),OFFSET($BN$2,0,0,ROW()-1,60),ROW()-1,FALSE))</f>
        <v/>
      </c>
      <c r="AP52">
        <f ca="1">IF(AND(ISNUMBER($AP$257),$B$208=1),$AP$257,HLOOKUP(INDIRECT(ADDRESS(2,COLUMN())),OFFSET($BN$2,0,0,ROW()-1,60),ROW()-1,FALSE))</f>
        <v>356.041</v>
      </c>
      <c r="AQ52" t="str">
        <f ca="1">IF(AND(ISNUMBER($AQ$257),$B$208=1),$AQ$257,HLOOKUP(INDIRECT(ADDRESS(2,COLUMN())),OFFSET($BN$2,0,0,ROW()-1,60),ROW()-1,FALSE))</f>
        <v/>
      </c>
      <c r="AR52">
        <f ca="1">IF(AND(ISNUMBER($AR$257),$B$208=1),$AR$257,HLOOKUP(INDIRECT(ADDRESS(2,COLUMN())),OFFSET($BN$2,0,0,ROW()-1,60),ROW()-1,FALSE))</f>
        <v>240.471</v>
      </c>
      <c r="AS52" t="str">
        <f ca="1">IF(AND(ISNUMBER($AS$257),$B$208=1),$AS$257,HLOOKUP(INDIRECT(ADDRESS(2,COLUMN())),OFFSET($BN$2,0,0,ROW()-1,60),ROW()-1,FALSE))</f>
        <v/>
      </c>
      <c r="AT52">
        <f ca="1">IF(AND(ISNUMBER($AT$257),$B$208=1),$AT$257,HLOOKUP(INDIRECT(ADDRESS(2,COLUMN())),OFFSET($BN$2,0,0,ROW()-1,60),ROW()-1,FALSE))</f>
        <v>436.95800000000003</v>
      </c>
      <c r="AU52" t="str">
        <f ca="1">IF(AND(ISNUMBER($AU$257),$B$208=1),$AU$257,HLOOKUP(INDIRECT(ADDRESS(2,COLUMN())),OFFSET($BN$2,0,0,ROW()-1,60),ROW()-1,FALSE))</f>
        <v/>
      </c>
      <c r="AV52">
        <f ca="1">IF(AND(ISNUMBER($AV$257),$B$208=1),$AV$257,HLOOKUP(INDIRECT(ADDRESS(2,COLUMN())),OFFSET($BN$2,0,0,ROW()-1,60),ROW()-1,FALSE))</f>
        <v>320.87400000000002</v>
      </c>
      <c r="AW52" t="str">
        <f ca="1">IF(AND(ISNUMBER($AW$257),$B$208=1),$AW$257,HLOOKUP(INDIRECT(ADDRESS(2,COLUMN())),OFFSET($BN$2,0,0,ROW()-1,60),ROW()-1,FALSE))</f>
        <v/>
      </c>
      <c r="AX52">
        <f ca="1">IF(AND(ISNUMBER($AX$257),$B$208=1),$AX$257,HLOOKUP(INDIRECT(ADDRESS(2,COLUMN())),OFFSET($BN$2,0,0,ROW()-1,60),ROW()-1,FALSE))</f>
        <v>643.68899999999996</v>
      </c>
      <c r="AY52" t="str">
        <f ca="1">IF(AND(ISNUMBER($AY$257),$B$208=1),$AY$257,HLOOKUP(INDIRECT(ADDRESS(2,COLUMN())),OFFSET($BN$2,0,0,ROW()-1,60),ROW()-1,FALSE))</f>
        <v/>
      </c>
      <c r="AZ52">
        <f ca="1">IF(AND(ISNUMBER($AZ$257),$B$208=1),$AZ$257,HLOOKUP(INDIRECT(ADDRESS(2,COLUMN())),OFFSET($BN$2,0,0,ROW()-1,60),ROW()-1,FALSE))</f>
        <v>574.49800000000005</v>
      </c>
      <c r="BA52" t="str">
        <f ca="1">IF(AND(ISNUMBER($BA$257),$B$208=1),$BA$257,HLOOKUP(INDIRECT(ADDRESS(2,COLUMN())),OFFSET($BN$2,0,0,ROW()-1,60),ROW()-1,FALSE))</f>
        <v/>
      </c>
      <c r="BB52">
        <f ca="1">IF(AND(ISNUMBER($BB$257),$B$208=1),$BB$257,HLOOKUP(INDIRECT(ADDRESS(2,COLUMN())),OFFSET($BN$2,0,0,ROW()-1,60),ROW()-1,FALSE))</f>
        <v>656.51099999999997</v>
      </c>
      <c r="BC52" t="str">
        <f ca="1">IF(AND(ISNUMBER($BC$257),$B$208=1),$BC$257,HLOOKUP(INDIRECT(ADDRESS(2,COLUMN())),OFFSET($BN$2,0,0,ROW()-1,60),ROW()-1,FALSE))</f>
        <v/>
      </c>
      <c r="BD52">
        <f ca="1">IF(AND(ISNUMBER($BD$257),$B$208=1),$BD$257,HLOOKUP(INDIRECT(ADDRESS(2,COLUMN())),OFFSET($BN$2,0,0,ROW()-1,60),ROW()-1,FALSE))</f>
        <v>566.45299999999997</v>
      </c>
      <c r="BE52" t="str">
        <f ca="1">IF(AND(ISNUMBER($BE$257),$B$208=1),$BE$257,HLOOKUP(INDIRECT(ADDRESS(2,COLUMN())),OFFSET($BN$2,0,0,ROW()-1,60),ROW()-1,FALSE))</f>
        <v/>
      </c>
      <c r="BF52" t="str">
        <f ca="1">IF(AND(ISNUMBER($BF$257),$B$208=1),$BF$257,HLOOKUP(INDIRECT(ADDRESS(2,COLUMN())),OFFSET($BN$2,0,0,ROW()-1,60),ROW()-1,FALSE))</f>
        <v/>
      </c>
      <c r="BG52" t="str">
        <f ca="1">IF(AND(ISNUMBER($BG$257),$B$208=1),$BG$257,HLOOKUP(INDIRECT(ADDRESS(2,COLUMN())),OFFSET($BN$2,0,0,ROW()-1,60),ROW()-1,FALSE))</f>
        <v/>
      </c>
      <c r="BH52" t="str">
        <f ca="1">IF(AND(ISNUMBER($BH$257),$B$208=1),$BH$257,HLOOKUP(INDIRECT(ADDRESS(2,COLUMN())),OFFSET($BN$2,0,0,ROW()-1,60),ROW()-1,FALSE))</f>
        <v/>
      </c>
      <c r="BI52" t="str">
        <f ca="1">IF(AND(ISNUMBER($BI$257),$B$208=1),$BI$257,HLOOKUP(INDIRECT(ADDRESS(2,COLUMN())),OFFSET($BN$2,0,0,ROW()-1,60),ROW()-1,FALSE))</f>
        <v/>
      </c>
      <c r="BJ52" t="str">
        <f ca="1">IF(AND(ISNUMBER($BJ$257),$B$208=1),$BJ$257,HLOOKUP(INDIRECT(ADDRESS(2,COLUMN())),OFFSET($BN$2,0,0,ROW()-1,60),ROW()-1,FALSE))</f>
        <v/>
      </c>
      <c r="BK52" t="str">
        <f ca="1">IF(AND(ISNUMBER($BK$257),$B$208=1),$BK$257,HLOOKUP(INDIRECT(ADDRESS(2,COLUMN())),OFFSET($BN$2,0,0,ROW()-1,60),ROW()-1,FALSE))</f>
        <v/>
      </c>
      <c r="BL52" t="str">
        <f ca="1">IF(AND(ISNUMBER($BL$257),$B$208=1),$BL$257,HLOOKUP(INDIRECT(ADDRESS(2,COLUMN())),OFFSET($BN$2,0,0,ROW()-1,60),ROW()-1,FALSE))</f>
        <v/>
      </c>
      <c r="BM52" t="str">
        <f ca="1">IF(AND(ISNUMBER($BM$257),$B$208=1),$BM$257,HLOOKUP(INDIRECT(ADDRESS(2,COLUMN())),OFFSET($BN$2,0,0,ROW()-1,60),ROW()-1,FALSE))</f>
        <v/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>
        <f>756.16</f>
        <v>756.16</v>
      </c>
      <c r="BS52" t="str">
        <f>""</f>
        <v/>
      </c>
      <c r="BT52" t="str">
        <f>""</f>
        <v/>
      </c>
      <c r="BU52" t="str">
        <f>""</f>
        <v/>
      </c>
      <c r="BV52">
        <f>1181.732</f>
        <v>1181.732</v>
      </c>
      <c r="BW52" t="str">
        <f>""</f>
        <v/>
      </c>
      <c r="BX52" t="str">
        <f>""</f>
        <v/>
      </c>
      <c r="BY52" t="str">
        <f>""</f>
        <v/>
      </c>
      <c r="BZ52">
        <f>342.07</f>
        <v>342.07</v>
      </c>
      <c r="CA52" t="str">
        <f>""</f>
        <v/>
      </c>
      <c r="CB52" t="str">
        <f>""</f>
        <v/>
      </c>
      <c r="CC52" t="str">
        <f>""</f>
        <v/>
      </c>
      <c r="CD52">
        <f>498.922</f>
        <v>498.92200000000003</v>
      </c>
      <c r="CE52" t="str">
        <f>""</f>
        <v/>
      </c>
      <c r="CF52" t="str">
        <f>""</f>
        <v/>
      </c>
      <c r="CG52" t="str">
        <f>""</f>
        <v/>
      </c>
      <c r="CH52">
        <f>314.215</f>
        <v>314.21499999999997</v>
      </c>
      <c r="CI52" t="str">
        <f>""</f>
        <v/>
      </c>
      <c r="CJ52" t="str">
        <f>""</f>
        <v/>
      </c>
      <c r="CK52" t="str">
        <f>""</f>
        <v/>
      </c>
      <c r="CL52">
        <f>432.233</f>
        <v>432.233</v>
      </c>
      <c r="CM52" t="str">
        <f>""</f>
        <v/>
      </c>
      <c r="CN52" t="str">
        <f>""</f>
        <v/>
      </c>
      <c r="CO52" t="str">
        <f>""</f>
        <v/>
      </c>
      <c r="CP52">
        <f>268.303</f>
        <v>268.303</v>
      </c>
      <c r="CQ52" t="str">
        <f>""</f>
        <v/>
      </c>
      <c r="CR52" t="str">
        <f>""</f>
        <v/>
      </c>
      <c r="CS52" t="str">
        <f>""</f>
        <v/>
      </c>
      <c r="CT52">
        <f>386.897</f>
        <v>386.89699999999999</v>
      </c>
      <c r="CU52" t="str">
        <f>""</f>
        <v/>
      </c>
      <c r="CV52" t="str">
        <f>""</f>
        <v/>
      </c>
      <c r="CW52" t="str">
        <f>""</f>
        <v/>
      </c>
      <c r="CX52">
        <f>356.041</f>
        <v>356.041</v>
      </c>
      <c r="CY52" t="str">
        <f>""</f>
        <v/>
      </c>
      <c r="CZ52">
        <f>240.471</f>
        <v>240.471</v>
      </c>
      <c r="DA52" t="str">
        <f>""</f>
        <v/>
      </c>
      <c r="DB52">
        <f>436.958</f>
        <v>436.95800000000003</v>
      </c>
      <c r="DC52" t="str">
        <f>""</f>
        <v/>
      </c>
      <c r="DD52">
        <f>320.874</f>
        <v>320.87400000000002</v>
      </c>
      <c r="DE52" t="str">
        <f>""</f>
        <v/>
      </c>
      <c r="DF52">
        <f>643.689</f>
        <v>643.68899999999996</v>
      </c>
      <c r="DG52" t="str">
        <f>""</f>
        <v/>
      </c>
      <c r="DH52">
        <f>574.498</f>
        <v>574.49800000000005</v>
      </c>
      <c r="DI52" t="str">
        <f>""</f>
        <v/>
      </c>
      <c r="DJ52">
        <f>656.511</f>
        <v>656.51099999999997</v>
      </c>
      <c r="DK52" t="str">
        <f>""</f>
        <v/>
      </c>
      <c r="DL52">
        <f>566.453</f>
        <v>566.45299999999997</v>
      </c>
      <c r="DM52" t="str">
        <f>""</f>
        <v/>
      </c>
      <c r="DN52" t="str">
        <f>""</f>
        <v/>
      </c>
      <c r="DO52" t="str">
        <f>""</f>
        <v/>
      </c>
      <c r="DP52" t="str">
        <f>""</f>
        <v/>
      </c>
      <c r="DQ52" t="str">
        <f>""</f>
        <v/>
      </c>
      <c r="DR52" t="str">
        <f>""</f>
        <v/>
      </c>
      <c r="DS52" t="str">
        <f>""</f>
        <v/>
      </c>
      <c r="DT52" t="str">
        <f>""</f>
        <v/>
      </c>
      <c r="DU52" t="str">
        <f>""</f>
        <v/>
      </c>
    </row>
    <row r="53" spans="1:125" x14ac:dyDescent="0.25">
      <c r="A53" t="str">
        <f>"    CaixaBank SA"</f>
        <v xml:space="preserve">    CaixaBank SA</v>
      </c>
      <c r="B53" t="str">
        <f>"CABK SM Equity"</f>
        <v>CABK SM Equity</v>
      </c>
      <c r="C53" t="str">
        <f t="shared" si="3"/>
        <v>BM109</v>
      </c>
      <c r="D53" t="str">
        <f t="shared" si="4"/>
        <v>BS_TRADING_SECURITIES_DERIVS</v>
      </c>
      <c r="E53" t="str">
        <f t="shared" si="5"/>
        <v>Dynamic</v>
      </c>
      <c r="F53" t="str">
        <f ca="1">IF(AND(ISNUMBER($F$258),$B$208=1),$F$258,HLOOKUP(INDIRECT(ADDRESS(2,COLUMN())),OFFSET($BN$2,0,0,ROW()-1,60),ROW()-1,FALSE))</f>
        <v/>
      </c>
      <c r="G53" t="str">
        <f ca="1">IF(AND(ISNUMBER($G$258),$B$208=1),$G$258,HLOOKUP(INDIRECT(ADDRESS(2,COLUMN())),OFFSET($BN$2,0,0,ROW()-1,60),ROW()-1,FALSE))</f>
        <v/>
      </c>
      <c r="H53" t="str">
        <f ca="1">IF(AND(ISNUMBER($H$258),$B$208=1),$H$258,HLOOKUP(INDIRECT(ADDRESS(2,COLUMN())),OFFSET($BN$2,0,0,ROW()-1,60),ROW()-1,FALSE))</f>
        <v/>
      </c>
      <c r="I53" t="str">
        <f ca="1">IF(AND(ISNUMBER($I$258),$B$208=1),$I$258,HLOOKUP(INDIRECT(ADDRESS(2,COLUMN())),OFFSET($BN$2,0,0,ROW()-1,60),ROW()-1,FALSE))</f>
        <v/>
      </c>
      <c r="J53">
        <f ca="1">IF(AND(ISNUMBER($J$258),$B$208=1),$J$258,HLOOKUP(INDIRECT(ADDRESS(2,COLUMN())),OFFSET($BN$2,0,0,ROW()-1,60),ROW()-1,FALSE))</f>
        <v>6344</v>
      </c>
      <c r="K53" t="str">
        <f ca="1">IF(AND(ISNUMBER($K$258),$B$208=1),$K$258,HLOOKUP(INDIRECT(ADDRESS(2,COLUMN())),OFFSET($BN$2,0,0,ROW()-1,60),ROW()-1,FALSE))</f>
        <v/>
      </c>
      <c r="L53">
        <f ca="1">IF(AND(ISNUMBER($L$258),$B$208=1),$L$258,HLOOKUP(INDIRECT(ADDRESS(2,COLUMN())),OFFSET($BN$2,0,0,ROW()-1,60),ROW()-1,FALSE))</f>
        <v>6894</v>
      </c>
      <c r="M53" t="str">
        <f ca="1">IF(AND(ISNUMBER($M$258),$B$208=1),$M$258,HLOOKUP(INDIRECT(ADDRESS(2,COLUMN())),OFFSET($BN$2,0,0,ROW()-1,60),ROW()-1,FALSE))</f>
        <v/>
      </c>
      <c r="N53">
        <f ca="1">IF(AND(ISNUMBER($N$258),$B$208=1),$N$258,HLOOKUP(INDIRECT(ADDRESS(2,COLUMN())),OFFSET($BN$2,0,0,ROW()-1,60),ROW()-1,FALSE))</f>
        <v>6963</v>
      </c>
      <c r="O53" t="str">
        <f ca="1">IF(AND(ISNUMBER($O$258),$B$208=1),$O$258,HLOOKUP(INDIRECT(ADDRESS(2,COLUMN())),OFFSET($BN$2,0,0,ROW()-1,60),ROW()-1,FALSE))</f>
        <v/>
      </c>
      <c r="P53">
        <f ca="1">IF(AND(ISNUMBER($P$258),$B$208=1),$P$258,HLOOKUP(INDIRECT(ADDRESS(2,COLUMN())),OFFSET($BN$2,0,0,ROW()-1,60),ROW()-1,FALSE))</f>
        <v>7502</v>
      </c>
      <c r="Q53" t="str">
        <f ca="1">IF(AND(ISNUMBER($Q$258),$B$208=1),$Q$258,HLOOKUP(INDIRECT(ADDRESS(2,COLUMN())),OFFSET($BN$2,0,0,ROW()-1,60),ROW()-1,FALSE))</f>
        <v/>
      </c>
      <c r="R53">
        <f ca="1">IF(AND(ISNUMBER($R$258),$B$208=1),$R$258,HLOOKUP(INDIRECT(ADDRESS(2,COLUMN())),OFFSET($BN$2,0,0,ROW()-1,60),ROW()-1,FALSE))</f>
        <v>10319</v>
      </c>
      <c r="S53" t="str">
        <f ca="1">IF(AND(ISNUMBER($S$258),$B$208=1),$S$258,HLOOKUP(INDIRECT(ADDRESS(2,COLUMN())),OFFSET($BN$2,0,0,ROW()-1,60),ROW()-1,FALSE))</f>
        <v/>
      </c>
      <c r="T53">
        <f ca="1">IF(AND(ISNUMBER($T$258),$B$208=1),$T$258,HLOOKUP(INDIRECT(ADDRESS(2,COLUMN())),OFFSET($BN$2,0,0,ROW()-1,60),ROW()-1,FALSE))</f>
        <v>10953</v>
      </c>
      <c r="U53" t="str">
        <f ca="1">IF(AND(ISNUMBER($U$258),$B$208=1),$U$258,HLOOKUP(INDIRECT(ADDRESS(2,COLUMN())),OFFSET($BN$2,0,0,ROW()-1,60),ROW()-1,FALSE))</f>
        <v/>
      </c>
      <c r="V53">
        <f ca="1">IF(AND(ISNUMBER($V$258),$B$208=1),$V$258,HLOOKUP(INDIRECT(ADDRESS(2,COLUMN())),OFFSET($BN$2,0,0,ROW()-1,60),ROW()-1,FALSE))</f>
        <v>5301</v>
      </c>
      <c r="W53" t="str">
        <f ca="1">IF(AND(ISNUMBER($W$258),$B$208=1),$W$258,HLOOKUP(INDIRECT(ADDRESS(2,COLUMN())),OFFSET($BN$2,0,0,ROW()-1,60),ROW()-1,FALSE))</f>
        <v/>
      </c>
      <c r="X53" t="str">
        <f ca="1">IF(AND(ISNUMBER($X$258),$B$208=1),$X$258,HLOOKUP(INDIRECT(ADDRESS(2,COLUMN())),OFFSET($BN$2,0,0,ROW()-1,60),ROW()-1,FALSE))</f>
        <v/>
      </c>
      <c r="Y53" t="str">
        <f ca="1">IF(AND(ISNUMBER($Y$258),$B$208=1),$Y$258,HLOOKUP(INDIRECT(ADDRESS(2,COLUMN())),OFFSET($BN$2,0,0,ROW()-1,60),ROW()-1,FALSE))</f>
        <v/>
      </c>
      <c r="Z53">
        <f ca="1">IF(AND(ISNUMBER($Z$258),$B$208=1),$Z$258,HLOOKUP(INDIRECT(ADDRESS(2,COLUMN())),OFFSET($BN$2,0,0,ROW()-1,60),ROW()-1,FALSE))</f>
        <v>6194</v>
      </c>
      <c r="AA53" t="str">
        <f ca="1">IF(AND(ISNUMBER($AA$258),$B$208=1),$AA$258,HLOOKUP(INDIRECT(ADDRESS(2,COLUMN())),OFFSET($BN$2,0,0,ROW()-1,60),ROW()-1,FALSE))</f>
        <v/>
      </c>
      <c r="AB53">
        <f ca="1">IF(AND(ISNUMBER($AB$258),$B$208=1),$AB$258,HLOOKUP(INDIRECT(ADDRESS(2,COLUMN())),OFFSET($BN$2,0,0,ROW()-1,60),ROW()-1,FALSE))</f>
        <v>10819.432000000001</v>
      </c>
      <c r="AC53" t="str">
        <f ca="1">IF(AND(ISNUMBER($AC$258),$B$208=1),$AC$258,HLOOKUP(INDIRECT(ADDRESS(2,COLUMN())),OFFSET($BN$2,0,0,ROW()-1,60),ROW()-1,FALSE))</f>
        <v/>
      </c>
      <c r="AD53">
        <f ca="1">IF(AND(ISNUMBER($AD$258),$B$208=1),$AD$258,HLOOKUP(INDIRECT(ADDRESS(2,COLUMN())),OFFSET($BN$2,0,0,ROW()-1,60),ROW()-1,FALSE))</f>
        <v>8707</v>
      </c>
      <c r="AE53" t="str">
        <f ca="1">IF(AND(ISNUMBER($AE$258),$B$208=1),$AE$258,HLOOKUP(INDIRECT(ADDRESS(2,COLUMN())),OFFSET($BN$2,0,0,ROW()-1,60),ROW()-1,FALSE))</f>
        <v/>
      </c>
      <c r="AF53" t="str">
        <f ca="1">IF(AND(ISNUMBER($AF$258),$B$208=1),$AF$258,HLOOKUP(INDIRECT(ADDRESS(2,COLUMN())),OFFSET($BN$2,0,0,ROW()-1,60),ROW()-1,FALSE))</f>
        <v/>
      </c>
      <c r="AG53" t="str">
        <f ca="1">IF(AND(ISNUMBER($AG$258),$B$208=1),$AG$258,HLOOKUP(INDIRECT(ADDRESS(2,COLUMN())),OFFSET($BN$2,0,0,ROW()-1,60),ROW()-1,FALSE))</f>
        <v/>
      </c>
      <c r="AH53">
        <f ca="1">IF(AND(ISNUMBER($AH$258),$B$208=1),$AH$258,HLOOKUP(INDIRECT(ADDRESS(2,COLUMN())),OFFSET($BN$2,0,0,ROW()-1,60),ROW()-1,FALSE))</f>
        <v>8162.1719999999996</v>
      </c>
      <c r="AI53" t="str">
        <f ca="1">IF(AND(ISNUMBER($AI$258),$B$208=1),$AI$258,HLOOKUP(INDIRECT(ADDRESS(2,COLUMN())),OFFSET($BN$2,0,0,ROW()-1,60),ROW()-1,FALSE))</f>
        <v/>
      </c>
      <c r="AJ53">
        <f ca="1">IF(AND(ISNUMBER($AJ$258),$B$208=1),$AJ$258,HLOOKUP(INDIRECT(ADDRESS(2,COLUMN())),OFFSET($BN$2,0,0,ROW()-1,60),ROW()-1,FALSE))</f>
        <v>8787.0550000000003</v>
      </c>
      <c r="AK53" t="str">
        <f ca="1">IF(AND(ISNUMBER($AK$258),$B$208=1),$AK$258,HLOOKUP(INDIRECT(ADDRESS(2,COLUMN())),OFFSET($BN$2,0,0,ROW()-1,60),ROW()-1,FALSE))</f>
        <v/>
      </c>
      <c r="AL53">
        <f ca="1">IF(AND(ISNUMBER($AL$258),$B$208=1),$AL$258,HLOOKUP(INDIRECT(ADDRESS(2,COLUMN())),OFFSET($BN$2,0,0,ROW()-1,60),ROW()-1,FALSE))</f>
        <v>9575.8320000000003</v>
      </c>
      <c r="AM53" t="str">
        <f ca="1">IF(AND(ISNUMBER($AM$258),$B$208=1),$AM$258,HLOOKUP(INDIRECT(ADDRESS(2,COLUMN())),OFFSET($BN$2,0,0,ROW()-1,60),ROW()-1,FALSE))</f>
        <v/>
      </c>
      <c r="AN53" t="str">
        <f ca="1">IF(AND(ISNUMBER($AN$258),$B$208=1),$AN$258,HLOOKUP(INDIRECT(ADDRESS(2,COLUMN())),OFFSET($BN$2,0,0,ROW()-1,60),ROW()-1,FALSE))</f>
        <v/>
      </c>
      <c r="AO53" t="str">
        <f ca="1">IF(AND(ISNUMBER($AO$258),$B$208=1),$AO$258,HLOOKUP(INDIRECT(ADDRESS(2,COLUMN())),OFFSET($BN$2,0,0,ROW()-1,60),ROW()-1,FALSE))</f>
        <v/>
      </c>
      <c r="AP53">
        <f ca="1">IF(AND(ISNUMBER($AP$258),$B$208=1),$AP$258,HLOOKUP(INDIRECT(ADDRESS(2,COLUMN())),OFFSET($BN$2,0,0,ROW()-1,60),ROW()-1,FALSE))</f>
        <v>9806.1910000000007</v>
      </c>
      <c r="AQ53" t="str">
        <f ca="1">IF(AND(ISNUMBER($AQ$258),$B$208=1),$AQ$258,HLOOKUP(INDIRECT(ADDRESS(2,COLUMN())),OFFSET($BN$2,0,0,ROW()-1,60),ROW()-1,FALSE))</f>
        <v/>
      </c>
      <c r="AR53" t="str">
        <f ca="1">IF(AND(ISNUMBER($AR$258),$B$208=1),$AR$258,HLOOKUP(INDIRECT(ADDRESS(2,COLUMN())),OFFSET($BN$2,0,0,ROW()-1,60),ROW()-1,FALSE))</f>
        <v/>
      </c>
      <c r="AS53" t="str">
        <f ca="1">IF(AND(ISNUMBER($AS$258),$B$208=1),$AS$258,HLOOKUP(INDIRECT(ADDRESS(2,COLUMN())),OFFSET($BN$2,0,0,ROW()-1,60),ROW()-1,FALSE))</f>
        <v/>
      </c>
      <c r="AT53" t="str">
        <f ca="1">IF(AND(ISNUMBER($AT$258),$B$208=1),$AT$258,HLOOKUP(INDIRECT(ADDRESS(2,COLUMN())),OFFSET($BN$2,0,0,ROW()-1,60),ROW()-1,FALSE))</f>
        <v/>
      </c>
      <c r="AU53" t="str">
        <f ca="1">IF(AND(ISNUMBER($AU$258),$B$208=1),$AU$258,HLOOKUP(INDIRECT(ADDRESS(2,COLUMN())),OFFSET($BN$2,0,0,ROW()-1,60),ROW()-1,FALSE))</f>
        <v/>
      </c>
      <c r="AV53" t="str">
        <f ca="1">IF(AND(ISNUMBER($AV$258),$B$208=1),$AV$258,HLOOKUP(INDIRECT(ADDRESS(2,COLUMN())),OFFSET($BN$2,0,0,ROW()-1,60),ROW()-1,FALSE))</f>
        <v/>
      </c>
      <c r="AW53" t="str">
        <f ca="1">IF(AND(ISNUMBER($AW$258),$B$208=1),$AW$258,HLOOKUP(INDIRECT(ADDRESS(2,COLUMN())),OFFSET($BN$2,0,0,ROW()-1,60),ROW()-1,FALSE))</f>
        <v/>
      </c>
      <c r="AX53" t="str">
        <f ca="1">IF(AND(ISNUMBER($AX$258),$B$208=1),$AX$258,HLOOKUP(INDIRECT(ADDRESS(2,COLUMN())),OFFSET($BN$2,0,0,ROW()-1,60),ROW()-1,FALSE))</f>
        <v/>
      </c>
      <c r="AY53" t="str">
        <f ca="1">IF(AND(ISNUMBER($AY$258),$B$208=1),$AY$258,HLOOKUP(INDIRECT(ADDRESS(2,COLUMN())),OFFSET($BN$2,0,0,ROW()-1,60),ROW()-1,FALSE))</f>
        <v/>
      </c>
      <c r="AZ53" t="str">
        <f ca="1">IF(AND(ISNUMBER($AZ$258),$B$208=1),$AZ$258,HLOOKUP(INDIRECT(ADDRESS(2,COLUMN())),OFFSET($BN$2,0,0,ROW()-1,60),ROW()-1,FALSE))</f>
        <v/>
      </c>
      <c r="BA53" t="str">
        <f ca="1">IF(AND(ISNUMBER($BA$258),$B$208=1),$BA$258,HLOOKUP(INDIRECT(ADDRESS(2,COLUMN())),OFFSET($BN$2,0,0,ROW()-1,60),ROW()-1,FALSE))</f>
        <v/>
      </c>
      <c r="BB53" t="str">
        <f ca="1">IF(AND(ISNUMBER($BB$258),$B$208=1),$BB$258,HLOOKUP(INDIRECT(ADDRESS(2,COLUMN())),OFFSET($BN$2,0,0,ROW()-1,60),ROW()-1,FALSE))</f>
        <v/>
      </c>
      <c r="BC53" t="str">
        <f ca="1">IF(AND(ISNUMBER($BC$258),$B$208=1),$BC$258,HLOOKUP(INDIRECT(ADDRESS(2,COLUMN())),OFFSET($BN$2,0,0,ROW()-1,60),ROW()-1,FALSE))</f>
        <v/>
      </c>
      <c r="BD53" t="str">
        <f ca="1">IF(AND(ISNUMBER($BD$258),$B$208=1),$BD$258,HLOOKUP(INDIRECT(ADDRESS(2,COLUMN())),OFFSET($BN$2,0,0,ROW()-1,60),ROW()-1,FALSE))</f>
        <v/>
      </c>
      <c r="BE53" t="str">
        <f ca="1">IF(AND(ISNUMBER($BE$258),$B$208=1),$BE$258,HLOOKUP(INDIRECT(ADDRESS(2,COLUMN())),OFFSET($BN$2,0,0,ROW()-1,60),ROW()-1,FALSE))</f>
        <v/>
      </c>
      <c r="BF53" t="str">
        <f ca="1">IF(AND(ISNUMBER($BF$258),$B$208=1),$BF$258,HLOOKUP(INDIRECT(ADDRESS(2,COLUMN())),OFFSET($BN$2,0,0,ROW()-1,60),ROW()-1,FALSE))</f>
        <v/>
      </c>
      <c r="BG53" t="str">
        <f ca="1">IF(AND(ISNUMBER($BG$258),$B$208=1),$BG$258,HLOOKUP(INDIRECT(ADDRESS(2,COLUMN())),OFFSET($BN$2,0,0,ROW()-1,60),ROW()-1,FALSE))</f>
        <v/>
      </c>
      <c r="BH53" t="str">
        <f ca="1">IF(AND(ISNUMBER($BH$258),$B$208=1),$BH$258,HLOOKUP(INDIRECT(ADDRESS(2,COLUMN())),OFFSET($BN$2,0,0,ROW()-1,60),ROW()-1,FALSE))</f>
        <v/>
      </c>
      <c r="BI53" t="str">
        <f ca="1">IF(AND(ISNUMBER($BI$258),$B$208=1),$BI$258,HLOOKUP(INDIRECT(ADDRESS(2,COLUMN())),OFFSET($BN$2,0,0,ROW()-1,60),ROW()-1,FALSE))</f>
        <v/>
      </c>
      <c r="BJ53" t="str">
        <f ca="1">IF(AND(ISNUMBER($BJ$258),$B$208=1),$BJ$258,HLOOKUP(INDIRECT(ADDRESS(2,COLUMN())),OFFSET($BN$2,0,0,ROW()-1,60),ROW()-1,FALSE))</f>
        <v/>
      </c>
      <c r="BK53" t="str">
        <f ca="1">IF(AND(ISNUMBER($BK$258),$B$208=1),$BK$258,HLOOKUP(INDIRECT(ADDRESS(2,COLUMN())),OFFSET($BN$2,0,0,ROW()-1,60),ROW()-1,FALSE))</f>
        <v/>
      </c>
      <c r="BL53" t="str">
        <f ca="1">IF(AND(ISNUMBER($BL$258),$B$208=1),$BL$258,HLOOKUP(INDIRECT(ADDRESS(2,COLUMN())),OFFSET($BN$2,0,0,ROW()-1,60),ROW()-1,FALSE))</f>
        <v/>
      </c>
      <c r="BM53" t="str">
        <f ca="1">IF(AND(ISNUMBER($BM$258),$B$208=1),$BM$258,HLOOKUP(INDIRECT(ADDRESS(2,COLUMN())),OFFSET($BN$2,0,0,ROW()-1,60),ROW()-1,FALSE))</f>
        <v/>
      </c>
      <c r="BN53" t="str">
        <f>""</f>
        <v/>
      </c>
      <c r="BO53" t="str">
        <f>""</f>
        <v/>
      </c>
      <c r="BP53" t="str">
        <f>""</f>
        <v/>
      </c>
      <c r="BQ53" t="str">
        <f>""</f>
        <v/>
      </c>
      <c r="BR53">
        <f>6344</f>
        <v>6344</v>
      </c>
      <c r="BS53" t="str">
        <f>""</f>
        <v/>
      </c>
      <c r="BT53">
        <f>6894</f>
        <v>6894</v>
      </c>
      <c r="BU53" t="str">
        <f>""</f>
        <v/>
      </c>
      <c r="BV53">
        <f>6963</f>
        <v>6963</v>
      </c>
      <c r="BW53" t="str">
        <f>""</f>
        <v/>
      </c>
      <c r="BX53">
        <f>7502</f>
        <v>7502</v>
      </c>
      <c r="BY53" t="str">
        <f>""</f>
        <v/>
      </c>
      <c r="BZ53">
        <f>10319</f>
        <v>10319</v>
      </c>
      <c r="CA53" t="str">
        <f>""</f>
        <v/>
      </c>
      <c r="CB53">
        <f>10953</f>
        <v>10953</v>
      </c>
      <c r="CC53" t="str">
        <f>""</f>
        <v/>
      </c>
      <c r="CD53">
        <f>5301</f>
        <v>5301</v>
      </c>
      <c r="CE53" t="str">
        <f>""</f>
        <v/>
      </c>
      <c r="CF53" t="str">
        <f>""</f>
        <v/>
      </c>
      <c r="CG53" t="str">
        <f>""</f>
        <v/>
      </c>
      <c r="CH53">
        <f>6194</f>
        <v>6194</v>
      </c>
      <c r="CI53" t="str">
        <f>""</f>
        <v/>
      </c>
      <c r="CJ53">
        <f>10819.432</f>
        <v>10819.432000000001</v>
      </c>
      <c r="CK53" t="str">
        <f>""</f>
        <v/>
      </c>
      <c r="CL53">
        <f>8707</f>
        <v>8707</v>
      </c>
      <c r="CM53" t="str">
        <f>""</f>
        <v/>
      </c>
      <c r="CN53" t="str">
        <f>""</f>
        <v/>
      </c>
      <c r="CO53" t="str">
        <f>""</f>
        <v/>
      </c>
      <c r="CP53">
        <f>8162.172</f>
        <v>8162.1719999999996</v>
      </c>
      <c r="CQ53" t="str">
        <f>""</f>
        <v/>
      </c>
      <c r="CR53">
        <f>8787.055</f>
        <v>8787.0550000000003</v>
      </c>
      <c r="CS53" t="str">
        <f>""</f>
        <v/>
      </c>
      <c r="CT53">
        <f>9575.832</f>
        <v>9575.8320000000003</v>
      </c>
      <c r="CU53" t="str">
        <f>""</f>
        <v/>
      </c>
      <c r="CV53" t="str">
        <f>""</f>
        <v/>
      </c>
      <c r="CW53" t="str">
        <f>""</f>
        <v/>
      </c>
      <c r="CX53">
        <f>9806.191</f>
        <v>9806.1910000000007</v>
      </c>
      <c r="CY53" t="str">
        <f>""</f>
        <v/>
      </c>
      <c r="CZ53" t="str">
        <f>""</f>
        <v/>
      </c>
      <c r="DA53" t="str">
        <f>""</f>
        <v/>
      </c>
      <c r="DB53" t="str">
        <f>""</f>
        <v/>
      </c>
      <c r="DC53" t="str">
        <f>""</f>
        <v/>
      </c>
      <c r="DD53" t="str">
        <f>""</f>
        <v/>
      </c>
      <c r="DE53" t="str">
        <f>""</f>
        <v/>
      </c>
      <c r="DF53" t="str">
        <f>""</f>
        <v/>
      </c>
      <c r="DG53" t="str">
        <f>""</f>
        <v/>
      </c>
      <c r="DH53" t="str">
        <f>""</f>
        <v/>
      </c>
      <c r="DI53" t="str">
        <f>""</f>
        <v/>
      </c>
      <c r="DJ53" t="str">
        <f>""</f>
        <v/>
      </c>
      <c r="DK53" t="str">
        <f>""</f>
        <v/>
      </c>
      <c r="DL53" t="str">
        <f>""</f>
        <v/>
      </c>
      <c r="DM53" t="str">
        <f>""</f>
        <v/>
      </c>
      <c r="DN53" t="str">
        <f>""</f>
        <v/>
      </c>
      <c r="DO53" t="str">
        <f>""</f>
        <v/>
      </c>
      <c r="DP53" t="str">
        <f>""</f>
        <v/>
      </c>
      <c r="DQ53" t="str">
        <f>""</f>
        <v/>
      </c>
      <c r="DR53" t="str">
        <f>""</f>
        <v/>
      </c>
      <c r="DS53" t="str">
        <f>""</f>
        <v/>
      </c>
      <c r="DT53" t="str">
        <f>""</f>
        <v/>
      </c>
      <c r="DU53" t="str">
        <f>""</f>
        <v/>
      </c>
    </row>
    <row r="54" spans="1:125" x14ac:dyDescent="0.25">
      <c r="A54" t="str">
        <f>"    Commerzbank AG"</f>
        <v xml:space="preserve">    Commerzbank AG</v>
      </c>
      <c r="B54" t="str">
        <f>"CBK GR Equity"</f>
        <v>CBK GR Equity</v>
      </c>
      <c r="C54" t="str">
        <f t="shared" si="3"/>
        <v>BM109</v>
      </c>
      <c r="D54" t="str">
        <f t="shared" si="4"/>
        <v>BS_TRADING_SECURITIES_DERIVS</v>
      </c>
      <c r="E54" t="str">
        <f t="shared" si="5"/>
        <v>Dynamic</v>
      </c>
      <c r="F54" t="str">
        <f ca="1">IF(AND(ISNUMBER($F$259),$B$208=1),$F$259,HLOOKUP(INDIRECT(ADDRESS(2,COLUMN())),OFFSET($BN$2,0,0,ROW()-1,60),ROW()-1,FALSE))</f>
        <v/>
      </c>
      <c r="G54" t="str">
        <f ca="1">IF(AND(ISNUMBER($G$259),$B$208=1),$G$259,HLOOKUP(INDIRECT(ADDRESS(2,COLUMN())),OFFSET($BN$2,0,0,ROW()-1,60),ROW()-1,FALSE))</f>
        <v/>
      </c>
      <c r="H54">
        <f ca="1">IF(AND(ISNUMBER($H$259),$B$208=1),$H$259,HLOOKUP(INDIRECT(ADDRESS(2,COLUMN())),OFFSET($BN$2,0,0,ROW()-1,60),ROW()-1,FALSE))</f>
        <v>17529</v>
      </c>
      <c r="I54" t="str">
        <f ca="1">IF(AND(ISNUMBER($I$259),$B$208=1),$I$259,HLOOKUP(INDIRECT(ADDRESS(2,COLUMN())),OFFSET($BN$2,0,0,ROW()-1,60),ROW()-1,FALSE))</f>
        <v/>
      </c>
      <c r="J54">
        <f ca="1">IF(AND(ISNUMBER($J$259),$B$208=1),$J$259,HLOOKUP(INDIRECT(ADDRESS(2,COLUMN())),OFFSET($BN$2,0,0,ROW()-1,60),ROW()-1,FALSE))</f>
        <v>20486</v>
      </c>
      <c r="K54" t="str">
        <f ca="1">IF(AND(ISNUMBER($K$259),$B$208=1),$K$259,HLOOKUP(INDIRECT(ADDRESS(2,COLUMN())),OFFSET($BN$2,0,0,ROW()-1,60),ROW()-1,FALSE))</f>
        <v/>
      </c>
      <c r="L54">
        <f ca="1">IF(AND(ISNUMBER($L$259),$B$208=1),$L$259,HLOOKUP(INDIRECT(ADDRESS(2,COLUMN())),OFFSET($BN$2,0,0,ROW()-1,60),ROW()-1,FALSE))</f>
        <v>19276</v>
      </c>
      <c r="M54" t="str">
        <f ca="1">IF(AND(ISNUMBER($M$259),$B$208=1),$M$259,HLOOKUP(INDIRECT(ADDRESS(2,COLUMN())),OFFSET($BN$2,0,0,ROW()-1,60),ROW()-1,FALSE))</f>
        <v/>
      </c>
      <c r="N54">
        <f ca="1">IF(AND(ISNUMBER($N$259),$B$208=1),$N$259,HLOOKUP(INDIRECT(ADDRESS(2,COLUMN())),OFFSET($BN$2,0,0,ROW()-1,60),ROW()-1,FALSE))</f>
        <v>26320</v>
      </c>
      <c r="O54" t="str">
        <f ca="1">IF(AND(ISNUMBER($O$259),$B$208=1),$O$259,HLOOKUP(INDIRECT(ADDRESS(2,COLUMN())),OFFSET($BN$2,0,0,ROW()-1,60),ROW()-1,FALSE))</f>
        <v/>
      </c>
      <c r="P54">
        <f ca="1">IF(AND(ISNUMBER($P$259),$B$208=1),$P$259,HLOOKUP(INDIRECT(ADDRESS(2,COLUMN())),OFFSET($BN$2,0,0,ROW()-1,60),ROW()-1,FALSE))</f>
        <v>34846</v>
      </c>
      <c r="Q54" t="str">
        <f ca="1">IF(AND(ISNUMBER($Q$259),$B$208=1),$Q$259,HLOOKUP(INDIRECT(ADDRESS(2,COLUMN())),OFFSET($BN$2,0,0,ROW()-1,60),ROW()-1,FALSE))</f>
        <v/>
      </c>
      <c r="R54">
        <f ca="1">IF(AND(ISNUMBER($R$259),$B$208=1),$R$259,HLOOKUP(INDIRECT(ADDRESS(2,COLUMN())),OFFSET($BN$2,0,0,ROW()-1,60),ROW()-1,FALSE))</f>
        <v>29126</v>
      </c>
      <c r="S54" t="str">
        <f ca="1">IF(AND(ISNUMBER($S$259),$B$208=1),$S$259,HLOOKUP(INDIRECT(ADDRESS(2,COLUMN())),OFFSET($BN$2,0,0,ROW()-1,60),ROW()-1,FALSE))</f>
        <v/>
      </c>
      <c r="T54">
        <f ca="1">IF(AND(ISNUMBER($T$259),$B$208=1),$T$259,HLOOKUP(INDIRECT(ADDRESS(2,COLUMN())),OFFSET($BN$2,0,0,ROW()-1,60),ROW()-1,FALSE))</f>
        <v>37504</v>
      </c>
      <c r="U54" t="str">
        <f ca="1">IF(AND(ISNUMBER($U$259),$B$208=1),$U$259,HLOOKUP(INDIRECT(ADDRESS(2,COLUMN())),OFFSET($BN$2,0,0,ROW()-1,60),ROW()-1,FALSE))</f>
        <v/>
      </c>
      <c r="V54">
        <f ca="1">IF(AND(ISNUMBER($V$259),$B$208=1),$V$259,HLOOKUP(INDIRECT(ADDRESS(2,COLUMN())),OFFSET($BN$2,0,0,ROW()-1,60),ROW()-1,FALSE))</f>
        <v>45524</v>
      </c>
      <c r="W54">
        <f ca="1">IF(AND(ISNUMBER($W$259),$B$208=1),$W$259,HLOOKUP(INDIRECT(ADDRESS(2,COLUMN())),OFFSET($BN$2,0,0,ROW()-1,60),ROW()-1,FALSE))</f>
        <v>44689</v>
      </c>
      <c r="X54">
        <f ca="1">IF(AND(ISNUMBER($X$259),$B$208=1),$X$259,HLOOKUP(INDIRECT(ADDRESS(2,COLUMN())),OFFSET($BN$2,0,0,ROW()-1,60),ROW()-1,FALSE))</f>
        <v>47594</v>
      </c>
      <c r="Y54">
        <f ca="1">IF(AND(ISNUMBER($Y$259),$B$208=1),$Y$259,HLOOKUP(INDIRECT(ADDRESS(2,COLUMN())),OFFSET($BN$2,0,0,ROW()-1,60),ROW()-1,FALSE))</f>
        <v>50212</v>
      </c>
      <c r="Z54">
        <f ca="1">IF(AND(ISNUMBER($Z$259),$B$208=1),$Z$259,HLOOKUP(INDIRECT(ADDRESS(2,COLUMN())),OFFSET($BN$2,0,0,ROW()-1,60),ROW()-1,FALSE))</f>
        <v>39328</v>
      </c>
      <c r="AA54">
        <f ca="1">IF(AND(ISNUMBER($AA$259),$B$208=1),$AA$259,HLOOKUP(INDIRECT(ADDRESS(2,COLUMN())),OFFSET($BN$2,0,0,ROW()-1,60),ROW()-1,FALSE))</f>
        <v>48297</v>
      </c>
      <c r="AB54">
        <f ca="1">IF(AND(ISNUMBER($AB$259),$B$208=1),$AB$259,HLOOKUP(INDIRECT(ADDRESS(2,COLUMN())),OFFSET($BN$2,0,0,ROW()-1,60),ROW()-1,FALSE))</f>
        <v>41007</v>
      </c>
      <c r="AC54">
        <f ca="1">IF(AND(ISNUMBER($AC$259),$B$208=1),$AC$259,HLOOKUP(INDIRECT(ADDRESS(2,COLUMN())),OFFSET($BN$2,0,0,ROW()-1,60),ROW()-1,FALSE))</f>
        <v>39830</v>
      </c>
      <c r="AD54">
        <f ca="1">IF(AND(ISNUMBER($AD$259),$B$208=1),$AD$259,HLOOKUP(INDIRECT(ADDRESS(2,COLUMN())),OFFSET($BN$2,0,0,ROW()-1,60),ROW()-1,FALSE))</f>
        <v>38067</v>
      </c>
      <c r="AE54">
        <f ca="1">IF(AND(ISNUMBER($AE$259),$B$208=1),$AE$259,HLOOKUP(INDIRECT(ADDRESS(2,COLUMN())),OFFSET($BN$2,0,0,ROW()-1,60),ROW()-1,FALSE))</f>
        <v>39790</v>
      </c>
      <c r="AF54">
        <f ca="1">IF(AND(ISNUMBER($AF$259),$B$208=1),$AF$259,HLOOKUP(INDIRECT(ADDRESS(2,COLUMN())),OFFSET($BN$2,0,0,ROW()-1,60),ROW()-1,FALSE))</f>
        <v>42937</v>
      </c>
      <c r="AG54">
        <f ca="1">IF(AND(ISNUMBER($AG$259),$B$208=1),$AG$259,HLOOKUP(INDIRECT(ADDRESS(2,COLUMN())),OFFSET($BN$2,0,0,ROW()-1,60),ROW()-1,FALSE))</f>
        <v>41879</v>
      </c>
      <c r="AH54">
        <f ca="1">IF(AND(ISNUMBER($AH$259),$B$208=1),$AH$259,HLOOKUP(INDIRECT(ADDRESS(2,COLUMN())),OFFSET($BN$2,0,0,ROW()-1,60),ROW()-1,FALSE))</f>
        <v>44833</v>
      </c>
      <c r="AI54">
        <f ca="1">IF(AND(ISNUMBER($AI$259),$B$208=1),$AI$259,HLOOKUP(INDIRECT(ADDRESS(2,COLUMN())),OFFSET($BN$2,0,0,ROW()-1,60),ROW()-1,FALSE))</f>
        <v>49594</v>
      </c>
      <c r="AJ54">
        <f ca="1">IF(AND(ISNUMBER($AJ$259),$B$208=1),$AJ$259,HLOOKUP(INDIRECT(ADDRESS(2,COLUMN())),OFFSET($BN$2,0,0,ROW()-1,60),ROW()-1,FALSE))</f>
        <v>53827</v>
      </c>
      <c r="AK54">
        <f ca="1">IF(AND(ISNUMBER($AK$259),$B$208=1),$AK$259,HLOOKUP(INDIRECT(ADDRESS(2,COLUMN())),OFFSET($BN$2,0,0,ROW()-1,60),ROW()-1,FALSE))</f>
        <v>57230</v>
      </c>
      <c r="AL54">
        <f ca="1">IF(AND(ISNUMBER($AL$259),$B$208=1),$AL$259,HLOOKUP(INDIRECT(ADDRESS(2,COLUMN())),OFFSET($BN$2,0,0,ROW()-1,60),ROW()-1,FALSE))</f>
        <v>62205</v>
      </c>
      <c r="AM54">
        <f ca="1">IF(AND(ISNUMBER($AM$259),$B$208=1),$AM$259,HLOOKUP(INDIRECT(ADDRESS(2,COLUMN())),OFFSET($BN$2,0,0,ROW()-1,60),ROW()-1,FALSE))</f>
        <v>71857</v>
      </c>
      <c r="AN54">
        <f ca="1">IF(AND(ISNUMBER($AN$259),$B$208=1),$AN$259,HLOOKUP(INDIRECT(ADDRESS(2,COLUMN())),OFFSET($BN$2,0,0,ROW()-1,60),ROW()-1,FALSE))</f>
        <v>83288</v>
      </c>
      <c r="AO54">
        <f ca="1">IF(AND(ISNUMBER($AO$259),$B$208=1),$AO$259,HLOOKUP(INDIRECT(ADDRESS(2,COLUMN())),OFFSET($BN$2,0,0,ROW()-1,60),ROW()-1,FALSE))</f>
        <v>80562</v>
      </c>
      <c r="AP54">
        <f ca="1">IF(AND(ISNUMBER($AP$259),$B$208=1),$AP$259,HLOOKUP(INDIRECT(ADDRESS(2,COLUMN())),OFFSET($BN$2,0,0,ROW()-1,60),ROW()-1,FALSE))</f>
        <v>76721</v>
      </c>
      <c r="AQ54">
        <f ca="1">IF(AND(ISNUMBER($AQ$259),$B$208=1),$AQ$259,HLOOKUP(INDIRECT(ADDRESS(2,COLUMN())),OFFSET($BN$2,0,0,ROW()-1,60),ROW()-1,FALSE))</f>
        <v>80237</v>
      </c>
      <c r="AR54">
        <f ca="1">IF(AND(ISNUMBER($AR$259),$B$208=1),$AR$259,HLOOKUP(INDIRECT(ADDRESS(2,COLUMN())),OFFSET($BN$2,0,0,ROW()-1,60),ROW()-1,FALSE))</f>
        <v>77313</v>
      </c>
      <c r="AS54">
        <f ca="1">IF(AND(ISNUMBER($AS$259),$B$208=1),$AS$259,HLOOKUP(INDIRECT(ADDRESS(2,COLUMN())),OFFSET($BN$2,0,0,ROW()-1,60),ROW()-1,FALSE))</f>
        <v>105156</v>
      </c>
      <c r="AT54">
        <f ca="1">IF(AND(ISNUMBER($AT$259),$B$208=1),$AT$259,HLOOKUP(INDIRECT(ADDRESS(2,COLUMN())),OFFSET($BN$2,0,0,ROW()-1,60),ROW()-1,FALSE))</f>
        <v>89315</v>
      </c>
      <c r="AU54">
        <f ca="1">IF(AND(ISNUMBER($AU$259),$B$208=1),$AU$259,HLOOKUP(INDIRECT(ADDRESS(2,COLUMN())),OFFSET($BN$2,0,0,ROW()-1,60),ROW()-1,FALSE))</f>
        <v>82327</v>
      </c>
      <c r="AV54">
        <f ca="1">IF(AND(ISNUMBER($AV$259),$B$208=1),$AV$259,HLOOKUP(INDIRECT(ADDRESS(2,COLUMN())),OFFSET($BN$2,0,0,ROW()-1,60),ROW()-1,FALSE))</f>
        <v>68924</v>
      </c>
      <c r="AW54">
        <f ca="1">IF(AND(ISNUMBER($AW$259),$B$208=1),$AW$259,HLOOKUP(INDIRECT(ADDRESS(2,COLUMN())),OFFSET($BN$2,0,0,ROW()-1,60),ROW()-1,FALSE))</f>
        <v>66038</v>
      </c>
      <c r="AX54">
        <f ca="1">IF(AND(ISNUMBER($AX$259),$B$208=1),$AX$259,HLOOKUP(INDIRECT(ADDRESS(2,COLUMN())),OFFSET($BN$2,0,0,ROW()-1,60),ROW()-1,FALSE))</f>
        <v>65818</v>
      </c>
      <c r="AY54">
        <f ca="1">IF(AND(ISNUMBER($AY$259),$B$208=1),$AY$259,HLOOKUP(INDIRECT(ADDRESS(2,COLUMN())),OFFSET($BN$2,0,0,ROW()-1,60),ROW()-1,FALSE))</f>
        <v>72682</v>
      </c>
      <c r="AZ54">
        <f ca="1">IF(AND(ISNUMBER($AZ$259),$B$208=1),$AZ$259,HLOOKUP(INDIRECT(ADDRESS(2,COLUMN())),OFFSET($BN$2,0,0,ROW()-1,60),ROW()-1,FALSE))</f>
        <v>80042</v>
      </c>
      <c r="BA54">
        <f ca="1">IF(AND(ISNUMBER($BA$259),$B$208=1),$BA$259,HLOOKUP(INDIRECT(ADDRESS(2,COLUMN())),OFFSET($BN$2,0,0,ROW()-1,60),ROW()-1,FALSE))</f>
        <v>97333</v>
      </c>
      <c r="BB54">
        <f ca="1">IF(AND(ISNUMBER($BB$259),$B$208=1),$BB$259,HLOOKUP(INDIRECT(ADDRESS(2,COLUMN())),OFFSET($BN$2,0,0,ROW()-1,60),ROW()-1,FALSE))</f>
        <v>106400</v>
      </c>
      <c r="BC54">
        <f ca="1">IF(AND(ISNUMBER($BC$259),$B$208=1),$BC$259,HLOOKUP(INDIRECT(ADDRESS(2,COLUMN())),OFFSET($BN$2,0,0,ROW()-1,60),ROW()-1,FALSE))</f>
        <v>118133</v>
      </c>
      <c r="BD54">
        <f ca="1">IF(AND(ISNUMBER($BD$259),$B$208=1),$BD$259,HLOOKUP(INDIRECT(ADDRESS(2,COLUMN())),OFFSET($BN$2,0,0,ROW()-1,60),ROW()-1,FALSE))</f>
        <v>117079</v>
      </c>
      <c r="BE54">
        <f ca="1">IF(AND(ISNUMBER($BE$259),$B$208=1),$BE$259,HLOOKUP(INDIRECT(ADDRESS(2,COLUMN())),OFFSET($BN$2,0,0,ROW()-1,60),ROW()-1,FALSE))</f>
        <v>117332</v>
      </c>
      <c r="BF54" t="str">
        <f ca="1">IF(AND(ISNUMBER($BF$259),$B$208=1),$BF$259,HLOOKUP(INDIRECT(ADDRESS(2,COLUMN())),OFFSET($BN$2,0,0,ROW()-1,60),ROW()-1,FALSE))</f>
        <v/>
      </c>
      <c r="BG54">
        <f ca="1">IF(AND(ISNUMBER($BG$259),$B$208=1),$BG$259,HLOOKUP(INDIRECT(ADDRESS(2,COLUMN())),OFFSET($BN$2,0,0,ROW()-1,60),ROW()-1,FALSE))</f>
        <v>144949</v>
      </c>
      <c r="BH54">
        <f ca="1">IF(AND(ISNUMBER($BH$259),$B$208=1),$BH$259,HLOOKUP(INDIRECT(ADDRESS(2,COLUMN())),OFFSET($BN$2,0,0,ROW()-1,60),ROW()-1,FALSE))</f>
        <v>99795</v>
      </c>
      <c r="BI54" t="str">
        <f ca="1">IF(AND(ISNUMBER($BI$259),$B$208=1),$BI$259,HLOOKUP(INDIRECT(ADDRESS(2,COLUMN())),OFFSET($BN$2,0,0,ROW()-1,60),ROW()-1,FALSE))</f>
        <v/>
      </c>
      <c r="BJ54" t="str">
        <f ca="1">IF(AND(ISNUMBER($BJ$259),$B$208=1),$BJ$259,HLOOKUP(INDIRECT(ADDRESS(2,COLUMN())),OFFSET($BN$2,0,0,ROW()-1,60),ROW()-1,FALSE))</f>
        <v/>
      </c>
      <c r="BK54">
        <f ca="1">IF(AND(ISNUMBER($BK$259),$B$208=1),$BK$259,HLOOKUP(INDIRECT(ADDRESS(2,COLUMN())),OFFSET($BN$2,0,0,ROW()-1,60),ROW()-1,FALSE))</f>
        <v>211601</v>
      </c>
      <c r="BL54">
        <f ca="1">IF(AND(ISNUMBER($BL$259),$B$208=1),$BL$259,HLOOKUP(INDIRECT(ADDRESS(2,COLUMN())),OFFSET($BN$2,0,0,ROW()-1,60),ROW()-1,FALSE))</f>
        <v>218251</v>
      </c>
      <c r="BM54">
        <f ca="1">IF(AND(ISNUMBER($BM$259),$B$208=1),$BM$259,HLOOKUP(INDIRECT(ADDRESS(2,COLUMN())),OFFSET($BN$2,0,0,ROW()-1,60),ROW()-1,FALSE))</f>
        <v>183046</v>
      </c>
      <c r="BN54" t="str">
        <f>""</f>
        <v/>
      </c>
      <c r="BO54" t="str">
        <f>""</f>
        <v/>
      </c>
      <c r="BP54">
        <f>17529</f>
        <v>17529</v>
      </c>
      <c r="BQ54" t="str">
        <f>""</f>
        <v/>
      </c>
      <c r="BR54">
        <f>20486</f>
        <v>20486</v>
      </c>
      <c r="BS54" t="str">
        <f>""</f>
        <v/>
      </c>
      <c r="BT54">
        <f>19276</f>
        <v>19276</v>
      </c>
      <c r="BU54" t="str">
        <f>""</f>
        <v/>
      </c>
      <c r="BV54">
        <f>26320</f>
        <v>26320</v>
      </c>
      <c r="BW54" t="str">
        <f>""</f>
        <v/>
      </c>
      <c r="BX54">
        <f>34846</f>
        <v>34846</v>
      </c>
      <c r="BY54" t="str">
        <f>""</f>
        <v/>
      </c>
      <c r="BZ54">
        <f>29126</f>
        <v>29126</v>
      </c>
      <c r="CA54" t="str">
        <f>""</f>
        <v/>
      </c>
      <c r="CB54">
        <f>37504</f>
        <v>37504</v>
      </c>
      <c r="CC54" t="str">
        <f>""</f>
        <v/>
      </c>
      <c r="CD54">
        <f>45524</f>
        <v>45524</v>
      </c>
      <c r="CE54">
        <f>44689</f>
        <v>44689</v>
      </c>
      <c r="CF54">
        <f>47594</f>
        <v>47594</v>
      </c>
      <c r="CG54">
        <f>50212</f>
        <v>50212</v>
      </c>
      <c r="CH54">
        <f>39328</f>
        <v>39328</v>
      </c>
      <c r="CI54">
        <f>48297</f>
        <v>48297</v>
      </c>
      <c r="CJ54">
        <f>41007</f>
        <v>41007</v>
      </c>
      <c r="CK54">
        <f>39830</f>
        <v>39830</v>
      </c>
      <c r="CL54">
        <f>38067</f>
        <v>38067</v>
      </c>
      <c r="CM54">
        <f>39790</f>
        <v>39790</v>
      </c>
      <c r="CN54">
        <f>42937</f>
        <v>42937</v>
      </c>
      <c r="CO54">
        <f>41879</f>
        <v>41879</v>
      </c>
      <c r="CP54">
        <f>44833</f>
        <v>44833</v>
      </c>
      <c r="CQ54">
        <f>49594</f>
        <v>49594</v>
      </c>
      <c r="CR54">
        <f>53827</f>
        <v>53827</v>
      </c>
      <c r="CS54">
        <f>57230</f>
        <v>57230</v>
      </c>
      <c r="CT54">
        <f>62205</f>
        <v>62205</v>
      </c>
      <c r="CU54">
        <f>71857</f>
        <v>71857</v>
      </c>
      <c r="CV54">
        <f>83288</f>
        <v>83288</v>
      </c>
      <c r="CW54">
        <f>80562</f>
        <v>80562</v>
      </c>
      <c r="CX54">
        <f>76721</f>
        <v>76721</v>
      </c>
      <c r="CY54">
        <f>80237</f>
        <v>80237</v>
      </c>
      <c r="CZ54">
        <f>77313</f>
        <v>77313</v>
      </c>
      <c r="DA54">
        <f>105156</f>
        <v>105156</v>
      </c>
      <c r="DB54">
        <f>89315</f>
        <v>89315</v>
      </c>
      <c r="DC54">
        <f>82327</f>
        <v>82327</v>
      </c>
      <c r="DD54">
        <f>68924</f>
        <v>68924</v>
      </c>
      <c r="DE54">
        <f>66038</f>
        <v>66038</v>
      </c>
      <c r="DF54">
        <f>65818</f>
        <v>65818</v>
      </c>
      <c r="DG54">
        <f>72682</f>
        <v>72682</v>
      </c>
      <c r="DH54">
        <f>80042</f>
        <v>80042</v>
      </c>
      <c r="DI54">
        <f>97333</f>
        <v>97333</v>
      </c>
      <c r="DJ54">
        <f>106400</f>
        <v>106400</v>
      </c>
      <c r="DK54">
        <f>118133</f>
        <v>118133</v>
      </c>
      <c r="DL54">
        <f>117079</f>
        <v>117079</v>
      </c>
      <c r="DM54">
        <f>117332</f>
        <v>117332</v>
      </c>
      <c r="DN54" t="str">
        <f>""</f>
        <v/>
      </c>
      <c r="DO54">
        <f>144949</f>
        <v>144949</v>
      </c>
      <c r="DP54">
        <f>99795</f>
        <v>99795</v>
      </c>
      <c r="DQ54" t="str">
        <f>""</f>
        <v/>
      </c>
      <c r="DR54" t="str">
        <f>""</f>
        <v/>
      </c>
      <c r="DS54">
        <f>211601</f>
        <v>211601</v>
      </c>
      <c r="DT54">
        <f>218251</f>
        <v>218251</v>
      </c>
      <c r="DU54">
        <f>183046</f>
        <v>183046</v>
      </c>
    </row>
    <row r="55" spans="1:125" x14ac:dyDescent="0.25">
      <c r="A55" t="str">
        <f>"    Credit Agricole SA"</f>
        <v xml:space="preserve">    Credit Agricole SA</v>
      </c>
      <c r="B55" t="str">
        <f>"ACA FP Equity"</f>
        <v>ACA FP Equity</v>
      </c>
      <c r="C55" t="str">
        <f t="shared" si="3"/>
        <v>BM109</v>
      </c>
      <c r="D55" t="str">
        <f t="shared" si="4"/>
        <v>BS_TRADING_SECURITIES_DERIVS</v>
      </c>
      <c r="E55" t="str">
        <f t="shared" si="5"/>
        <v>Dynamic</v>
      </c>
      <c r="F55">
        <f ca="1">IF(AND(ISNUMBER($F$260),$B$208=1),$F$260,HLOOKUP(INDIRECT(ADDRESS(2,COLUMN())),OFFSET($BN$2,0,0,ROW()-1,60),ROW()-1,FALSE))</f>
        <v>146171</v>
      </c>
      <c r="G55" t="str">
        <f ca="1">IF(AND(ISNUMBER($G$260),$B$208=1),$G$260,HLOOKUP(INDIRECT(ADDRESS(2,COLUMN())),OFFSET($BN$2,0,0,ROW()-1,60),ROW()-1,FALSE))</f>
        <v/>
      </c>
      <c r="H55">
        <f ca="1">IF(AND(ISNUMBER($H$260),$B$208=1),$H$260,HLOOKUP(INDIRECT(ADDRESS(2,COLUMN())),OFFSET($BN$2,0,0,ROW()-1,60),ROW()-1,FALSE))</f>
        <v>117136</v>
      </c>
      <c r="I55" t="str">
        <f ca="1">IF(AND(ISNUMBER($I$260),$B$208=1),$I$260,HLOOKUP(INDIRECT(ADDRESS(2,COLUMN())),OFFSET($BN$2,0,0,ROW()-1,60),ROW()-1,FALSE))</f>
        <v/>
      </c>
      <c r="J55">
        <f ca="1">IF(AND(ISNUMBER($J$260),$B$208=1),$J$260,HLOOKUP(INDIRECT(ADDRESS(2,COLUMN())),OFFSET($BN$2,0,0,ROW()-1,60),ROW()-1,FALSE))</f>
        <v>108404</v>
      </c>
      <c r="K55" t="str">
        <f ca="1">IF(AND(ISNUMBER($K$260),$B$208=1),$K$260,HLOOKUP(INDIRECT(ADDRESS(2,COLUMN())),OFFSET($BN$2,0,0,ROW()-1,60),ROW()-1,FALSE))</f>
        <v/>
      </c>
      <c r="L55" t="str">
        <f ca="1">IF(AND(ISNUMBER($L$260),$B$208=1),$L$260,HLOOKUP(INDIRECT(ADDRESS(2,COLUMN())),OFFSET($BN$2,0,0,ROW()-1,60),ROW()-1,FALSE))</f>
        <v/>
      </c>
      <c r="M55" t="str">
        <f ca="1">IF(AND(ISNUMBER($M$260),$B$208=1),$M$260,HLOOKUP(INDIRECT(ADDRESS(2,COLUMN())),OFFSET($BN$2,0,0,ROW()-1,60),ROW()-1,FALSE))</f>
        <v/>
      </c>
      <c r="N55">
        <f ca="1">IF(AND(ISNUMBER($N$260),$B$208=1),$N$260,HLOOKUP(INDIRECT(ADDRESS(2,COLUMN())),OFFSET($BN$2,0,0,ROW()-1,60),ROW()-1,FALSE))</f>
        <v>119573</v>
      </c>
      <c r="O55" t="str">
        <f ca="1">IF(AND(ISNUMBER($O$260),$B$208=1),$O$260,HLOOKUP(INDIRECT(ADDRESS(2,COLUMN())),OFFSET($BN$2,0,0,ROW()-1,60),ROW()-1,FALSE))</f>
        <v/>
      </c>
      <c r="P55" t="str">
        <f ca="1">IF(AND(ISNUMBER($P$260),$B$208=1),$P$260,HLOOKUP(INDIRECT(ADDRESS(2,COLUMN())),OFFSET($BN$2,0,0,ROW()-1,60),ROW()-1,FALSE))</f>
        <v/>
      </c>
      <c r="Q55" t="str">
        <f ca="1">IF(AND(ISNUMBER($Q$260),$B$208=1),$Q$260,HLOOKUP(INDIRECT(ADDRESS(2,COLUMN())),OFFSET($BN$2,0,0,ROW()-1,60),ROW()-1,FALSE))</f>
        <v/>
      </c>
      <c r="R55">
        <f ca="1">IF(AND(ISNUMBER($R$260),$B$208=1),$R$260,HLOOKUP(INDIRECT(ADDRESS(2,COLUMN())),OFFSET($BN$2,0,0,ROW()-1,60),ROW()-1,FALSE))</f>
        <v>93898</v>
      </c>
      <c r="S55" t="str">
        <f ca="1">IF(AND(ISNUMBER($S$260),$B$208=1),$S$260,HLOOKUP(INDIRECT(ADDRESS(2,COLUMN())),OFFSET($BN$2,0,0,ROW()-1,60),ROW()-1,FALSE))</f>
        <v/>
      </c>
      <c r="T55">
        <f ca="1">IF(AND(ISNUMBER($T$260),$B$208=1),$T$260,HLOOKUP(INDIRECT(ADDRESS(2,COLUMN())),OFFSET($BN$2,0,0,ROW()-1,60),ROW()-1,FALSE))</f>
        <v>95791</v>
      </c>
      <c r="U55" t="str">
        <f ca="1">IF(AND(ISNUMBER($U$260),$B$208=1),$U$260,HLOOKUP(INDIRECT(ADDRESS(2,COLUMN())),OFFSET($BN$2,0,0,ROW()-1,60),ROW()-1,FALSE))</f>
        <v/>
      </c>
      <c r="V55">
        <f ca="1">IF(AND(ISNUMBER($V$260),$B$208=1),$V$260,HLOOKUP(INDIRECT(ADDRESS(2,COLUMN())),OFFSET($BN$2,0,0,ROW()-1,60),ROW()-1,FALSE))</f>
        <v>116237</v>
      </c>
      <c r="W55" t="str">
        <f ca="1">IF(AND(ISNUMBER($W$260),$B$208=1),$W$260,HLOOKUP(INDIRECT(ADDRESS(2,COLUMN())),OFFSET($BN$2,0,0,ROW()-1,60),ROW()-1,FALSE))</f>
        <v/>
      </c>
      <c r="X55">
        <f ca="1">IF(AND(ISNUMBER($X$260),$B$208=1),$X$260,HLOOKUP(INDIRECT(ADDRESS(2,COLUMN())),OFFSET($BN$2,0,0,ROW()-1,60),ROW()-1,FALSE))</f>
        <v>124241</v>
      </c>
      <c r="Y55" t="str">
        <f ca="1">IF(AND(ISNUMBER($Y$260),$B$208=1),$Y$260,HLOOKUP(INDIRECT(ADDRESS(2,COLUMN())),OFFSET($BN$2,0,0,ROW()-1,60),ROW()-1,FALSE))</f>
        <v/>
      </c>
      <c r="Z55">
        <f ca="1">IF(AND(ISNUMBER($Z$260),$B$208=1),$Z$260,HLOOKUP(INDIRECT(ADDRESS(2,COLUMN())),OFFSET($BN$2,0,0,ROW()-1,60),ROW()-1,FALSE))</f>
        <v>100795</v>
      </c>
      <c r="AA55" t="str">
        <f ca="1">IF(AND(ISNUMBER($AA$260),$B$208=1),$AA$260,HLOOKUP(INDIRECT(ADDRESS(2,COLUMN())),OFFSET($BN$2,0,0,ROW()-1,60),ROW()-1,FALSE))</f>
        <v/>
      </c>
      <c r="AB55">
        <f ca="1">IF(AND(ISNUMBER($AB$260),$B$208=1),$AB$260,HLOOKUP(INDIRECT(ADDRESS(2,COLUMN())),OFFSET($BN$2,0,0,ROW()-1,60),ROW()-1,FALSE))</f>
        <v>111458</v>
      </c>
      <c r="AC55" t="str">
        <f ca="1">IF(AND(ISNUMBER($AC$260),$B$208=1),$AC$260,HLOOKUP(INDIRECT(ADDRESS(2,COLUMN())),OFFSET($BN$2,0,0,ROW()-1,60),ROW()-1,FALSE))</f>
        <v/>
      </c>
      <c r="AD55">
        <f ca="1">IF(AND(ISNUMBER($AD$260),$B$208=1),$AD$260,HLOOKUP(INDIRECT(ADDRESS(2,COLUMN())),OFFSET($BN$2,0,0,ROW()-1,60),ROW()-1,FALSE))</f>
        <v>94554</v>
      </c>
      <c r="AE55" t="str">
        <f ca="1">IF(AND(ISNUMBER($AE$260),$B$208=1),$AE$260,HLOOKUP(INDIRECT(ADDRESS(2,COLUMN())),OFFSET($BN$2,0,0,ROW()-1,60),ROW()-1,FALSE))</f>
        <v/>
      </c>
      <c r="AF55">
        <f ca="1">IF(AND(ISNUMBER($AF$260),$B$208=1),$AF$260,HLOOKUP(INDIRECT(ADDRESS(2,COLUMN())),OFFSET($BN$2,0,0,ROW()-1,60),ROW()-1,FALSE))</f>
        <v>99167</v>
      </c>
      <c r="AG55" t="str">
        <f ca="1">IF(AND(ISNUMBER($AG$260),$B$208=1),$AG$260,HLOOKUP(INDIRECT(ADDRESS(2,COLUMN())),OFFSET($BN$2,0,0,ROW()-1,60),ROW()-1,FALSE))</f>
        <v/>
      </c>
      <c r="AH55">
        <f ca="1">IF(AND(ISNUMBER($AH$260),$B$208=1),$AH$260,HLOOKUP(INDIRECT(ADDRESS(2,COLUMN())),OFFSET($BN$2,0,0,ROW()-1,60),ROW()-1,FALSE))</f>
        <v>105795</v>
      </c>
      <c r="AI55" t="str">
        <f ca="1">IF(AND(ISNUMBER($AI$260),$B$208=1),$AI$260,HLOOKUP(INDIRECT(ADDRESS(2,COLUMN())),OFFSET($BN$2,0,0,ROW()-1,60),ROW()-1,FALSE))</f>
        <v/>
      </c>
      <c r="AJ55">
        <f ca="1">IF(AND(ISNUMBER($AJ$260),$B$208=1),$AJ$260,HLOOKUP(INDIRECT(ADDRESS(2,COLUMN())),OFFSET($BN$2,0,0,ROW()-1,60),ROW()-1,FALSE))</f>
        <v>122753</v>
      </c>
      <c r="AK55" t="str">
        <f ca="1">IF(AND(ISNUMBER($AK$260),$B$208=1),$AK$260,HLOOKUP(INDIRECT(ADDRESS(2,COLUMN())),OFFSET($BN$2,0,0,ROW()-1,60),ROW()-1,FALSE))</f>
        <v/>
      </c>
      <c r="AL55">
        <f ca="1">IF(AND(ISNUMBER($AL$260),$B$208=1),$AL$260,HLOOKUP(INDIRECT(ADDRESS(2,COLUMN())),OFFSET($BN$2,0,0,ROW()-1,60),ROW()-1,FALSE))</f>
        <v>149308</v>
      </c>
      <c r="AM55" t="str">
        <f ca="1">IF(AND(ISNUMBER($AM$260),$B$208=1),$AM$260,HLOOKUP(INDIRECT(ADDRESS(2,COLUMN())),OFFSET($BN$2,0,0,ROW()-1,60),ROW()-1,FALSE))</f>
        <v/>
      </c>
      <c r="AN55" t="str">
        <f ca="1">IF(AND(ISNUMBER($AN$260),$B$208=1),$AN$260,HLOOKUP(INDIRECT(ADDRESS(2,COLUMN())),OFFSET($BN$2,0,0,ROW()-1,60),ROW()-1,FALSE))</f>
        <v/>
      </c>
      <c r="AO55" t="str">
        <f ca="1">IF(AND(ISNUMBER($AO$260),$B$208=1),$AO$260,HLOOKUP(INDIRECT(ADDRESS(2,COLUMN())),OFFSET($BN$2,0,0,ROW()-1,60),ROW()-1,FALSE))</f>
        <v/>
      </c>
      <c r="AP55">
        <f ca="1">IF(AND(ISNUMBER($AP$260),$B$208=1),$AP$260,HLOOKUP(INDIRECT(ADDRESS(2,COLUMN())),OFFSET($BN$2,0,0,ROW()-1,60),ROW()-1,FALSE))</f>
        <v>155743</v>
      </c>
      <c r="AQ55" t="str">
        <f ca="1">IF(AND(ISNUMBER($AQ$260),$B$208=1),$AQ$260,HLOOKUP(INDIRECT(ADDRESS(2,COLUMN())),OFFSET($BN$2,0,0,ROW()-1,60),ROW()-1,FALSE))</f>
        <v/>
      </c>
      <c r="AR55" t="str">
        <f ca="1">IF(AND(ISNUMBER($AR$260),$B$208=1),$AR$260,HLOOKUP(INDIRECT(ADDRESS(2,COLUMN())),OFFSET($BN$2,0,0,ROW()-1,60),ROW()-1,FALSE))</f>
        <v/>
      </c>
      <c r="AS55" t="str">
        <f ca="1">IF(AND(ISNUMBER($AS$260),$B$208=1),$AS$260,HLOOKUP(INDIRECT(ADDRESS(2,COLUMN())),OFFSET($BN$2,0,0,ROW()-1,60),ROW()-1,FALSE))</f>
        <v/>
      </c>
      <c r="AT55">
        <f ca="1">IF(AND(ISNUMBER($AT$260),$B$208=1),$AT$260,HLOOKUP(INDIRECT(ADDRESS(2,COLUMN())),OFFSET($BN$2,0,0,ROW()-1,60),ROW()-1,FALSE))</f>
        <v>182440</v>
      </c>
      <c r="AU55" t="str">
        <f ca="1">IF(AND(ISNUMBER($AU$260),$B$208=1),$AU$260,HLOOKUP(INDIRECT(ADDRESS(2,COLUMN())),OFFSET($BN$2,0,0,ROW()-1,60),ROW()-1,FALSE))</f>
        <v/>
      </c>
      <c r="AV55" t="str">
        <f ca="1">IF(AND(ISNUMBER($AV$260),$B$208=1),$AV$260,HLOOKUP(INDIRECT(ADDRESS(2,COLUMN())),OFFSET($BN$2,0,0,ROW()-1,60),ROW()-1,FALSE))</f>
        <v/>
      </c>
      <c r="AW55" t="str">
        <f ca="1">IF(AND(ISNUMBER($AW$260),$B$208=1),$AW$260,HLOOKUP(INDIRECT(ADDRESS(2,COLUMN())),OFFSET($BN$2,0,0,ROW()-1,60),ROW()-1,FALSE))</f>
        <v/>
      </c>
      <c r="AX55">
        <f ca="1">IF(AND(ISNUMBER($AX$260),$B$208=1),$AX$260,HLOOKUP(INDIRECT(ADDRESS(2,COLUMN())),OFFSET($BN$2,0,0,ROW()-1,60),ROW()-1,FALSE))</f>
        <v>150344</v>
      </c>
      <c r="AY55" t="str">
        <f ca="1">IF(AND(ISNUMBER($AY$260),$B$208=1),$AY$260,HLOOKUP(INDIRECT(ADDRESS(2,COLUMN())),OFFSET($BN$2,0,0,ROW()-1,60),ROW()-1,FALSE))</f>
        <v/>
      </c>
      <c r="AZ55" t="str">
        <f ca="1">IF(AND(ISNUMBER($AZ$260),$B$208=1),$AZ$260,HLOOKUP(INDIRECT(ADDRESS(2,COLUMN())),OFFSET($BN$2,0,0,ROW()-1,60),ROW()-1,FALSE))</f>
        <v/>
      </c>
      <c r="BA55" t="str">
        <f ca="1">IF(AND(ISNUMBER($BA$260),$B$208=1),$BA$260,HLOOKUP(INDIRECT(ADDRESS(2,COLUMN())),OFFSET($BN$2,0,0,ROW()-1,60),ROW()-1,FALSE))</f>
        <v/>
      </c>
      <c r="BB55">
        <f ca="1">IF(AND(ISNUMBER($BB$260),$B$208=1),$BB$260,HLOOKUP(INDIRECT(ADDRESS(2,COLUMN())),OFFSET($BN$2,0,0,ROW()-1,60),ROW()-1,FALSE))</f>
        <v>198485</v>
      </c>
      <c r="BC55" t="str">
        <f ca="1">IF(AND(ISNUMBER($BC$260),$B$208=1),$BC$260,HLOOKUP(INDIRECT(ADDRESS(2,COLUMN())),OFFSET($BN$2,0,0,ROW()-1,60),ROW()-1,FALSE))</f>
        <v/>
      </c>
      <c r="BD55" t="str">
        <f ca="1">IF(AND(ISNUMBER($BD$260),$B$208=1),$BD$260,HLOOKUP(INDIRECT(ADDRESS(2,COLUMN())),OFFSET($BN$2,0,0,ROW()-1,60),ROW()-1,FALSE))</f>
        <v/>
      </c>
      <c r="BE55" t="str">
        <f ca="1">IF(AND(ISNUMBER($BE$260),$B$208=1),$BE$260,HLOOKUP(INDIRECT(ADDRESS(2,COLUMN())),OFFSET($BN$2,0,0,ROW()-1,60),ROW()-1,FALSE))</f>
        <v/>
      </c>
      <c r="BF55">
        <f ca="1">IF(AND(ISNUMBER($BF$260),$B$208=1),$BF$260,HLOOKUP(INDIRECT(ADDRESS(2,COLUMN())),OFFSET($BN$2,0,0,ROW()-1,60),ROW()-1,FALSE))</f>
        <v>349448</v>
      </c>
      <c r="BG55" t="str">
        <f ca="1">IF(AND(ISNUMBER($BG$260),$B$208=1),$BG$260,HLOOKUP(INDIRECT(ADDRESS(2,COLUMN())),OFFSET($BN$2,0,0,ROW()-1,60),ROW()-1,FALSE))</f>
        <v/>
      </c>
      <c r="BH55" t="str">
        <f ca="1">IF(AND(ISNUMBER($BH$260),$B$208=1),$BH$260,HLOOKUP(INDIRECT(ADDRESS(2,COLUMN())),OFFSET($BN$2,0,0,ROW()-1,60),ROW()-1,FALSE))</f>
        <v/>
      </c>
      <c r="BI55" t="str">
        <f ca="1">IF(AND(ISNUMBER($BI$260),$B$208=1),$BI$260,HLOOKUP(INDIRECT(ADDRESS(2,COLUMN())),OFFSET($BN$2,0,0,ROW()-1,60),ROW()-1,FALSE))</f>
        <v/>
      </c>
      <c r="BJ55" t="str">
        <f ca="1">IF(AND(ISNUMBER($BJ$260),$B$208=1),$BJ$260,HLOOKUP(INDIRECT(ADDRESS(2,COLUMN())),OFFSET($BN$2,0,0,ROW()-1,60),ROW()-1,FALSE))</f>
        <v/>
      </c>
      <c r="BK55" t="str">
        <f ca="1">IF(AND(ISNUMBER($BK$260),$B$208=1),$BK$260,HLOOKUP(INDIRECT(ADDRESS(2,COLUMN())),OFFSET($BN$2,0,0,ROW()-1,60),ROW()-1,FALSE))</f>
        <v/>
      </c>
      <c r="BL55" t="str">
        <f ca="1">IF(AND(ISNUMBER($BL$260),$B$208=1),$BL$260,HLOOKUP(INDIRECT(ADDRESS(2,COLUMN())),OFFSET($BN$2,0,0,ROW()-1,60),ROW()-1,FALSE))</f>
        <v/>
      </c>
      <c r="BM55" t="str">
        <f ca="1">IF(AND(ISNUMBER($BM$260),$B$208=1),$BM$260,HLOOKUP(INDIRECT(ADDRESS(2,COLUMN())),OFFSET($BN$2,0,0,ROW()-1,60),ROW()-1,FALSE))</f>
        <v/>
      </c>
      <c r="BN55">
        <f>146171</f>
        <v>146171</v>
      </c>
      <c r="BO55" t="str">
        <f>""</f>
        <v/>
      </c>
      <c r="BP55">
        <f>117136</f>
        <v>117136</v>
      </c>
      <c r="BQ55" t="str">
        <f>""</f>
        <v/>
      </c>
      <c r="BR55">
        <f>108404</f>
        <v>108404</v>
      </c>
      <c r="BS55" t="str">
        <f>""</f>
        <v/>
      </c>
      <c r="BT55" t="str">
        <f>""</f>
        <v/>
      </c>
      <c r="BU55" t="str">
        <f>""</f>
        <v/>
      </c>
      <c r="BV55">
        <f>119573</f>
        <v>119573</v>
      </c>
      <c r="BW55" t="str">
        <f>""</f>
        <v/>
      </c>
      <c r="BX55" t="str">
        <f>""</f>
        <v/>
      </c>
      <c r="BY55" t="str">
        <f>""</f>
        <v/>
      </c>
      <c r="BZ55">
        <f>93898</f>
        <v>93898</v>
      </c>
      <c r="CA55" t="str">
        <f>""</f>
        <v/>
      </c>
      <c r="CB55">
        <f>95791</f>
        <v>95791</v>
      </c>
      <c r="CC55" t="str">
        <f>""</f>
        <v/>
      </c>
      <c r="CD55">
        <f>116237</f>
        <v>116237</v>
      </c>
      <c r="CE55" t="str">
        <f>""</f>
        <v/>
      </c>
      <c r="CF55">
        <f>124241</f>
        <v>124241</v>
      </c>
      <c r="CG55" t="str">
        <f>""</f>
        <v/>
      </c>
      <c r="CH55">
        <f>100795</f>
        <v>100795</v>
      </c>
      <c r="CI55" t="str">
        <f>""</f>
        <v/>
      </c>
      <c r="CJ55">
        <f>111458</f>
        <v>111458</v>
      </c>
      <c r="CK55" t="str">
        <f>""</f>
        <v/>
      </c>
      <c r="CL55">
        <f>94554</f>
        <v>94554</v>
      </c>
      <c r="CM55" t="str">
        <f>""</f>
        <v/>
      </c>
      <c r="CN55">
        <f>99167</f>
        <v>99167</v>
      </c>
      <c r="CO55" t="str">
        <f>""</f>
        <v/>
      </c>
      <c r="CP55">
        <f>105795</f>
        <v>105795</v>
      </c>
      <c r="CQ55" t="str">
        <f>""</f>
        <v/>
      </c>
      <c r="CR55">
        <f>122753</f>
        <v>122753</v>
      </c>
      <c r="CS55" t="str">
        <f>""</f>
        <v/>
      </c>
      <c r="CT55">
        <f>149308</f>
        <v>149308</v>
      </c>
      <c r="CU55" t="str">
        <f>""</f>
        <v/>
      </c>
      <c r="CV55" t="str">
        <f>""</f>
        <v/>
      </c>
      <c r="CW55" t="str">
        <f>""</f>
        <v/>
      </c>
      <c r="CX55">
        <f>155743</f>
        <v>155743</v>
      </c>
      <c r="CY55" t="str">
        <f>""</f>
        <v/>
      </c>
      <c r="CZ55" t="str">
        <f>""</f>
        <v/>
      </c>
      <c r="DA55" t="str">
        <f>""</f>
        <v/>
      </c>
      <c r="DB55">
        <f>182440</f>
        <v>182440</v>
      </c>
      <c r="DC55" t="str">
        <f>""</f>
        <v/>
      </c>
      <c r="DD55" t="str">
        <f>""</f>
        <v/>
      </c>
      <c r="DE55" t="str">
        <f>""</f>
        <v/>
      </c>
      <c r="DF55">
        <f>150344</f>
        <v>150344</v>
      </c>
      <c r="DG55" t="str">
        <f>""</f>
        <v/>
      </c>
      <c r="DH55" t="str">
        <f>""</f>
        <v/>
      </c>
      <c r="DI55" t="str">
        <f>""</f>
        <v/>
      </c>
      <c r="DJ55">
        <f>198485</f>
        <v>198485</v>
      </c>
      <c r="DK55" t="str">
        <f>""</f>
        <v/>
      </c>
      <c r="DL55" t="str">
        <f>""</f>
        <v/>
      </c>
      <c r="DM55" t="str">
        <f>""</f>
        <v/>
      </c>
      <c r="DN55">
        <f>349448</f>
        <v>349448</v>
      </c>
      <c r="DO55" t="str">
        <f>""</f>
        <v/>
      </c>
      <c r="DP55" t="str">
        <f>""</f>
        <v/>
      </c>
      <c r="DQ55" t="str">
        <f>""</f>
        <v/>
      </c>
      <c r="DR55" t="str">
        <f>""</f>
        <v/>
      </c>
      <c r="DS55" t="str">
        <f>""</f>
        <v/>
      </c>
      <c r="DT55" t="str">
        <f>""</f>
        <v/>
      </c>
      <c r="DU55" t="str">
        <f>""</f>
        <v/>
      </c>
    </row>
    <row r="56" spans="1:125" x14ac:dyDescent="0.25">
      <c r="A56" t="str">
        <f>"    Deutsche Bank AG"</f>
        <v xml:space="preserve">    Deutsche Bank AG</v>
      </c>
      <c r="B56" t="str">
        <f>"DBK GR Equity"</f>
        <v>DBK GR Equity</v>
      </c>
      <c r="C56" t="str">
        <f t="shared" si="3"/>
        <v>BM109</v>
      </c>
      <c r="D56" t="str">
        <f t="shared" si="4"/>
        <v>BS_TRADING_SECURITIES_DERIVS</v>
      </c>
      <c r="E56" t="str">
        <f t="shared" si="5"/>
        <v>Dynamic</v>
      </c>
      <c r="F56">
        <f ca="1">IF(AND(ISNUMBER($F$261),$B$208=1),$F$261,HLOOKUP(INDIRECT(ADDRESS(2,COLUMN())),OFFSET($BN$2,0,0,ROW()-1,60),ROW()-1,FALSE))</f>
        <v>291754</v>
      </c>
      <c r="G56">
        <f ca="1">IF(AND(ISNUMBER($G$261),$B$208=1),$G$261,HLOOKUP(INDIRECT(ADDRESS(2,COLUMN())),OFFSET($BN$2,0,0,ROW()-1,60),ROW()-1,FALSE))</f>
        <v>243383</v>
      </c>
      <c r="H56">
        <f ca="1">IF(AND(ISNUMBER($H$261),$B$208=1),$H$261,HLOOKUP(INDIRECT(ADDRESS(2,COLUMN())),OFFSET($BN$2,0,0,ROW()-1,60),ROW()-1,FALSE))</f>
        <v>237222</v>
      </c>
      <c r="I56">
        <f ca="1">IF(AND(ISNUMBER($I$261),$B$208=1),$I$261,HLOOKUP(INDIRECT(ADDRESS(2,COLUMN())),OFFSET($BN$2,0,0,ROW()-1,60),ROW()-1,FALSE))</f>
        <v>231186</v>
      </c>
      <c r="J56">
        <f ca="1">IF(AND(ISNUMBER($J$261),$B$208=1),$J$261,HLOOKUP(INDIRECT(ADDRESS(2,COLUMN())),OFFSET($BN$2,0,0,ROW()-1,60),ROW()-1,FALSE))</f>
        <v>251856</v>
      </c>
      <c r="K56">
        <f ca="1">IF(AND(ISNUMBER($K$261),$B$208=1),$K$261,HLOOKUP(INDIRECT(ADDRESS(2,COLUMN())),OFFSET($BN$2,0,0,ROW()-1,60),ROW()-1,FALSE))</f>
        <v>287597</v>
      </c>
      <c r="L56">
        <f ca="1">IF(AND(ISNUMBER($L$261),$B$208=1),$L$261,HLOOKUP(INDIRECT(ADDRESS(2,COLUMN())),OFFSET($BN$2,0,0,ROW()-1,60),ROW()-1,FALSE))</f>
        <v>258731</v>
      </c>
      <c r="M56">
        <f ca="1">IF(AND(ISNUMBER($M$261),$B$208=1),$M$261,HLOOKUP(INDIRECT(ADDRESS(2,COLUMN())),OFFSET($BN$2,0,0,ROW()-1,60),ROW()-1,FALSE))</f>
        <v>246299</v>
      </c>
      <c r="N56">
        <f ca="1">IF(AND(ISNUMBER($N$261),$B$208=1),$N$261,HLOOKUP(INDIRECT(ADDRESS(2,COLUMN())),OFFSET($BN$2,0,0,ROW()-1,60),ROW()-1,FALSE))</f>
        <v>299686</v>
      </c>
      <c r="O56">
        <f ca="1">IF(AND(ISNUMBER($O$261),$B$208=1),$O$261,HLOOKUP(INDIRECT(ADDRESS(2,COLUMN())),OFFSET($BN$2,0,0,ROW()-1,60),ROW()-1,FALSE))</f>
        <v>394993</v>
      </c>
      <c r="P56">
        <f ca="1">IF(AND(ISNUMBER($P$261),$B$208=1),$P$261,HLOOKUP(INDIRECT(ADDRESS(2,COLUMN())),OFFSET($BN$2,0,0,ROW()-1,60),ROW()-1,FALSE))</f>
        <v>322978</v>
      </c>
      <c r="Q56">
        <f ca="1">IF(AND(ISNUMBER($Q$261),$B$208=1),$Q$261,HLOOKUP(INDIRECT(ADDRESS(2,COLUMN())),OFFSET($BN$2,0,0,ROW()-1,60),ROW()-1,FALSE))</f>
        <v>292011</v>
      </c>
      <c r="R56">
        <f ca="1">IF(AND(ISNUMBER($R$261),$B$208=1),$R$261,HLOOKUP(INDIRECT(ADDRESS(2,COLUMN())),OFFSET($BN$2,0,0,ROW()-1,60),ROW()-1,FALSE))</f>
        <v>299732</v>
      </c>
      <c r="S56">
        <f ca="1">IF(AND(ISNUMBER($S$261),$B$208=1),$S$261,HLOOKUP(INDIRECT(ADDRESS(2,COLUMN())),OFFSET($BN$2,0,0,ROW()-1,60),ROW()-1,FALSE))</f>
        <v>277147</v>
      </c>
      <c r="T56">
        <f ca="1">IF(AND(ISNUMBER($T$261),$B$208=1),$T$261,HLOOKUP(INDIRECT(ADDRESS(2,COLUMN())),OFFSET($BN$2,0,0,ROW()-1,60),ROW()-1,FALSE))</f>
        <v>273877</v>
      </c>
      <c r="U56">
        <f ca="1">IF(AND(ISNUMBER($U$261),$B$208=1),$U$261,HLOOKUP(INDIRECT(ADDRESS(2,COLUMN())),OFFSET($BN$2,0,0,ROW()-1,60),ROW()-1,FALSE))</f>
        <v>290488</v>
      </c>
      <c r="V56">
        <f ca="1">IF(AND(ISNUMBER($V$261),$B$208=1),$V$261,HLOOKUP(INDIRECT(ADDRESS(2,COLUMN())),OFFSET($BN$2,0,0,ROW()-1,60),ROW()-1,FALSE))</f>
        <v>343455</v>
      </c>
      <c r="W56">
        <f ca="1">IF(AND(ISNUMBER($W$261),$B$208=1),$W$261,HLOOKUP(INDIRECT(ADDRESS(2,COLUMN())),OFFSET($BN$2,0,0,ROW()-1,60),ROW()-1,FALSE))</f>
        <v>341836</v>
      </c>
      <c r="X56">
        <f ca="1">IF(AND(ISNUMBER($X$261),$B$208=1),$X$261,HLOOKUP(INDIRECT(ADDRESS(2,COLUMN())),OFFSET($BN$2,0,0,ROW()-1,60),ROW()-1,FALSE))</f>
        <v>372811</v>
      </c>
      <c r="Y56">
        <f ca="1">IF(AND(ISNUMBER($Y$261),$B$208=1),$Y$261,HLOOKUP(INDIRECT(ADDRESS(2,COLUMN())),OFFSET($BN$2,0,0,ROW()-1,60),ROW()-1,FALSE))</f>
        <v>433846</v>
      </c>
      <c r="Z56">
        <f ca="1">IF(AND(ISNUMBER($Z$261),$B$208=1),$Z$261,HLOOKUP(INDIRECT(ADDRESS(2,COLUMN())),OFFSET($BN$2,0,0,ROW()-1,60),ROW()-1,FALSE))</f>
        <v>332931</v>
      </c>
      <c r="AA56" t="str">
        <f ca="1">IF(AND(ISNUMBER($AA$261),$B$208=1),$AA$261,HLOOKUP(INDIRECT(ADDRESS(2,COLUMN())),OFFSET($BN$2,0,0,ROW()-1,60),ROW()-1,FALSE))</f>
        <v/>
      </c>
      <c r="AB56">
        <f ca="1">IF(AND(ISNUMBER($AB$261),$B$208=1),$AB$261,HLOOKUP(INDIRECT(ADDRESS(2,COLUMN())),OFFSET($BN$2,0,0,ROW()-1,60),ROW()-1,FALSE))</f>
        <v>366007</v>
      </c>
      <c r="AC56">
        <f ca="1">IF(AND(ISNUMBER($AC$261),$B$208=1),$AC$261,HLOOKUP(INDIRECT(ADDRESS(2,COLUMN())),OFFSET($BN$2,0,0,ROW()-1,60),ROW()-1,FALSE))</f>
        <v>331040</v>
      </c>
      <c r="AD56">
        <f ca="1">IF(AND(ISNUMBER($AD$261),$B$208=1),$AD$261,HLOOKUP(INDIRECT(ADDRESS(2,COLUMN())),OFFSET($BN$2,0,0,ROW()-1,60),ROW()-1,FALSE))</f>
        <v>320058</v>
      </c>
      <c r="AE56" t="str">
        <f ca="1">IF(AND(ISNUMBER($AE$261),$B$208=1),$AE$261,HLOOKUP(INDIRECT(ADDRESS(2,COLUMN())),OFFSET($BN$2,0,0,ROW()-1,60),ROW()-1,FALSE))</f>
        <v/>
      </c>
      <c r="AF56" t="str">
        <f ca="1">IF(AND(ISNUMBER($AF$261),$B$208=1),$AF$261,HLOOKUP(INDIRECT(ADDRESS(2,COLUMN())),OFFSET($BN$2,0,0,ROW()-1,60),ROW()-1,FALSE))</f>
        <v/>
      </c>
      <c r="AG56" t="str">
        <f ca="1">IF(AND(ISNUMBER($AG$261),$B$208=1),$AG$261,HLOOKUP(INDIRECT(ADDRESS(2,COLUMN())),OFFSET($BN$2,0,0,ROW()-1,60),ROW()-1,FALSE))</f>
        <v/>
      </c>
      <c r="AH56" t="str">
        <f ca="1">IF(AND(ISNUMBER($AH$261),$B$208=1),$AH$261,HLOOKUP(INDIRECT(ADDRESS(2,COLUMN())),OFFSET($BN$2,0,0,ROW()-1,60),ROW()-1,FALSE))</f>
        <v/>
      </c>
      <c r="AI56">
        <f ca="1">IF(AND(ISNUMBER($AI$261),$B$208=1),$AI$261,HLOOKUP(INDIRECT(ADDRESS(2,COLUMN())),OFFSET($BN$2,0,0,ROW()-1,60),ROW()-1,FALSE))</f>
        <v>372019</v>
      </c>
      <c r="AJ56" t="str">
        <f ca="1">IF(AND(ISNUMBER($AJ$261),$B$208=1),$AJ$261,HLOOKUP(INDIRECT(ADDRESS(2,COLUMN())),OFFSET($BN$2,0,0,ROW()-1,60),ROW()-1,FALSE))</f>
        <v/>
      </c>
      <c r="AK56" t="str">
        <f ca="1">IF(AND(ISNUMBER($AK$261),$B$208=1),$AK$261,HLOOKUP(INDIRECT(ADDRESS(2,COLUMN())),OFFSET($BN$2,0,0,ROW()-1,60),ROW()-1,FALSE))</f>
        <v/>
      </c>
      <c r="AL56" t="str">
        <f ca="1">IF(AND(ISNUMBER($AL$261),$B$208=1),$AL$261,HLOOKUP(INDIRECT(ADDRESS(2,COLUMN())),OFFSET($BN$2,0,0,ROW()-1,60),ROW()-1,FALSE))</f>
        <v/>
      </c>
      <c r="AM56" t="str">
        <f ca="1">IF(AND(ISNUMBER($AM$261),$B$208=1),$AM$261,HLOOKUP(INDIRECT(ADDRESS(2,COLUMN())),OFFSET($BN$2,0,0,ROW()-1,60),ROW()-1,FALSE))</f>
        <v/>
      </c>
      <c r="AN56" t="str">
        <f ca="1">IF(AND(ISNUMBER($AN$261),$B$208=1),$AN$261,HLOOKUP(INDIRECT(ADDRESS(2,COLUMN())),OFFSET($BN$2,0,0,ROW()-1,60),ROW()-1,FALSE))</f>
        <v/>
      </c>
      <c r="AO56" t="str">
        <f ca="1">IF(AND(ISNUMBER($AO$261),$B$208=1),$AO$261,HLOOKUP(INDIRECT(ADDRESS(2,COLUMN())),OFFSET($BN$2,0,0,ROW()-1,60),ROW()-1,FALSE))</f>
        <v/>
      </c>
      <c r="AP56" t="str">
        <f ca="1">IF(AND(ISNUMBER($AP$261),$B$208=1),$AP$261,HLOOKUP(INDIRECT(ADDRESS(2,COLUMN())),OFFSET($BN$2,0,0,ROW()-1,60),ROW()-1,FALSE))</f>
        <v/>
      </c>
      <c r="AQ56" t="str">
        <f ca="1">IF(AND(ISNUMBER($AQ$261),$B$208=1),$AQ$261,HLOOKUP(INDIRECT(ADDRESS(2,COLUMN())),OFFSET($BN$2,0,0,ROW()-1,60),ROW()-1,FALSE))</f>
        <v/>
      </c>
      <c r="AR56" t="str">
        <f ca="1">IF(AND(ISNUMBER($AR$261),$B$208=1),$AR$261,HLOOKUP(INDIRECT(ADDRESS(2,COLUMN())),OFFSET($BN$2,0,0,ROW()-1,60),ROW()-1,FALSE))</f>
        <v/>
      </c>
      <c r="AS56" t="str">
        <f ca="1">IF(AND(ISNUMBER($AS$261),$B$208=1),$AS$261,HLOOKUP(INDIRECT(ADDRESS(2,COLUMN())),OFFSET($BN$2,0,0,ROW()-1,60),ROW()-1,FALSE))</f>
        <v/>
      </c>
      <c r="AT56" t="str">
        <f ca="1">IF(AND(ISNUMBER($AT$261),$B$208=1),$AT$261,HLOOKUP(INDIRECT(ADDRESS(2,COLUMN())),OFFSET($BN$2,0,0,ROW()-1,60),ROW()-1,FALSE))</f>
        <v/>
      </c>
      <c r="AU56" t="str">
        <f ca="1">IF(AND(ISNUMBER($AU$261),$B$208=1),$AU$261,HLOOKUP(INDIRECT(ADDRESS(2,COLUMN())),OFFSET($BN$2,0,0,ROW()-1,60),ROW()-1,FALSE))</f>
        <v/>
      </c>
      <c r="AV56" t="str">
        <f ca="1">IF(AND(ISNUMBER($AV$261),$B$208=1),$AV$261,HLOOKUP(INDIRECT(ADDRESS(2,COLUMN())),OFFSET($BN$2,0,0,ROW()-1,60),ROW()-1,FALSE))</f>
        <v/>
      </c>
      <c r="AW56" t="str">
        <f ca="1">IF(AND(ISNUMBER($AW$261),$B$208=1),$AW$261,HLOOKUP(INDIRECT(ADDRESS(2,COLUMN())),OFFSET($BN$2,0,0,ROW()-1,60),ROW()-1,FALSE))</f>
        <v/>
      </c>
      <c r="AX56">
        <f ca="1">IF(AND(ISNUMBER($AX$261),$B$208=1),$AX$261,HLOOKUP(INDIRECT(ADDRESS(2,COLUMN())),OFFSET($BN$2,0,0,ROW()-1,60),ROW()-1,FALSE))</f>
        <v>504590</v>
      </c>
      <c r="AY56" t="str">
        <f ca="1">IF(AND(ISNUMBER($AY$261),$B$208=1),$AY$261,HLOOKUP(INDIRECT(ADDRESS(2,COLUMN())),OFFSET($BN$2,0,0,ROW()-1,60),ROW()-1,FALSE))</f>
        <v/>
      </c>
      <c r="AZ56" t="str">
        <f ca="1">IF(AND(ISNUMBER($AZ$261),$B$208=1),$AZ$261,HLOOKUP(INDIRECT(ADDRESS(2,COLUMN())),OFFSET($BN$2,0,0,ROW()-1,60),ROW()-1,FALSE))</f>
        <v/>
      </c>
      <c r="BA56" t="str">
        <f ca="1">IF(AND(ISNUMBER($BA$261),$B$208=1),$BA$261,HLOOKUP(INDIRECT(ADDRESS(2,COLUMN())),OFFSET($BN$2,0,0,ROW()-1,60),ROW()-1,FALSE))</f>
        <v/>
      </c>
      <c r="BB56">
        <f ca="1">IF(AND(ISNUMBER($BB$261),$B$208=1),$BB$261,HLOOKUP(INDIRECT(ADDRESS(2,COLUMN())),OFFSET($BN$2,0,0,ROW()-1,60),ROW()-1,FALSE))</f>
        <v>768353</v>
      </c>
      <c r="BC56" t="str">
        <f ca="1">IF(AND(ISNUMBER($BC$261),$B$208=1),$BC$261,HLOOKUP(INDIRECT(ADDRESS(2,COLUMN())),OFFSET($BN$2,0,0,ROW()-1,60),ROW()-1,FALSE))</f>
        <v/>
      </c>
      <c r="BD56" t="str">
        <f ca="1">IF(AND(ISNUMBER($BD$261),$B$208=1),$BD$261,HLOOKUP(INDIRECT(ADDRESS(2,COLUMN())),OFFSET($BN$2,0,0,ROW()-1,60),ROW()-1,FALSE))</f>
        <v/>
      </c>
      <c r="BE56" t="str">
        <f ca="1">IF(AND(ISNUMBER($BE$261),$B$208=1),$BE$261,HLOOKUP(INDIRECT(ADDRESS(2,COLUMN())),OFFSET($BN$2,0,0,ROW()-1,60),ROW()-1,FALSE))</f>
        <v/>
      </c>
      <c r="BF56">
        <f ca="1">IF(AND(ISNUMBER($BF$261),$B$208=1),$BF$261,HLOOKUP(INDIRECT(ADDRESS(2,COLUMN())),OFFSET($BN$2,0,0,ROW()-1,60),ROW()-1,FALSE))</f>
        <v>859582</v>
      </c>
      <c r="BG56" t="str">
        <f ca="1">IF(AND(ISNUMBER($BG$261),$B$208=1),$BG$261,HLOOKUP(INDIRECT(ADDRESS(2,COLUMN())),OFFSET($BN$2,0,0,ROW()-1,60),ROW()-1,FALSE))</f>
        <v/>
      </c>
      <c r="BH56">
        <f ca="1">IF(AND(ISNUMBER($BH$261),$B$208=1),$BH$261,HLOOKUP(INDIRECT(ADDRESS(2,COLUMN())),OFFSET($BN$2,0,0,ROW()-1,60),ROW()-1,FALSE))</f>
        <v>554958</v>
      </c>
      <c r="BI56" t="str">
        <f ca="1">IF(AND(ISNUMBER($BI$261),$B$208=1),$BI$261,HLOOKUP(INDIRECT(ADDRESS(2,COLUMN())),OFFSET($BN$2,0,0,ROW()-1,60),ROW()-1,FALSE))</f>
        <v/>
      </c>
      <c r="BJ56">
        <f ca="1">IF(AND(ISNUMBER($BJ$261),$B$208=1),$BJ$261,HLOOKUP(INDIRECT(ADDRESS(2,COLUMN())),OFFSET($BN$2,0,0,ROW()-1,60),ROW()-1,FALSE))</f>
        <v>657780</v>
      </c>
      <c r="BK56">
        <f ca="1">IF(AND(ISNUMBER($BK$261),$B$208=1),$BK$261,HLOOKUP(INDIRECT(ADDRESS(2,COLUMN())),OFFSET($BN$2,0,0,ROW()-1,60),ROW()-1,FALSE))</f>
        <v>819830</v>
      </c>
      <c r="BL56">
        <f ca="1">IF(AND(ISNUMBER($BL$261),$B$208=1),$BL$261,HLOOKUP(INDIRECT(ADDRESS(2,COLUMN())),OFFSET($BN$2,0,0,ROW()-1,60),ROW()-1,FALSE))</f>
        <v>802709</v>
      </c>
      <c r="BM56" t="str">
        <f ca="1">IF(AND(ISNUMBER($BM$261),$B$208=1),$BM$261,HLOOKUP(INDIRECT(ADDRESS(2,COLUMN())),OFFSET($BN$2,0,0,ROW()-1,60),ROW()-1,FALSE))</f>
        <v/>
      </c>
      <c r="BN56">
        <f>291754</f>
        <v>291754</v>
      </c>
      <c r="BO56">
        <f>243383</f>
        <v>243383</v>
      </c>
      <c r="BP56">
        <f>237222</f>
        <v>237222</v>
      </c>
      <c r="BQ56">
        <f>231186</f>
        <v>231186</v>
      </c>
      <c r="BR56">
        <f>251856</f>
        <v>251856</v>
      </c>
      <c r="BS56">
        <f>287597</f>
        <v>287597</v>
      </c>
      <c r="BT56">
        <f>258731</f>
        <v>258731</v>
      </c>
      <c r="BU56">
        <f>246299</f>
        <v>246299</v>
      </c>
      <c r="BV56">
        <f>299686</f>
        <v>299686</v>
      </c>
      <c r="BW56">
        <f>394993</f>
        <v>394993</v>
      </c>
      <c r="BX56">
        <f>322978</f>
        <v>322978</v>
      </c>
      <c r="BY56">
        <f>292011</f>
        <v>292011</v>
      </c>
      <c r="BZ56">
        <f>299732</f>
        <v>299732</v>
      </c>
      <c r="CA56">
        <f>277147</f>
        <v>277147</v>
      </c>
      <c r="CB56">
        <f>273877</f>
        <v>273877</v>
      </c>
      <c r="CC56">
        <f>290488</f>
        <v>290488</v>
      </c>
      <c r="CD56">
        <f>343455</f>
        <v>343455</v>
      </c>
      <c r="CE56">
        <f>341836</f>
        <v>341836</v>
      </c>
      <c r="CF56">
        <f>372811</f>
        <v>372811</v>
      </c>
      <c r="CG56">
        <f>433846</f>
        <v>433846</v>
      </c>
      <c r="CH56">
        <f>332931</f>
        <v>332931</v>
      </c>
      <c r="CI56" t="str">
        <f>""</f>
        <v/>
      </c>
      <c r="CJ56">
        <f>366007</f>
        <v>366007</v>
      </c>
      <c r="CK56">
        <f>331040</f>
        <v>331040</v>
      </c>
      <c r="CL56">
        <f>320058</f>
        <v>320058</v>
      </c>
      <c r="CM56" t="str">
        <f>""</f>
        <v/>
      </c>
      <c r="CN56" t="str">
        <f>""</f>
        <v/>
      </c>
      <c r="CO56" t="str">
        <f>""</f>
        <v/>
      </c>
      <c r="CP56" t="str">
        <f>""</f>
        <v/>
      </c>
      <c r="CQ56">
        <f>372019</f>
        <v>372019</v>
      </c>
      <c r="CR56" t="str">
        <f>""</f>
        <v/>
      </c>
      <c r="CS56" t="str">
        <f>""</f>
        <v/>
      </c>
      <c r="CT56" t="str">
        <f>""</f>
        <v/>
      </c>
      <c r="CU56" t="str">
        <f>""</f>
        <v/>
      </c>
      <c r="CV56" t="str">
        <f>""</f>
        <v/>
      </c>
      <c r="CW56" t="str">
        <f>""</f>
        <v/>
      </c>
      <c r="CX56" t="str">
        <f>""</f>
        <v/>
      </c>
      <c r="CY56" t="str">
        <f>""</f>
        <v/>
      </c>
      <c r="CZ56" t="str">
        <f>""</f>
        <v/>
      </c>
      <c r="DA56" t="str">
        <f>""</f>
        <v/>
      </c>
      <c r="DB56" t="str">
        <f>""</f>
        <v/>
      </c>
      <c r="DC56" t="str">
        <f>""</f>
        <v/>
      </c>
      <c r="DD56" t="str">
        <f>""</f>
        <v/>
      </c>
      <c r="DE56" t="str">
        <f>""</f>
        <v/>
      </c>
      <c r="DF56">
        <f>504590</f>
        <v>504590</v>
      </c>
      <c r="DG56" t="str">
        <f>""</f>
        <v/>
      </c>
      <c r="DH56" t="str">
        <f>""</f>
        <v/>
      </c>
      <c r="DI56" t="str">
        <f>""</f>
        <v/>
      </c>
      <c r="DJ56">
        <f>768353</f>
        <v>768353</v>
      </c>
      <c r="DK56" t="str">
        <f>""</f>
        <v/>
      </c>
      <c r="DL56" t="str">
        <f>""</f>
        <v/>
      </c>
      <c r="DM56" t="str">
        <f>""</f>
        <v/>
      </c>
      <c r="DN56">
        <f>859582</f>
        <v>859582</v>
      </c>
      <c r="DO56" t="str">
        <f>""</f>
        <v/>
      </c>
      <c r="DP56">
        <f>554958</f>
        <v>554958</v>
      </c>
      <c r="DQ56" t="str">
        <f>""</f>
        <v/>
      </c>
      <c r="DR56">
        <f>657780</f>
        <v>657780</v>
      </c>
      <c r="DS56">
        <f>819830</f>
        <v>819830</v>
      </c>
      <c r="DT56">
        <f>802709</f>
        <v>802709</v>
      </c>
      <c r="DU56" t="str">
        <f>""</f>
        <v/>
      </c>
    </row>
    <row r="57" spans="1:125" x14ac:dyDescent="0.25">
      <c r="A57" t="str">
        <f>"    DNB Bank ASA"</f>
        <v xml:space="preserve">    DNB Bank ASA</v>
      </c>
      <c r="B57" t="str">
        <f>"DNB NO Equity"</f>
        <v>DNB NO Equity</v>
      </c>
      <c r="C57" t="str">
        <f t="shared" si="3"/>
        <v>BM109</v>
      </c>
      <c r="D57" t="str">
        <f t="shared" si="4"/>
        <v>BS_TRADING_SECURITIES_DERIVS</v>
      </c>
      <c r="E57" t="str">
        <f t="shared" si="5"/>
        <v>Dynamic</v>
      </c>
      <c r="F57">
        <f ca="1">IF(AND(ISNUMBER($F$262),$B$208=1),$F$262,HLOOKUP(INDIRECT(ADDRESS(2,COLUMN())),OFFSET($BN$2,0,0,ROW()-1,60),ROW()-1,FALSE))</f>
        <v>9315.1211619999995</v>
      </c>
      <c r="G57" t="str">
        <f ca="1">IF(AND(ISNUMBER($G$262),$B$208=1),$G$262,HLOOKUP(INDIRECT(ADDRESS(2,COLUMN())),OFFSET($BN$2,0,0,ROW()-1,60),ROW()-1,FALSE))</f>
        <v/>
      </c>
      <c r="H57" t="str">
        <f ca="1">IF(AND(ISNUMBER($H$262),$B$208=1),$H$262,HLOOKUP(INDIRECT(ADDRESS(2,COLUMN())),OFFSET($BN$2,0,0,ROW()-1,60),ROW()-1,FALSE))</f>
        <v/>
      </c>
      <c r="I57" t="str">
        <f ca="1">IF(AND(ISNUMBER($I$262),$B$208=1),$I$262,HLOOKUP(INDIRECT(ADDRESS(2,COLUMN())),OFFSET($BN$2,0,0,ROW()-1,60),ROW()-1,FALSE))</f>
        <v/>
      </c>
      <c r="J57">
        <f ca="1">IF(AND(ISNUMBER($J$262),$B$208=1),$J$262,HLOOKUP(INDIRECT(ADDRESS(2,COLUMN())),OFFSET($BN$2,0,0,ROW()-1,60),ROW()-1,FALSE))</f>
        <v>11515.69886</v>
      </c>
      <c r="K57" t="str">
        <f ca="1">IF(AND(ISNUMBER($K$262),$B$208=1),$K$262,HLOOKUP(INDIRECT(ADDRESS(2,COLUMN())),OFFSET($BN$2,0,0,ROW()-1,60),ROW()-1,FALSE))</f>
        <v/>
      </c>
      <c r="L57" t="str">
        <f ca="1">IF(AND(ISNUMBER($L$262),$B$208=1),$L$262,HLOOKUP(INDIRECT(ADDRESS(2,COLUMN())),OFFSET($BN$2,0,0,ROW()-1,60),ROW()-1,FALSE))</f>
        <v/>
      </c>
      <c r="M57" t="str">
        <f ca="1">IF(AND(ISNUMBER($M$262),$B$208=1),$M$262,HLOOKUP(INDIRECT(ADDRESS(2,COLUMN())),OFFSET($BN$2,0,0,ROW()-1,60),ROW()-1,FALSE))</f>
        <v/>
      </c>
      <c r="N57">
        <f ca="1">IF(AND(ISNUMBER($N$262),$B$208=1),$N$262,HLOOKUP(INDIRECT(ADDRESS(2,COLUMN())),OFFSET($BN$2,0,0,ROW()-1,60),ROW()-1,FALSE))</f>
        <v>16397.909489999998</v>
      </c>
      <c r="O57" t="str">
        <f ca="1">IF(AND(ISNUMBER($O$262),$B$208=1),$O$262,HLOOKUP(INDIRECT(ADDRESS(2,COLUMN())),OFFSET($BN$2,0,0,ROW()-1,60),ROW()-1,FALSE))</f>
        <v/>
      </c>
      <c r="P57" t="str">
        <f ca="1">IF(AND(ISNUMBER($P$262),$B$208=1),$P$262,HLOOKUP(INDIRECT(ADDRESS(2,COLUMN())),OFFSET($BN$2,0,0,ROW()-1,60),ROW()-1,FALSE))</f>
        <v/>
      </c>
      <c r="Q57" t="str">
        <f ca="1">IF(AND(ISNUMBER($Q$262),$B$208=1),$Q$262,HLOOKUP(INDIRECT(ADDRESS(2,COLUMN())),OFFSET($BN$2,0,0,ROW()-1,60),ROW()-1,FALSE))</f>
        <v/>
      </c>
      <c r="R57">
        <f ca="1">IF(AND(ISNUMBER($R$262),$B$208=1),$R$262,HLOOKUP(INDIRECT(ADDRESS(2,COLUMN())),OFFSET($BN$2,0,0,ROW()-1,60),ROW()-1,FALSE))</f>
        <v>11706.96319</v>
      </c>
      <c r="S57" t="str">
        <f ca="1">IF(AND(ISNUMBER($S$262),$B$208=1),$S$262,HLOOKUP(INDIRECT(ADDRESS(2,COLUMN())),OFFSET($BN$2,0,0,ROW()-1,60),ROW()-1,FALSE))</f>
        <v/>
      </c>
      <c r="T57" t="str">
        <f ca="1">IF(AND(ISNUMBER($T$262),$B$208=1),$T$262,HLOOKUP(INDIRECT(ADDRESS(2,COLUMN())),OFFSET($BN$2,0,0,ROW()-1,60),ROW()-1,FALSE))</f>
        <v/>
      </c>
      <c r="U57" t="str">
        <f ca="1">IF(AND(ISNUMBER($U$262),$B$208=1),$U$262,HLOOKUP(INDIRECT(ADDRESS(2,COLUMN())),OFFSET($BN$2,0,0,ROW()-1,60),ROW()-1,FALSE))</f>
        <v/>
      </c>
      <c r="V57">
        <f ca="1">IF(AND(ISNUMBER($V$262),$B$208=1),$V$262,HLOOKUP(INDIRECT(ADDRESS(2,COLUMN())),OFFSET($BN$2,0,0,ROW()-1,60),ROW()-1,FALSE))</f>
        <v>14783.295050000001</v>
      </c>
      <c r="W57" t="str">
        <f ca="1">IF(AND(ISNUMBER($W$262),$B$208=1),$W$262,HLOOKUP(INDIRECT(ADDRESS(2,COLUMN())),OFFSET($BN$2,0,0,ROW()-1,60),ROW()-1,FALSE))</f>
        <v/>
      </c>
      <c r="X57" t="str">
        <f ca="1">IF(AND(ISNUMBER($X$262),$B$208=1),$X$262,HLOOKUP(INDIRECT(ADDRESS(2,COLUMN())),OFFSET($BN$2,0,0,ROW()-1,60),ROW()-1,FALSE))</f>
        <v/>
      </c>
      <c r="Y57" t="str">
        <f ca="1">IF(AND(ISNUMBER($Y$262),$B$208=1),$Y$262,HLOOKUP(INDIRECT(ADDRESS(2,COLUMN())),OFFSET($BN$2,0,0,ROW()-1,60),ROW()-1,FALSE))</f>
        <v/>
      </c>
      <c r="Z57">
        <f ca="1">IF(AND(ISNUMBER($Z$262),$B$208=1),$Z$262,HLOOKUP(INDIRECT(ADDRESS(2,COLUMN())),OFFSET($BN$2,0,0,ROW()-1,60),ROW()-1,FALSE))</f>
        <v>9833.5398399999995</v>
      </c>
      <c r="AA57" t="str">
        <f ca="1">IF(AND(ISNUMBER($AA$262),$B$208=1),$AA$262,HLOOKUP(INDIRECT(ADDRESS(2,COLUMN())),OFFSET($BN$2,0,0,ROW()-1,60),ROW()-1,FALSE))</f>
        <v/>
      </c>
      <c r="AB57" t="str">
        <f ca="1">IF(AND(ISNUMBER($AB$262),$B$208=1),$AB$262,HLOOKUP(INDIRECT(ADDRESS(2,COLUMN())),OFFSET($BN$2,0,0,ROW()-1,60),ROW()-1,FALSE))</f>
        <v/>
      </c>
      <c r="AC57" t="str">
        <f ca="1">IF(AND(ISNUMBER($AC$262),$B$208=1),$AC$262,HLOOKUP(INDIRECT(ADDRESS(2,COLUMN())),OFFSET($BN$2,0,0,ROW()-1,60),ROW()-1,FALSE))</f>
        <v/>
      </c>
      <c r="AD57">
        <f ca="1">IF(AND(ISNUMBER($AD$262),$B$208=1),$AD$262,HLOOKUP(INDIRECT(ADDRESS(2,COLUMN())),OFFSET($BN$2,0,0,ROW()-1,60),ROW()-1,FALSE))</f>
        <v>10178.61591</v>
      </c>
      <c r="AE57" t="str">
        <f ca="1">IF(AND(ISNUMBER($AE$262),$B$208=1),$AE$262,HLOOKUP(INDIRECT(ADDRESS(2,COLUMN())),OFFSET($BN$2,0,0,ROW()-1,60),ROW()-1,FALSE))</f>
        <v/>
      </c>
      <c r="AF57" t="str">
        <f ca="1">IF(AND(ISNUMBER($AF$262),$B$208=1),$AF$262,HLOOKUP(INDIRECT(ADDRESS(2,COLUMN())),OFFSET($BN$2,0,0,ROW()-1,60),ROW()-1,FALSE))</f>
        <v/>
      </c>
      <c r="AG57" t="str">
        <f ca="1">IF(AND(ISNUMBER($AG$262),$B$208=1),$AG$262,HLOOKUP(INDIRECT(ADDRESS(2,COLUMN())),OFFSET($BN$2,0,0,ROW()-1,60),ROW()-1,FALSE))</f>
        <v/>
      </c>
      <c r="AH57">
        <f ca="1">IF(AND(ISNUMBER($AH$262),$B$208=1),$AH$262,HLOOKUP(INDIRECT(ADDRESS(2,COLUMN())),OFFSET($BN$2,0,0,ROW()-1,60),ROW()-1,FALSE))</f>
        <v>10771.94203</v>
      </c>
      <c r="AI57" t="str">
        <f ca="1">IF(AND(ISNUMBER($AI$262),$B$208=1),$AI$262,HLOOKUP(INDIRECT(ADDRESS(2,COLUMN())),OFFSET($BN$2,0,0,ROW()-1,60),ROW()-1,FALSE))</f>
        <v/>
      </c>
      <c r="AJ57" t="str">
        <f ca="1">IF(AND(ISNUMBER($AJ$262),$B$208=1),$AJ$262,HLOOKUP(INDIRECT(ADDRESS(2,COLUMN())),OFFSET($BN$2,0,0,ROW()-1,60),ROW()-1,FALSE))</f>
        <v/>
      </c>
      <c r="AK57" t="str">
        <f ca="1">IF(AND(ISNUMBER($AK$262),$B$208=1),$AK$262,HLOOKUP(INDIRECT(ADDRESS(2,COLUMN())),OFFSET($BN$2,0,0,ROW()-1,60),ROW()-1,FALSE))</f>
        <v/>
      </c>
      <c r="AL57">
        <f ca="1">IF(AND(ISNUMBER($AL$262),$B$208=1),$AL$262,HLOOKUP(INDIRECT(ADDRESS(2,COLUMN())),OFFSET($BN$2,0,0,ROW()-1,60),ROW()-1,FALSE))</f>
        <v>13733.79543</v>
      </c>
      <c r="AM57" t="str">
        <f ca="1">IF(AND(ISNUMBER($AM$262),$B$208=1),$AM$262,HLOOKUP(INDIRECT(ADDRESS(2,COLUMN())),OFFSET($BN$2,0,0,ROW()-1,60),ROW()-1,FALSE))</f>
        <v/>
      </c>
      <c r="AN57" t="str">
        <f ca="1">IF(AND(ISNUMBER($AN$262),$B$208=1),$AN$262,HLOOKUP(INDIRECT(ADDRESS(2,COLUMN())),OFFSET($BN$2,0,0,ROW()-1,60),ROW()-1,FALSE))</f>
        <v/>
      </c>
      <c r="AO57" t="str">
        <f ca="1">IF(AND(ISNUMBER($AO$262),$B$208=1),$AO$262,HLOOKUP(INDIRECT(ADDRESS(2,COLUMN())),OFFSET($BN$2,0,0,ROW()-1,60),ROW()-1,FALSE))</f>
        <v/>
      </c>
      <c r="AP57">
        <f ca="1">IF(AND(ISNUMBER($AP$262),$B$208=1),$AP$262,HLOOKUP(INDIRECT(ADDRESS(2,COLUMN())),OFFSET($BN$2,0,0,ROW()-1,60),ROW()-1,FALSE))</f>
        <v>17216.716649999998</v>
      </c>
      <c r="AQ57" t="str">
        <f ca="1">IF(AND(ISNUMBER($AQ$262),$B$208=1),$AQ$262,HLOOKUP(INDIRECT(ADDRESS(2,COLUMN())),OFFSET($BN$2,0,0,ROW()-1,60),ROW()-1,FALSE))</f>
        <v/>
      </c>
      <c r="AR57" t="str">
        <f ca="1">IF(AND(ISNUMBER($AR$262),$B$208=1),$AR$262,HLOOKUP(INDIRECT(ADDRESS(2,COLUMN())),OFFSET($BN$2,0,0,ROW()-1,60),ROW()-1,FALSE))</f>
        <v/>
      </c>
      <c r="AS57" t="str">
        <f ca="1">IF(AND(ISNUMBER($AS$262),$B$208=1),$AS$262,HLOOKUP(INDIRECT(ADDRESS(2,COLUMN())),OFFSET($BN$2,0,0,ROW()-1,60),ROW()-1,FALSE))</f>
        <v/>
      </c>
      <c r="AT57" t="str">
        <f ca="1">IF(AND(ISNUMBER($AT$262),$B$208=1),$AT$262,HLOOKUP(INDIRECT(ADDRESS(2,COLUMN())),OFFSET($BN$2,0,0,ROW()-1,60),ROW()-1,FALSE))</f>
        <v/>
      </c>
      <c r="AU57" t="str">
        <f ca="1">IF(AND(ISNUMBER($AU$262),$B$208=1),$AU$262,HLOOKUP(INDIRECT(ADDRESS(2,COLUMN())),OFFSET($BN$2,0,0,ROW()-1,60),ROW()-1,FALSE))</f>
        <v/>
      </c>
      <c r="AV57" t="str">
        <f ca="1">IF(AND(ISNUMBER($AV$262),$B$208=1),$AV$262,HLOOKUP(INDIRECT(ADDRESS(2,COLUMN())),OFFSET($BN$2,0,0,ROW()-1,60),ROW()-1,FALSE))</f>
        <v/>
      </c>
      <c r="AW57" t="str">
        <f ca="1">IF(AND(ISNUMBER($AW$262),$B$208=1),$AW$262,HLOOKUP(INDIRECT(ADDRESS(2,COLUMN())),OFFSET($BN$2,0,0,ROW()-1,60),ROW()-1,FALSE))</f>
        <v/>
      </c>
      <c r="AX57" t="str">
        <f ca="1">IF(AND(ISNUMBER($AX$262),$B$208=1),$AX$262,HLOOKUP(INDIRECT(ADDRESS(2,COLUMN())),OFFSET($BN$2,0,0,ROW()-1,60),ROW()-1,FALSE))</f>
        <v/>
      </c>
      <c r="AY57" t="str">
        <f ca="1">IF(AND(ISNUMBER($AY$262),$B$208=1),$AY$262,HLOOKUP(INDIRECT(ADDRESS(2,COLUMN())),OFFSET($BN$2,0,0,ROW()-1,60),ROW()-1,FALSE))</f>
        <v/>
      </c>
      <c r="AZ57" t="str">
        <f ca="1">IF(AND(ISNUMBER($AZ$262),$B$208=1),$AZ$262,HLOOKUP(INDIRECT(ADDRESS(2,COLUMN())),OFFSET($BN$2,0,0,ROW()-1,60),ROW()-1,FALSE))</f>
        <v/>
      </c>
      <c r="BA57" t="str">
        <f ca="1">IF(AND(ISNUMBER($BA$262),$B$208=1),$BA$262,HLOOKUP(INDIRECT(ADDRESS(2,COLUMN())),OFFSET($BN$2,0,0,ROW()-1,60),ROW()-1,FALSE))</f>
        <v/>
      </c>
      <c r="BB57" t="str">
        <f ca="1">IF(AND(ISNUMBER($BB$262),$B$208=1),$BB$262,HLOOKUP(INDIRECT(ADDRESS(2,COLUMN())),OFFSET($BN$2,0,0,ROW()-1,60),ROW()-1,FALSE))</f>
        <v/>
      </c>
      <c r="BC57" t="str">
        <f ca="1">IF(AND(ISNUMBER($BC$262),$B$208=1),$BC$262,HLOOKUP(INDIRECT(ADDRESS(2,COLUMN())),OFFSET($BN$2,0,0,ROW()-1,60),ROW()-1,FALSE))</f>
        <v/>
      </c>
      <c r="BD57" t="str">
        <f ca="1">IF(AND(ISNUMBER($BD$262),$B$208=1),$BD$262,HLOOKUP(INDIRECT(ADDRESS(2,COLUMN())),OFFSET($BN$2,0,0,ROW()-1,60),ROW()-1,FALSE))</f>
        <v/>
      </c>
      <c r="BE57" t="str">
        <f ca="1">IF(AND(ISNUMBER($BE$262),$B$208=1),$BE$262,HLOOKUP(INDIRECT(ADDRESS(2,COLUMN())),OFFSET($BN$2,0,0,ROW()-1,60),ROW()-1,FALSE))</f>
        <v/>
      </c>
      <c r="BF57" t="str">
        <f ca="1">IF(AND(ISNUMBER($BF$262),$B$208=1),$BF$262,HLOOKUP(INDIRECT(ADDRESS(2,COLUMN())),OFFSET($BN$2,0,0,ROW()-1,60),ROW()-1,FALSE))</f>
        <v/>
      </c>
      <c r="BG57" t="str">
        <f ca="1">IF(AND(ISNUMBER($BG$262),$B$208=1),$BG$262,HLOOKUP(INDIRECT(ADDRESS(2,COLUMN())),OFFSET($BN$2,0,0,ROW()-1,60),ROW()-1,FALSE))</f>
        <v/>
      </c>
      <c r="BH57" t="str">
        <f ca="1">IF(AND(ISNUMBER($BH$262),$B$208=1),$BH$262,HLOOKUP(INDIRECT(ADDRESS(2,COLUMN())),OFFSET($BN$2,0,0,ROW()-1,60),ROW()-1,FALSE))</f>
        <v/>
      </c>
      <c r="BI57" t="str">
        <f ca="1">IF(AND(ISNUMBER($BI$262),$B$208=1),$BI$262,HLOOKUP(INDIRECT(ADDRESS(2,COLUMN())),OFFSET($BN$2,0,0,ROW()-1,60),ROW()-1,FALSE))</f>
        <v/>
      </c>
      <c r="BJ57" t="str">
        <f ca="1">IF(AND(ISNUMBER($BJ$262),$B$208=1),$BJ$262,HLOOKUP(INDIRECT(ADDRESS(2,COLUMN())),OFFSET($BN$2,0,0,ROW()-1,60),ROW()-1,FALSE))</f>
        <v/>
      </c>
      <c r="BK57" t="str">
        <f ca="1">IF(AND(ISNUMBER($BK$262),$B$208=1),$BK$262,HLOOKUP(INDIRECT(ADDRESS(2,COLUMN())),OFFSET($BN$2,0,0,ROW()-1,60),ROW()-1,FALSE))</f>
        <v/>
      </c>
      <c r="BL57" t="str">
        <f ca="1">IF(AND(ISNUMBER($BL$262),$B$208=1),$BL$262,HLOOKUP(INDIRECT(ADDRESS(2,COLUMN())),OFFSET($BN$2,0,0,ROW()-1,60),ROW()-1,FALSE))</f>
        <v/>
      </c>
      <c r="BM57" t="str">
        <f ca="1">IF(AND(ISNUMBER($BM$262),$B$208=1),$BM$262,HLOOKUP(INDIRECT(ADDRESS(2,COLUMN())),OFFSET($BN$2,0,0,ROW()-1,60),ROW()-1,FALSE))</f>
        <v/>
      </c>
      <c r="BN57">
        <f>9315.121162</f>
        <v>9315.1211619999995</v>
      </c>
      <c r="BO57" t="str">
        <f>""</f>
        <v/>
      </c>
      <c r="BP57" t="str">
        <f>""</f>
        <v/>
      </c>
      <c r="BQ57" t="str">
        <f>""</f>
        <v/>
      </c>
      <c r="BR57">
        <f>11515.69886</f>
        <v>11515.69886</v>
      </c>
      <c r="BS57" t="str">
        <f>""</f>
        <v/>
      </c>
      <c r="BT57" t="str">
        <f>""</f>
        <v/>
      </c>
      <c r="BU57" t="str">
        <f>""</f>
        <v/>
      </c>
      <c r="BV57">
        <f>16397.90949</f>
        <v>16397.909489999998</v>
      </c>
      <c r="BW57" t="str">
        <f>""</f>
        <v/>
      </c>
      <c r="BX57" t="str">
        <f>""</f>
        <v/>
      </c>
      <c r="BY57" t="str">
        <f>""</f>
        <v/>
      </c>
      <c r="BZ57">
        <f>11706.96319</f>
        <v>11706.96319</v>
      </c>
      <c r="CA57" t="str">
        <f>""</f>
        <v/>
      </c>
      <c r="CB57" t="str">
        <f>""</f>
        <v/>
      </c>
      <c r="CC57" t="str">
        <f>""</f>
        <v/>
      </c>
      <c r="CD57">
        <f>14783.29505</f>
        <v>14783.295050000001</v>
      </c>
      <c r="CE57" t="str">
        <f>""</f>
        <v/>
      </c>
      <c r="CF57" t="str">
        <f>""</f>
        <v/>
      </c>
      <c r="CG57" t="str">
        <f>""</f>
        <v/>
      </c>
      <c r="CH57">
        <f>9833.53984</f>
        <v>9833.5398399999995</v>
      </c>
      <c r="CI57" t="str">
        <f>""</f>
        <v/>
      </c>
      <c r="CJ57" t="str">
        <f>""</f>
        <v/>
      </c>
      <c r="CK57" t="str">
        <f>""</f>
        <v/>
      </c>
      <c r="CL57">
        <f>10178.61591</f>
        <v>10178.61591</v>
      </c>
      <c r="CM57" t="str">
        <f>""</f>
        <v/>
      </c>
      <c r="CN57" t="str">
        <f>""</f>
        <v/>
      </c>
      <c r="CO57" t="str">
        <f>""</f>
        <v/>
      </c>
      <c r="CP57">
        <f>10771.94203</f>
        <v>10771.94203</v>
      </c>
      <c r="CQ57" t="str">
        <f>""</f>
        <v/>
      </c>
      <c r="CR57" t="str">
        <f>""</f>
        <v/>
      </c>
      <c r="CS57" t="str">
        <f>""</f>
        <v/>
      </c>
      <c r="CT57">
        <f>13733.79543</f>
        <v>13733.79543</v>
      </c>
      <c r="CU57" t="str">
        <f>""</f>
        <v/>
      </c>
      <c r="CV57" t="str">
        <f>""</f>
        <v/>
      </c>
      <c r="CW57" t="str">
        <f>""</f>
        <v/>
      </c>
      <c r="CX57">
        <f>17216.71665</f>
        <v>17216.716649999998</v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</row>
    <row r="58" spans="1:125" x14ac:dyDescent="0.25">
      <c r="A58" t="str">
        <f>"    Danske Bank A/S"</f>
        <v xml:space="preserve">    Danske Bank A/S</v>
      </c>
      <c r="B58" t="str">
        <f>"DANSKE DC Equity"</f>
        <v>DANSKE DC Equity</v>
      </c>
      <c r="C58" t="str">
        <f t="shared" si="3"/>
        <v>BM109</v>
      </c>
      <c r="D58" t="str">
        <f t="shared" si="4"/>
        <v>BS_TRADING_SECURITIES_DERIVS</v>
      </c>
      <c r="E58" t="str">
        <f t="shared" si="5"/>
        <v>Dynamic</v>
      </c>
      <c r="F58">
        <f ca="1">IF(AND(ISNUMBER($F$263),$B$208=1),$F$263,HLOOKUP(INDIRECT(ADDRESS(2,COLUMN())),OFFSET($BN$2,0,0,ROW()-1,60),ROW()-1,FALSE))</f>
        <v>34962.436549999999</v>
      </c>
      <c r="G58" t="str">
        <f ca="1">IF(AND(ISNUMBER($G$263),$B$208=1),$G$263,HLOOKUP(INDIRECT(ADDRESS(2,COLUMN())),OFFSET($BN$2,0,0,ROW()-1,60),ROW()-1,FALSE))</f>
        <v/>
      </c>
      <c r="H58" t="str">
        <f ca="1">IF(AND(ISNUMBER($H$263),$B$208=1),$H$263,HLOOKUP(INDIRECT(ADDRESS(2,COLUMN())),OFFSET($BN$2,0,0,ROW()-1,60),ROW()-1,FALSE))</f>
        <v/>
      </c>
      <c r="I58" t="str">
        <f ca="1">IF(AND(ISNUMBER($I$263),$B$208=1),$I$263,HLOOKUP(INDIRECT(ADDRESS(2,COLUMN())),OFFSET($BN$2,0,0,ROW()-1,60),ROW()-1,FALSE))</f>
        <v/>
      </c>
      <c r="J58">
        <f ca="1">IF(AND(ISNUMBER($J$263),$B$208=1),$J$263,HLOOKUP(INDIRECT(ADDRESS(2,COLUMN())),OFFSET($BN$2,0,0,ROW()-1,60),ROW()-1,FALSE))</f>
        <v>46352.040050000003</v>
      </c>
      <c r="K58" t="str">
        <f ca="1">IF(AND(ISNUMBER($K$263),$B$208=1),$K$263,HLOOKUP(INDIRECT(ADDRESS(2,COLUMN())),OFFSET($BN$2,0,0,ROW()-1,60),ROW()-1,FALSE))</f>
        <v/>
      </c>
      <c r="L58" t="str">
        <f ca="1">IF(AND(ISNUMBER($L$263),$B$208=1),$L$263,HLOOKUP(INDIRECT(ADDRESS(2,COLUMN())),OFFSET($BN$2,0,0,ROW()-1,60),ROW()-1,FALSE))</f>
        <v/>
      </c>
      <c r="M58" t="str">
        <f ca="1">IF(AND(ISNUMBER($M$263),$B$208=1),$M$263,HLOOKUP(INDIRECT(ADDRESS(2,COLUMN())),OFFSET($BN$2,0,0,ROW()-1,60),ROW()-1,FALSE))</f>
        <v/>
      </c>
      <c r="N58">
        <f ca="1">IF(AND(ISNUMBER($N$263),$B$208=1),$N$263,HLOOKUP(INDIRECT(ADDRESS(2,COLUMN())),OFFSET($BN$2,0,0,ROW()-1,60),ROW()-1,FALSE))</f>
        <v>57387.095249999998</v>
      </c>
      <c r="O58" t="str">
        <f ca="1">IF(AND(ISNUMBER($O$263),$B$208=1),$O$263,HLOOKUP(INDIRECT(ADDRESS(2,COLUMN())),OFFSET($BN$2,0,0,ROW()-1,60),ROW()-1,FALSE))</f>
        <v/>
      </c>
      <c r="P58" t="str">
        <f ca="1">IF(AND(ISNUMBER($P$263),$B$208=1),$P$263,HLOOKUP(INDIRECT(ADDRESS(2,COLUMN())),OFFSET($BN$2,0,0,ROW()-1,60),ROW()-1,FALSE))</f>
        <v/>
      </c>
      <c r="Q58" t="str">
        <f ca="1">IF(AND(ISNUMBER($Q$263),$B$208=1),$Q$263,HLOOKUP(INDIRECT(ADDRESS(2,COLUMN())),OFFSET($BN$2,0,0,ROW()-1,60),ROW()-1,FALSE))</f>
        <v/>
      </c>
      <c r="R58">
        <f ca="1">IF(AND(ISNUMBER($R$263),$B$208=1),$R$263,HLOOKUP(INDIRECT(ADDRESS(2,COLUMN())),OFFSET($BN$2,0,0,ROW()-1,60),ROW()-1,FALSE))</f>
        <v>33961.097739999997</v>
      </c>
      <c r="S58" t="str">
        <f ca="1">IF(AND(ISNUMBER($S$263),$B$208=1),$S$263,HLOOKUP(INDIRECT(ADDRESS(2,COLUMN())),OFFSET($BN$2,0,0,ROW()-1,60),ROW()-1,FALSE))</f>
        <v/>
      </c>
      <c r="T58" t="str">
        <f ca="1">IF(AND(ISNUMBER($T$263),$B$208=1),$T$263,HLOOKUP(INDIRECT(ADDRESS(2,COLUMN())),OFFSET($BN$2,0,0,ROW()-1,60),ROW()-1,FALSE))</f>
        <v/>
      </c>
      <c r="U58" t="str">
        <f ca="1">IF(AND(ISNUMBER($U$263),$B$208=1),$U$263,HLOOKUP(INDIRECT(ADDRESS(2,COLUMN())),OFFSET($BN$2,0,0,ROW()-1,60),ROW()-1,FALSE))</f>
        <v/>
      </c>
      <c r="V58">
        <f ca="1">IF(AND(ISNUMBER($V$263),$B$208=1),$V$263,HLOOKUP(INDIRECT(ADDRESS(2,COLUMN())),OFFSET($BN$2,0,0,ROW()-1,60),ROW()-1,FALSE))</f>
        <v>49093.327169999997</v>
      </c>
      <c r="W58" t="str">
        <f ca="1">IF(AND(ISNUMBER($W$263),$B$208=1),$W$263,HLOOKUP(INDIRECT(ADDRESS(2,COLUMN())),OFFSET($BN$2,0,0,ROW()-1,60),ROW()-1,FALSE))</f>
        <v/>
      </c>
      <c r="X58" t="str">
        <f ca="1">IF(AND(ISNUMBER($X$263),$B$208=1),$X$263,HLOOKUP(INDIRECT(ADDRESS(2,COLUMN())),OFFSET($BN$2,0,0,ROW()-1,60),ROW()-1,FALSE))</f>
        <v/>
      </c>
      <c r="Y58" t="str">
        <f ca="1">IF(AND(ISNUMBER($Y$263),$B$208=1),$Y$263,HLOOKUP(INDIRECT(ADDRESS(2,COLUMN())),OFFSET($BN$2,0,0,ROW()-1,60),ROW()-1,FALSE))</f>
        <v/>
      </c>
      <c r="Z58">
        <f ca="1">IF(AND(ISNUMBER($Z$263),$B$208=1),$Z$263,HLOOKUP(INDIRECT(ADDRESS(2,COLUMN())),OFFSET($BN$2,0,0,ROW()-1,60),ROW()-1,FALSE))</f>
        <v>38028.695749999999</v>
      </c>
      <c r="AA58" t="str">
        <f ca="1">IF(AND(ISNUMBER($AA$263),$B$208=1),$AA$263,HLOOKUP(INDIRECT(ADDRESS(2,COLUMN())),OFFSET($BN$2,0,0,ROW()-1,60),ROW()-1,FALSE))</f>
        <v/>
      </c>
      <c r="AB58" t="str">
        <f ca="1">IF(AND(ISNUMBER($AB$263),$B$208=1),$AB$263,HLOOKUP(INDIRECT(ADDRESS(2,COLUMN())),OFFSET($BN$2,0,0,ROW()-1,60),ROW()-1,FALSE))</f>
        <v/>
      </c>
      <c r="AC58" t="str">
        <f ca="1">IF(AND(ISNUMBER($AC$263),$B$208=1),$AC$263,HLOOKUP(INDIRECT(ADDRESS(2,COLUMN())),OFFSET($BN$2,0,0,ROW()-1,60),ROW()-1,FALSE))</f>
        <v/>
      </c>
      <c r="AD58">
        <f ca="1">IF(AND(ISNUMBER($AD$263),$B$208=1),$AD$263,HLOOKUP(INDIRECT(ADDRESS(2,COLUMN())),OFFSET($BN$2,0,0,ROW()-1,60),ROW()-1,FALSE))</f>
        <v>31650.628430000001</v>
      </c>
      <c r="AE58" t="str">
        <f ca="1">IF(AND(ISNUMBER($AE$263),$B$208=1),$AE$263,HLOOKUP(INDIRECT(ADDRESS(2,COLUMN())),OFFSET($BN$2,0,0,ROW()-1,60),ROW()-1,FALSE))</f>
        <v/>
      </c>
      <c r="AF58" t="str">
        <f ca="1">IF(AND(ISNUMBER($AF$263),$B$208=1),$AF$263,HLOOKUP(INDIRECT(ADDRESS(2,COLUMN())),OFFSET($BN$2,0,0,ROW()-1,60),ROW()-1,FALSE))</f>
        <v/>
      </c>
      <c r="AG58" t="str">
        <f ca="1">IF(AND(ISNUMBER($AG$263),$B$208=1),$AG$263,HLOOKUP(INDIRECT(ADDRESS(2,COLUMN())),OFFSET($BN$2,0,0,ROW()-1,60),ROW()-1,FALSE))</f>
        <v/>
      </c>
      <c r="AH58">
        <f ca="1">IF(AND(ISNUMBER($AH$263),$B$208=1),$AH$263,HLOOKUP(INDIRECT(ADDRESS(2,COLUMN())),OFFSET($BN$2,0,0,ROW()-1,60),ROW()-1,FALSE))</f>
        <v>33373.485780000003</v>
      </c>
      <c r="AI58" t="str">
        <f ca="1">IF(AND(ISNUMBER($AI$263),$B$208=1),$AI$263,HLOOKUP(INDIRECT(ADDRESS(2,COLUMN())),OFFSET($BN$2,0,0,ROW()-1,60),ROW()-1,FALSE))</f>
        <v/>
      </c>
      <c r="AJ58" t="str">
        <f ca="1">IF(AND(ISNUMBER($AJ$263),$B$208=1),$AJ$263,HLOOKUP(INDIRECT(ADDRESS(2,COLUMN())),OFFSET($BN$2,0,0,ROW()-1,60),ROW()-1,FALSE))</f>
        <v/>
      </c>
      <c r="AK58" t="str">
        <f ca="1">IF(AND(ISNUMBER($AK$263),$B$208=1),$AK$263,HLOOKUP(INDIRECT(ADDRESS(2,COLUMN())),OFFSET($BN$2,0,0,ROW()-1,60),ROW()-1,FALSE))</f>
        <v/>
      </c>
      <c r="AL58" t="str">
        <f ca="1">IF(AND(ISNUMBER($AL$263),$B$208=1),$AL$263,HLOOKUP(INDIRECT(ADDRESS(2,COLUMN())),OFFSET($BN$2,0,0,ROW()-1,60),ROW()-1,FALSE))</f>
        <v/>
      </c>
      <c r="AM58" t="str">
        <f ca="1">IF(AND(ISNUMBER($AM$263),$B$208=1),$AM$263,HLOOKUP(INDIRECT(ADDRESS(2,COLUMN())),OFFSET($BN$2,0,0,ROW()-1,60),ROW()-1,FALSE))</f>
        <v/>
      </c>
      <c r="AN58" t="str">
        <f ca="1">IF(AND(ISNUMBER($AN$263),$B$208=1),$AN$263,HLOOKUP(INDIRECT(ADDRESS(2,COLUMN())),OFFSET($BN$2,0,0,ROW()-1,60),ROW()-1,FALSE))</f>
        <v/>
      </c>
      <c r="AO58" t="str">
        <f ca="1">IF(AND(ISNUMBER($AO$263),$B$208=1),$AO$263,HLOOKUP(INDIRECT(ADDRESS(2,COLUMN())),OFFSET($BN$2,0,0,ROW()-1,60),ROW()-1,FALSE))</f>
        <v/>
      </c>
      <c r="AP58" t="str">
        <f ca="1">IF(AND(ISNUMBER($AP$263),$B$208=1),$AP$263,HLOOKUP(INDIRECT(ADDRESS(2,COLUMN())),OFFSET($BN$2,0,0,ROW()-1,60),ROW()-1,FALSE))</f>
        <v/>
      </c>
      <c r="AQ58" t="str">
        <f ca="1">IF(AND(ISNUMBER($AQ$263),$B$208=1),$AQ$263,HLOOKUP(INDIRECT(ADDRESS(2,COLUMN())),OFFSET($BN$2,0,0,ROW()-1,60),ROW()-1,FALSE))</f>
        <v/>
      </c>
      <c r="AR58" t="str">
        <f ca="1">IF(AND(ISNUMBER($AR$263),$B$208=1),$AR$263,HLOOKUP(INDIRECT(ADDRESS(2,COLUMN())),OFFSET($BN$2,0,0,ROW()-1,60),ROW()-1,FALSE))</f>
        <v/>
      </c>
      <c r="AS58" t="str">
        <f ca="1">IF(AND(ISNUMBER($AS$263),$B$208=1),$AS$263,HLOOKUP(INDIRECT(ADDRESS(2,COLUMN())),OFFSET($BN$2,0,0,ROW()-1,60),ROW()-1,FALSE))</f>
        <v/>
      </c>
      <c r="AT58">
        <f ca="1">IF(AND(ISNUMBER($AT$263),$B$208=1),$AT$263,HLOOKUP(INDIRECT(ADDRESS(2,COLUMN())),OFFSET($BN$2,0,0,ROW()-1,60),ROW()-1,FALSE))</f>
        <v>44455.618990000003</v>
      </c>
      <c r="AU58" t="str">
        <f ca="1">IF(AND(ISNUMBER($AU$263),$B$208=1),$AU$263,HLOOKUP(INDIRECT(ADDRESS(2,COLUMN())),OFFSET($BN$2,0,0,ROW()-1,60),ROW()-1,FALSE))</f>
        <v/>
      </c>
      <c r="AV58" t="str">
        <f ca="1">IF(AND(ISNUMBER($AV$263),$B$208=1),$AV$263,HLOOKUP(INDIRECT(ADDRESS(2,COLUMN())),OFFSET($BN$2,0,0,ROW()-1,60),ROW()-1,FALSE))</f>
        <v/>
      </c>
      <c r="AW58" t="str">
        <f ca="1">IF(AND(ISNUMBER($AW$263),$B$208=1),$AW$263,HLOOKUP(INDIRECT(ADDRESS(2,COLUMN())),OFFSET($BN$2,0,0,ROW()-1,60),ROW()-1,FALSE))</f>
        <v/>
      </c>
      <c r="AX58">
        <f ca="1">IF(AND(ISNUMBER($AX$263),$B$208=1),$AX$263,HLOOKUP(INDIRECT(ADDRESS(2,COLUMN())),OFFSET($BN$2,0,0,ROW()-1,60),ROW()-1,FALSE))</f>
        <v>21704.72983</v>
      </c>
      <c r="AY58">
        <f ca="1">IF(AND(ISNUMBER($AY$263),$B$208=1),$AY$263,HLOOKUP(INDIRECT(ADDRESS(2,COLUMN())),OFFSET($BN$2,0,0,ROW()-1,60),ROW()-1,FALSE))</f>
        <v>15356.04133</v>
      </c>
      <c r="AZ58" t="str">
        <f ca="1">IF(AND(ISNUMBER($AZ$263),$B$208=1),$AZ$263,HLOOKUP(INDIRECT(ADDRESS(2,COLUMN())),OFFSET($BN$2,0,0,ROW()-1,60),ROW()-1,FALSE))</f>
        <v/>
      </c>
      <c r="BA58">
        <f ca="1">IF(AND(ISNUMBER($BA$263),$B$208=1),$BA$263,HLOOKUP(INDIRECT(ADDRESS(2,COLUMN())),OFFSET($BN$2,0,0,ROW()-1,60),ROW()-1,FALSE))</f>
        <v>15243.82711</v>
      </c>
      <c r="BB58">
        <f ca="1">IF(AND(ISNUMBER($BB$263),$B$208=1),$BB$263,HLOOKUP(INDIRECT(ADDRESS(2,COLUMN())),OFFSET($BN$2,0,0,ROW()-1,60),ROW()-1,FALSE))</f>
        <v>14439.192429999999</v>
      </c>
      <c r="BC58">
        <f ca="1">IF(AND(ISNUMBER($BC$263),$B$208=1),$BC$263,HLOOKUP(INDIRECT(ADDRESS(2,COLUMN())),OFFSET($BN$2,0,0,ROW()-1,60),ROW()-1,FALSE))</f>
        <v>13941.93908</v>
      </c>
      <c r="BD58">
        <f ca="1">IF(AND(ISNUMBER($BD$263),$B$208=1),$BD$263,HLOOKUP(INDIRECT(ADDRESS(2,COLUMN())),OFFSET($BN$2,0,0,ROW()-1,60),ROW()-1,FALSE))</f>
        <v>14187.93319</v>
      </c>
      <c r="BE58" t="str">
        <f ca="1">IF(AND(ISNUMBER($BE$263),$B$208=1),$BE$263,HLOOKUP(INDIRECT(ADDRESS(2,COLUMN())),OFFSET($BN$2,0,0,ROW()-1,60),ROW()-1,FALSE))</f>
        <v/>
      </c>
      <c r="BF58" t="str">
        <f ca="1">IF(AND(ISNUMBER($BF$263),$B$208=1),$BF$263,HLOOKUP(INDIRECT(ADDRESS(2,COLUMN())),OFFSET($BN$2,0,0,ROW()-1,60),ROW()-1,FALSE))</f>
        <v/>
      </c>
      <c r="BG58" t="str">
        <f ca="1">IF(AND(ISNUMBER($BG$263),$B$208=1),$BG$263,HLOOKUP(INDIRECT(ADDRESS(2,COLUMN())),OFFSET($BN$2,0,0,ROW()-1,60),ROW()-1,FALSE))</f>
        <v/>
      </c>
      <c r="BH58" t="str">
        <f ca="1">IF(AND(ISNUMBER($BH$263),$B$208=1),$BH$263,HLOOKUP(INDIRECT(ADDRESS(2,COLUMN())),OFFSET($BN$2,0,0,ROW()-1,60),ROW()-1,FALSE))</f>
        <v/>
      </c>
      <c r="BI58" t="str">
        <f ca="1">IF(AND(ISNUMBER($BI$263),$B$208=1),$BI$263,HLOOKUP(INDIRECT(ADDRESS(2,COLUMN())),OFFSET($BN$2,0,0,ROW()-1,60),ROW()-1,FALSE))</f>
        <v/>
      </c>
      <c r="BJ58" t="str">
        <f ca="1">IF(AND(ISNUMBER($BJ$263),$B$208=1),$BJ$263,HLOOKUP(INDIRECT(ADDRESS(2,COLUMN())),OFFSET($BN$2,0,0,ROW()-1,60),ROW()-1,FALSE))</f>
        <v/>
      </c>
      <c r="BK58" t="str">
        <f ca="1">IF(AND(ISNUMBER($BK$263),$B$208=1),$BK$263,HLOOKUP(INDIRECT(ADDRESS(2,COLUMN())),OFFSET($BN$2,0,0,ROW()-1,60),ROW()-1,FALSE))</f>
        <v/>
      </c>
      <c r="BL58" t="str">
        <f ca="1">IF(AND(ISNUMBER($BL$263),$B$208=1),$BL$263,HLOOKUP(INDIRECT(ADDRESS(2,COLUMN())),OFFSET($BN$2,0,0,ROW()-1,60),ROW()-1,FALSE))</f>
        <v/>
      </c>
      <c r="BM58" t="str">
        <f ca="1">IF(AND(ISNUMBER($BM$263),$B$208=1),$BM$263,HLOOKUP(INDIRECT(ADDRESS(2,COLUMN())),OFFSET($BN$2,0,0,ROW()-1,60),ROW()-1,FALSE))</f>
        <v/>
      </c>
      <c r="BN58">
        <f>34962.43655</f>
        <v>34962.436549999999</v>
      </c>
      <c r="BO58" t="str">
        <f>""</f>
        <v/>
      </c>
      <c r="BP58" t="str">
        <f>""</f>
        <v/>
      </c>
      <c r="BQ58" t="str">
        <f>""</f>
        <v/>
      </c>
      <c r="BR58">
        <f>46352.04005</f>
        <v>46352.040050000003</v>
      </c>
      <c r="BS58" t="str">
        <f>""</f>
        <v/>
      </c>
      <c r="BT58" t="str">
        <f>""</f>
        <v/>
      </c>
      <c r="BU58" t="str">
        <f>""</f>
        <v/>
      </c>
      <c r="BV58">
        <f>57387.09525</f>
        <v>57387.095249999998</v>
      </c>
      <c r="BW58" t="str">
        <f>""</f>
        <v/>
      </c>
      <c r="BX58" t="str">
        <f>""</f>
        <v/>
      </c>
      <c r="BY58" t="str">
        <f>""</f>
        <v/>
      </c>
      <c r="BZ58">
        <f>33961.09774</f>
        <v>33961.097739999997</v>
      </c>
      <c r="CA58" t="str">
        <f>""</f>
        <v/>
      </c>
      <c r="CB58" t="str">
        <f>""</f>
        <v/>
      </c>
      <c r="CC58" t="str">
        <f>""</f>
        <v/>
      </c>
      <c r="CD58">
        <f>49093.32717</f>
        <v>49093.327169999997</v>
      </c>
      <c r="CE58" t="str">
        <f>""</f>
        <v/>
      </c>
      <c r="CF58" t="str">
        <f>""</f>
        <v/>
      </c>
      <c r="CG58" t="str">
        <f>""</f>
        <v/>
      </c>
      <c r="CH58">
        <f>38028.69575</f>
        <v>38028.695749999999</v>
      </c>
      <c r="CI58" t="str">
        <f>""</f>
        <v/>
      </c>
      <c r="CJ58" t="str">
        <f>""</f>
        <v/>
      </c>
      <c r="CK58" t="str">
        <f>""</f>
        <v/>
      </c>
      <c r="CL58">
        <f>31650.62843</f>
        <v>31650.628430000001</v>
      </c>
      <c r="CM58" t="str">
        <f>""</f>
        <v/>
      </c>
      <c r="CN58" t="str">
        <f>""</f>
        <v/>
      </c>
      <c r="CO58" t="str">
        <f>""</f>
        <v/>
      </c>
      <c r="CP58">
        <f>33373.48578</f>
        <v>33373.485780000003</v>
      </c>
      <c r="CQ58" t="str">
        <f>""</f>
        <v/>
      </c>
      <c r="CR58" t="str">
        <f>""</f>
        <v/>
      </c>
      <c r="CS58" t="str">
        <f>""</f>
        <v/>
      </c>
      <c r="CT58" t="str">
        <f>""</f>
        <v/>
      </c>
      <c r="CU58" t="str">
        <f>""</f>
        <v/>
      </c>
      <c r="CV58" t="str">
        <f>""</f>
        <v/>
      </c>
      <c r="CW58" t="str">
        <f>""</f>
        <v/>
      </c>
      <c r="CX58" t="str">
        <f>""</f>
        <v/>
      </c>
      <c r="CY58" t="str">
        <f>""</f>
        <v/>
      </c>
      <c r="CZ58" t="str">
        <f>""</f>
        <v/>
      </c>
      <c r="DA58" t="str">
        <f>""</f>
        <v/>
      </c>
      <c r="DB58">
        <f>44455.61899</f>
        <v>44455.618990000003</v>
      </c>
      <c r="DC58" t="str">
        <f>""</f>
        <v/>
      </c>
      <c r="DD58" t="str">
        <f>""</f>
        <v/>
      </c>
      <c r="DE58" t="str">
        <f>""</f>
        <v/>
      </c>
      <c r="DF58">
        <f>21704.72983</f>
        <v>21704.72983</v>
      </c>
      <c r="DG58">
        <f>15356.04133</f>
        <v>15356.04133</v>
      </c>
      <c r="DH58" t="str">
        <f>""</f>
        <v/>
      </c>
      <c r="DI58">
        <f>15243.82711</f>
        <v>15243.82711</v>
      </c>
      <c r="DJ58">
        <f>14439.19243</f>
        <v>14439.192429999999</v>
      </c>
      <c r="DK58">
        <f>13941.93908</f>
        <v>13941.93908</v>
      </c>
      <c r="DL58">
        <f>14187.93319</f>
        <v>14187.93319</v>
      </c>
      <c r="DM58" t="str">
        <f>""</f>
        <v/>
      </c>
      <c r="DN58" t="str">
        <f>""</f>
        <v/>
      </c>
      <c r="DO58" t="str">
        <f>""</f>
        <v/>
      </c>
      <c r="DP58" t="str">
        <f>""</f>
        <v/>
      </c>
      <c r="DQ58" t="str">
        <f>""</f>
        <v/>
      </c>
      <c r="DR58" t="str">
        <f>""</f>
        <v/>
      </c>
      <c r="DS58" t="str">
        <f>""</f>
        <v/>
      </c>
      <c r="DT58" t="str">
        <f>""</f>
        <v/>
      </c>
      <c r="DU58" t="str">
        <f>""</f>
        <v/>
      </c>
    </row>
    <row r="59" spans="1:125" x14ac:dyDescent="0.25">
      <c r="A59" t="str">
        <f>"    Erste Group Bank AG"</f>
        <v xml:space="preserve">    Erste Group Bank AG</v>
      </c>
      <c r="B59" t="str">
        <f>"EBS AV Equity"</f>
        <v>EBS AV Equity</v>
      </c>
      <c r="C59" t="str">
        <f t="shared" si="3"/>
        <v>BM109</v>
      </c>
      <c r="D59" t="str">
        <f t="shared" si="4"/>
        <v>BS_TRADING_SECURITIES_DERIVS</v>
      </c>
      <c r="E59" t="str">
        <f t="shared" si="5"/>
        <v>Dynamic</v>
      </c>
      <c r="F59">
        <f ca="1">IF(AND(ISNUMBER($F$264),$B$208=1),$F$264,HLOOKUP(INDIRECT(ADDRESS(2,COLUMN())),OFFSET($BN$2,0,0,ROW()-1,60),ROW()-1,FALSE))</f>
        <v>1226</v>
      </c>
      <c r="G59">
        <f ca="1">IF(AND(ISNUMBER($G$264),$B$208=1),$G$264,HLOOKUP(INDIRECT(ADDRESS(2,COLUMN())),OFFSET($BN$2,0,0,ROW()-1,60),ROW()-1,FALSE))</f>
        <v>1103</v>
      </c>
      <c r="H59">
        <f ca="1">IF(AND(ISNUMBER($H$264),$B$208=1),$H$264,HLOOKUP(INDIRECT(ADDRESS(2,COLUMN())),OFFSET($BN$2,0,0,ROW()-1,60),ROW()-1,FALSE))</f>
        <v>1048</v>
      </c>
      <c r="I59">
        <f ca="1">IF(AND(ISNUMBER($I$264),$B$208=1),$I$264,HLOOKUP(INDIRECT(ADDRESS(2,COLUMN())),OFFSET($BN$2,0,0,ROW()-1,60),ROW()-1,FALSE))</f>
        <v>1105.123</v>
      </c>
      <c r="J59">
        <f ca="1">IF(AND(ISNUMBER($J$264),$B$208=1),$J$264,HLOOKUP(INDIRECT(ADDRESS(2,COLUMN())),OFFSET($BN$2,0,0,ROW()-1,60),ROW()-1,FALSE))</f>
        <v>1262</v>
      </c>
      <c r="K59">
        <f ca="1">IF(AND(ISNUMBER($K$264),$B$208=1),$K$264,HLOOKUP(INDIRECT(ADDRESS(2,COLUMN())),OFFSET($BN$2,0,0,ROW()-1,60),ROW()-1,FALSE))</f>
        <v>1356.5309999999999</v>
      </c>
      <c r="L59">
        <f ca="1">IF(AND(ISNUMBER($L$264),$B$208=1),$L$264,HLOOKUP(INDIRECT(ADDRESS(2,COLUMN())),OFFSET($BN$2,0,0,ROW()-1,60),ROW()-1,FALSE))</f>
        <v>1305.538</v>
      </c>
      <c r="M59">
        <f ca="1">IF(AND(ISNUMBER($M$264),$B$208=1),$M$264,HLOOKUP(INDIRECT(ADDRESS(2,COLUMN())),OFFSET($BN$2,0,0,ROW()-1,60),ROW()-1,FALSE))</f>
        <v>1668.2059999999999</v>
      </c>
      <c r="N59">
        <f ca="1">IF(AND(ISNUMBER($N$264),$B$208=1),$N$264,HLOOKUP(INDIRECT(ADDRESS(2,COLUMN())),OFFSET($BN$2,0,0,ROW()-1,60),ROW()-1,FALSE))</f>
        <v>1718</v>
      </c>
      <c r="O59">
        <f ca="1">IF(AND(ISNUMBER($O$264),$B$208=1),$O$264,HLOOKUP(INDIRECT(ADDRESS(2,COLUMN())),OFFSET($BN$2,0,0,ROW()-1,60),ROW()-1,FALSE))</f>
        <v>1981.7629999999999</v>
      </c>
      <c r="P59">
        <f ca="1">IF(AND(ISNUMBER($P$264),$B$208=1),$P$264,HLOOKUP(INDIRECT(ADDRESS(2,COLUMN())),OFFSET($BN$2,0,0,ROW()-1,60),ROW()-1,FALSE))</f>
        <v>1933.7070000000001</v>
      </c>
      <c r="Q59">
        <f ca="1">IF(AND(ISNUMBER($Q$264),$B$208=1),$Q$264,HLOOKUP(INDIRECT(ADDRESS(2,COLUMN())),OFFSET($BN$2,0,0,ROW()-1,60),ROW()-1,FALSE))</f>
        <v>2171.8539999999998</v>
      </c>
      <c r="R59">
        <f ca="1">IF(AND(ISNUMBER($R$264),$B$208=1),$R$264,HLOOKUP(INDIRECT(ADDRESS(2,COLUMN())),OFFSET($BN$2,0,0,ROW()-1,60),ROW()-1,FALSE))</f>
        <v>2264.4</v>
      </c>
      <c r="S59">
        <f ca="1">IF(AND(ISNUMBER($S$264),$B$208=1),$S$264,HLOOKUP(INDIRECT(ADDRESS(2,COLUMN())),OFFSET($BN$2,0,0,ROW()-1,60),ROW()-1,FALSE))</f>
        <v>2269.3649999999998</v>
      </c>
      <c r="T59">
        <f ca="1">IF(AND(ISNUMBER($T$264),$B$208=1),$T$264,HLOOKUP(INDIRECT(ADDRESS(2,COLUMN())),OFFSET($BN$2,0,0,ROW()-1,60),ROW()-1,FALSE))</f>
        <v>2145.5770000000002</v>
      </c>
      <c r="U59">
        <f ca="1">IF(AND(ISNUMBER($U$264),$B$208=1),$U$264,HLOOKUP(INDIRECT(ADDRESS(2,COLUMN())),OFFSET($BN$2,0,0,ROW()-1,60),ROW()-1,FALSE))</f>
        <v>2551.2869999999998</v>
      </c>
      <c r="V59">
        <f ca="1">IF(AND(ISNUMBER($V$264),$B$208=1),$V$264,HLOOKUP(INDIRECT(ADDRESS(2,COLUMN())),OFFSET($BN$2,0,0,ROW()-1,60),ROW()-1,FALSE))</f>
        <v>2954.4</v>
      </c>
      <c r="W59">
        <f ca="1">IF(AND(ISNUMBER($W$264),$B$208=1),$W$264,HLOOKUP(INDIRECT(ADDRESS(2,COLUMN())),OFFSET($BN$2,0,0,ROW()-1,60),ROW()-1,FALSE))</f>
        <v>3369.3130000000001</v>
      </c>
      <c r="X59">
        <f ca="1">IF(AND(ISNUMBER($X$264),$B$208=1),$X$264,HLOOKUP(INDIRECT(ADDRESS(2,COLUMN())),OFFSET($BN$2,0,0,ROW()-1,60),ROW()-1,FALSE))</f>
        <v>3232.52</v>
      </c>
      <c r="Y59">
        <f ca="1">IF(AND(ISNUMBER($Y$264),$B$208=1),$Y$264,HLOOKUP(INDIRECT(ADDRESS(2,COLUMN())),OFFSET($BN$2,0,0,ROW()-1,60),ROW()-1,FALSE))</f>
        <v>4034.8380000000002</v>
      </c>
      <c r="Z59">
        <f ca="1">IF(AND(ISNUMBER($Z$264),$B$208=1),$Z$264,HLOOKUP(INDIRECT(ADDRESS(2,COLUMN())),OFFSET($BN$2,0,0,ROW()-1,60),ROW()-1,FALSE))</f>
        <v>2805.4470000000001</v>
      </c>
      <c r="AA59">
        <f ca="1">IF(AND(ISNUMBER($AA$264),$B$208=1),$AA$264,HLOOKUP(INDIRECT(ADDRESS(2,COLUMN())),OFFSET($BN$2,0,0,ROW()-1,60),ROW()-1,FALSE))</f>
        <v>3551.4409999999998</v>
      </c>
      <c r="AB59">
        <f ca="1">IF(AND(ISNUMBER($AB$264),$B$208=1),$AB$264,HLOOKUP(INDIRECT(ADDRESS(2,COLUMN())),OFFSET($BN$2,0,0,ROW()-1,60),ROW()-1,FALSE))</f>
        <v>3100.84</v>
      </c>
      <c r="AC59">
        <f ca="1">IF(AND(ISNUMBER($AC$264),$B$208=1),$AC$264,HLOOKUP(INDIRECT(ADDRESS(2,COLUMN())),OFFSET($BN$2,0,0,ROW()-1,60),ROW()-1,FALSE))</f>
        <v>3207.701</v>
      </c>
      <c r="AD59">
        <f ca="1">IF(AND(ISNUMBER($AD$264),$B$208=1),$AD$264,HLOOKUP(INDIRECT(ADDRESS(2,COLUMN())),OFFSET($BN$2,0,0,ROW()-1,60),ROW()-1,FALSE))</f>
        <v>3037.413</v>
      </c>
      <c r="AE59">
        <f ca="1">IF(AND(ISNUMBER($AE$264),$B$208=1),$AE$264,HLOOKUP(INDIRECT(ADDRESS(2,COLUMN())),OFFSET($BN$2,0,0,ROW()-1,60),ROW()-1,FALSE))</f>
        <v>3303.3150000000001</v>
      </c>
      <c r="AF59">
        <f ca="1">IF(AND(ISNUMBER($AF$264),$B$208=1),$AF$264,HLOOKUP(INDIRECT(ADDRESS(2,COLUMN())),OFFSET($BN$2,0,0,ROW()-1,60),ROW()-1,FALSE))</f>
        <v>3804.2649999999999</v>
      </c>
      <c r="AG59">
        <f ca="1">IF(AND(ISNUMBER($AG$264),$B$208=1),$AG$264,HLOOKUP(INDIRECT(ADDRESS(2,COLUMN())),OFFSET($BN$2,0,0,ROW()-1,60),ROW()-1,FALSE))</f>
        <v>3696.009</v>
      </c>
      <c r="AH59">
        <f ca="1">IF(AND(ISNUMBER($AH$264),$B$208=1),$AH$264,HLOOKUP(INDIRECT(ADDRESS(2,COLUMN())),OFFSET($BN$2,0,0,ROW()-1,60),ROW()-1,FALSE))</f>
        <v>3333.1419999999998</v>
      </c>
      <c r="AI59">
        <f ca="1">IF(AND(ISNUMBER($AI$264),$B$208=1),$AI$264,HLOOKUP(INDIRECT(ADDRESS(2,COLUMN())),OFFSET($BN$2,0,0,ROW()-1,60),ROW()-1,FALSE))</f>
        <v>3638.93</v>
      </c>
      <c r="AJ59">
        <f ca="1">IF(AND(ISNUMBER($AJ$264),$B$208=1),$AJ$264,HLOOKUP(INDIRECT(ADDRESS(2,COLUMN())),OFFSET($BN$2,0,0,ROW()-1,60),ROW()-1,FALSE))</f>
        <v>3990.2150000000001</v>
      </c>
      <c r="AK59">
        <f ca="1">IF(AND(ISNUMBER($AK$264),$B$208=1),$AK$264,HLOOKUP(INDIRECT(ADDRESS(2,COLUMN())),OFFSET($BN$2,0,0,ROW()-1,60),ROW()-1,FALSE))</f>
        <v>4101.4290000000001</v>
      </c>
      <c r="AL59">
        <f ca="1">IF(AND(ISNUMBER($AL$264),$B$208=1),$AL$264,HLOOKUP(INDIRECT(ADDRESS(2,COLUMN())),OFFSET($BN$2,0,0,ROW()-1,60),ROW()-1,FALSE))</f>
        <v>4474.7830000000004</v>
      </c>
      <c r="AM59">
        <f ca="1">IF(AND(ISNUMBER($AM$264),$B$208=1),$AM$264,HLOOKUP(INDIRECT(ADDRESS(2,COLUMN())),OFFSET($BN$2,0,0,ROW()-1,60),ROW()-1,FALSE))</f>
        <v>5297.3249999999998</v>
      </c>
      <c r="AN59">
        <f ca="1">IF(AND(ISNUMBER($AN$264),$B$208=1),$AN$264,HLOOKUP(INDIRECT(ADDRESS(2,COLUMN())),OFFSET($BN$2,0,0,ROW()-1,60),ROW()-1,FALSE))</f>
        <v>5609.982</v>
      </c>
      <c r="AO59">
        <f ca="1">IF(AND(ISNUMBER($AO$264),$B$208=1),$AO$264,HLOOKUP(INDIRECT(ADDRESS(2,COLUMN())),OFFSET($BN$2,0,0,ROW()-1,60),ROW()-1,FALSE))</f>
        <v>5668.2879999999996</v>
      </c>
      <c r="AP59">
        <f ca="1">IF(AND(ISNUMBER($AP$264),$B$208=1),$AP$264,HLOOKUP(INDIRECT(ADDRESS(2,COLUMN())),OFFSET($BN$2,0,0,ROW()-1,60),ROW()-1,FALSE))</f>
        <v>5303.0010000000002</v>
      </c>
      <c r="AQ59">
        <f ca="1">IF(AND(ISNUMBER($AQ$264),$B$208=1),$AQ$264,HLOOKUP(INDIRECT(ADDRESS(2,COLUMN())),OFFSET($BN$2,0,0,ROW()-1,60),ROW()-1,FALSE))</f>
        <v>5633.4129999999996</v>
      </c>
      <c r="AR59">
        <f ca="1">IF(AND(ISNUMBER($AR$264),$B$208=1),$AR$264,HLOOKUP(INDIRECT(ADDRESS(2,COLUMN())),OFFSET($BN$2,0,0,ROW()-1,60),ROW()-1,FALSE))</f>
        <v>5613.3429999999998</v>
      </c>
      <c r="AS59">
        <f ca="1">IF(AND(ISNUMBER($AS$264),$B$208=1),$AS$264,HLOOKUP(INDIRECT(ADDRESS(2,COLUMN())),OFFSET($BN$2,0,0,ROW()-1,60),ROW()-1,FALSE))</f>
        <v>7628.1409999999996</v>
      </c>
      <c r="AT59">
        <f ca="1">IF(AND(ISNUMBER($AT$264),$B$208=1),$AT$264,HLOOKUP(INDIRECT(ADDRESS(2,COLUMN())),OFFSET($BN$2,0,0,ROW()-1,60),ROW()-1,FALSE))</f>
        <v>7173.38</v>
      </c>
      <c r="AU59" t="str">
        <f ca="1">IF(AND(ISNUMBER($AU$264),$B$208=1),$AU$264,HLOOKUP(INDIRECT(ADDRESS(2,COLUMN())),OFFSET($BN$2,0,0,ROW()-1,60),ROW()-1,FALSE))</f>
        <v/>
      </c>
      <c r="AV59" t="str">
        <f ca="1">IF(AND(ISNUMBER($AV$264),$B$208=1),$AV$264,HLOOKUP(INDIRECT(ADDRESS(2,COLUMN())),OFFSET($BN$2,0,0,ROW()-1,60),ROW()-1,FALSE))</f>
        <v/>
      </c>
      <c r="AW59" t="str">
        <f ca="1">IF(AND(ISNUMBER($AW$264),$B$208=1),$AW$264,HLOOKUP(INDIRECT(ADDRESS(2,COLUMN())),OFFSET($BN$2,0,0,ROW()-1,60),ROW()-1,FALSE))</f>
        <v/>
      </c>
      <c r="AX59">
        <f ca="1">IF(AND(ISNUMBER($AX$264),$B$208=1),$AX$264,HLOOKUP(INDIRECT(ADDRESS(2,COLUMN())),OFFSET($BN$2,0,0,ROW()-1,60),ROW()-1,FALSE))</f>
        <v>6342.2370000000001</v>
      </c>
      <c r="AY59" t="str">
        <f ca="1">IF(AND(ISNUMBER($AY$264),$B$208=1),$AY$264,HLOOKUP(INDIRECT(ADDRESS(2,COLUMN())),OFFSET($BN$2,0,0,ROW()-1,60),ROW()-1,FALSE))</f>
        <v/>
      </c>
      <c r="AZ59" t="str">
        <f ca="1">IF(AND(ISNUMBER($AZ$264),$B$208=1),$AZ$264,HLOOKUP(INDIRECT(ADDRESS(2,COLUMN())),OFFSET($BN$2,0,0,ROW()-1,60),ROW()-1,FALSE))</f>
        <v/>
      </c>
      <c r="BA59">
        <f ca="1">IF(AND(ISNUMBER($BA$264),$B$208=1),$BA$264,HLOOKUP(INDIRECT(ADDRESS(2,COLUMN())),OFFSET($BN$2,0,0,ROW()-1,60),ROW()-1,FALSE))</f>
        <v>8149</v>
      </c>
      <c r="BB59" t="str">
        <f ca="1">IF(AND(ISNUMBER($BB$264),$B$208=1),$BB$264,HLOOKUP(INDIRECT(ADDRESS(2,COLUMN())),OFFSET($BN$2,0,0,ROW()-1,60),ROW()-1,FALSE))</f>
        <v/>
      </c>
      <c r="BC59">
        <f ca="1">IF(AND(ISNUMBER($BC$264),$B$208=1),$BC$264,HLOOKUP(INDIRECT(ADDRESS(2,COLUMN())),OFFSET($BN$2,0,0,ROW()-1,60),ROW()-1,FALSE))</f>
        <v>9642</v>
      </c>
      <c r="BD59">
        <f ca="1">IF(AND(ISNUMBER($BD$264),$B$208=1),$BD$264,HLOOKUP(INDIRECT(ADDRESS(2,COLUMN())),OFFSET($BN$2,0,0,ROW()-1,60),ROW()-1,FALSE))</f>
        <v>9006</v>
      </c>
      <c r="BE59">
        <f ca="1">IF(AND(ISNUMBER($BE$264),$B$208=1),$BE$264,HLOOKUP(INDIRECT(ADDRESS(2,COLUMN())),OFFSET($BN$2,0,0,ROW()-1,60),ROW()-1,FALSE))</f>
        <v>8082</v>
      </c>
      <c r="BF59">
        <f ca="1">IF(AND(ISNUMBER($BF$264),$B$208=1),$BF$264,HLOOKUP(INDIRECT(ADDRESS(2,COLUMN())),OFFSET($BN$2,0,0,ROW()-1,60),ROW()-1,FALSE))</f>
        <v>7948</v>
      </c>
      <c r="BG59">
        <f ca="1">IF(AND(ISNUMBER($BG$264),$B$208=1),$BG$264,HLOOKUP(INDIRECT(ADDRESS(2,COLUMN())),OFFSET($BN$2,0,0,ROW()-1,60),ROW()-1,FALSE))</f>
        <v>8889</v>
      </c>
      <c r="BH59">
        <f ca="1">IF(AND(ISNUMBER($BH$264),$B$208=1),$BH$264,HLOOKUP(INDIRECT(ADDRESS(2,COLUMN())),OFFSET($BN$2,0,0,ROW()-1,60),ROW()-1,FALSE))</f>
        <v>5317</v>
      </c>
      <c r="BI59">
        <f ca="1">IF(AND(ISNUMBER($BI$264),$B$208=1),$BI$264,HLOOKUP(INDIRECT(ADDRESS(2,COLUMN())),OFFSET($BN$2,0,0,ROW()-1,60),ROW()-1,FALSE))</f>
        <v>7064</v>
      </c>
      <c r="BJ59">
        <f ca="1">IF(AND(ISNUMBER($BJ$264),$B$208=1),$BJ$264,HLOOKUP(INDIRECT(ADDRESS(2,COLUMN())),OFFSET($BN$2,0,0,ROW()-1,60),ROW()-1,FALSE))</f>
        <v>6019</v>
      </c>
      <c r="BK59">
        <f ca="1">IF(AND(ISNUMBER($BK$264),$B$208=1),$BK$264,HLOOKUP(INDIRECT(ADDRESS(2,COLUMN())),OFFSET($BN$2,0,0,ROW()-1,60),ROW()-1,FALSE))</f>
        <v>3383</v>
      </c>
      <c r="BL59">
        <f ca="1">IF(AND(ISNUMBER($BL$264),$B$208=1),$BL$264,HLOOKUP(INDIRECT(ADDRESS(2,COLUMN())),OFFSET($BN$2,0,0,ROW()-1,60),ROW()-1,FALSE))</f>
        <v>2872</v>
      </c>
      <c r="BM59" t="str">
        <f ca="1">IF(AND(ISNUMBER($BM$264),$B$208=1),$BM$264,HLOOKUP(INDIRECT(ADDRESS(2,COLUMN())),OFFSET($BN$2,0,0,ROW()-1,60),ROW()-1,FALSE))</f>
        <v/>
      </c>
      <c r="BN59">
        <f>1226</f>
        <v>1226</v>
      </c>
      <c r="BO59">
        <f>1103</f>
        <v>1103</v>
      </c>
      <c r="BP59">
        <f>1048</f>
        <v>1048</v>
      </c>
      <c r="BQ59">
        <f>1105.123</f>
        <v>1105.123</v>
      </c>
      <c r="BR59">
        <f>1262</f>
        <v>1262</v>
      </c>
      <c r="BS59">
        <f>1356.531</f>
        <v>1356.5309999999999</v>
      </c>
      <c r="BT59">
        <f>1305.538</f>
        <v>1305.538</v>
      </c>
      <c r="BU59">
        <f>1668.206</f>
        <v>1668.2059999999999</v>
      </c>
      <c r="BV59">
        <f>1718</f>
        <v>1718</v>
      </c>
      <c r="BW59">
        <f>1981.763</f>
        <v>1981.7629999999999</v>
      </c>
      <c r="BX59">
        <f>1933.707</f>
        <v>1933.7070000000001</v>
      </c>
      <c r="BY59">
        <f>2171.854</f>
        <v>2171.8539999999998</v>
      </c>
      <c r="BZ59">
        <f>2264.4</f>
        <v>2264.4</v>
      </c>
      <c r="CA59">
        <f>2269.365</f>
        <v>2269.3649999999998</v>
      </c>
      <c r="CB59">
        <f>2145.577</f>
        <v>2145.5770000000002</v>
      </c>
      <c r="CC59">
        <f>2551.287</f>
        <v>2551.2869999999998</v>
      </c>
      <c r="CD59">
        <f>2954.4</f>
        <v>2954.4</v>
      </c>
      <c r="CE59">
        <f>3369.313</f>
        <v>3369.3130000000001</v>
      </c>
      <c r="CF59">
        <f>3232.52</f>
        <v>3232.52</v>
      </c>
      <c r="CG59">
        <f>4034.838</f>
        <v>4034.8380000000002</v>
      </c>
      <c r="CH59">
        <f>2805.447</f>
        <v>2805.4470000000001</v>
      </c>
      <c r="CI59">
        <f>3551.441</f>
        <v>3551.4409999999998</v>
      </c>
      <c r="CJ59">
        <f>3100.84</f>
        <v>3100.84</v>
      </c>
      <c r="CK59">
        <f>3207.701</f>
        <v>3207.701</v>
      </c>
      <c r="CL59">
        <f>3037.413</f>
        <v>3037.413</v>
      </c>
      <c r="CM59">
        <f>3303.315</f>
        <v>3303.3150000000001</v>
      </c>
      <c r="CN59">
        <f>3804.265</f>
        <v>3804.2649999999999</v>
      </c>
      <c r="CO59">
        <f>3696.009</f>
        <v>3696.009</v>
      </c>
      <c r="CP59">
        <f>3333.142</f>
        <v>3333.1419999999998</v>
      </c>
      <c r="CQ59">
        <f>3638.93</f>
        <v>3638.93</v>
      </c>
      <c r="CR59">
        <f>3990.215</f>
        <v>3990.2150000000001</v>
      </c>
      <c r="CS59">
        <f>4101.429</f>
        <v>4101.4290000000001</v>
      </c>
      <c r="CT59">
        <f>4474.783</f>
        <v>4474.7830000000004</v>
      </c>
      <c r="CU59">
        <f>5297.325</f>
        <v>5297.3249999999998</v>
      </c>
      <c r="CV59">
        <f>5609.982</f>
        <v>5609.982</v>
      </c>
      <c r="CW59">
        <f>5668.288</f>
        <v>5668.2879999999996</v>
      </c>
      <c r="CX59">
        <f>5303.001</f>
        <v>5303.0010000000002</v>
      </c>
      <c r="CY59">
        <f>5633.413</f>
        <v>5633.4129999999996</v>
      </c>
      <c r="CZ59">
        <f>5613.343</f>
        <v>5613.3429999999998</v>
      </c>
      <c r="DA59">
        <f>7628.141</f>
        <v>7628.1409999999996</v>
      </c>
      <c r="DB59">
        <f>7173.38</f>
        <v>7173.38</v>
      </c>
      <c r="DC59" t="str">
        <f>""</f>
        <v/>
      </c>
      <c r="DD59" t="str">
        <f>""</f>
        <v/>
      </c>
      <c r="DE59" t="str">
        <f>""</f>
        <v/>
      </c>
      <c r="DF59">
        <f>6342.237</f>
        <v>6342.2370000000001</v>
      </c>
      <c r="DG59" t="str">
        <f>""</f>
        <v/>
      </c>
      <c r="DH59" t="str">
        <f>""</f>
        <v/>
      </c>
      <c r="DI59">
        <f>8149</f>
        <v>8149</v>
      </c>
      <c r="DJ59" t="str">
        <f>""</f>
        <v/>
      </c>
      <c r="DK59">
        <f>9642</f>
        <v>9642</v>
      </c>
      <c r="DL59">
        <f>9006</f>
        <v>9006</v>
      </c>
      <c r="DM59">
        <f>8082</f>
        <v>8082</v>
      </c>
      <c r="DN59">
        <f>7948</f>
        <v>7948</v>
      </c>
      <c r="DO59">
        <f>8889</f>
        <v>8889</v>
      </c>
      <c r="DP59">
        <f>5317</f>
        <v>5317</v>
      </c>
      <c r="DQ59">
        <f>7064</f>
        <v>7064</v>
      </c>
      <c r="DR59">
        <f>6019</f>
        <v>6019</v>
      </c>
      <c r="DS59">
        <f>3383</f>
        <v>3383</v>
      </c>
      <c r="DT59">
        <f>2872</f>
        <v>2872</v>
      </c>
      <c r="DU59" t="str">
        <f>""</f>
        <v/>
      </c>
    </row>
    <row r="60" spans="1:125" x14ac:dyDescent="0.25">
      <c r="A60" t="str">
        <f>"    FinecoBank Banca Fineco SpA"</f>
        <v xml:space="preserve">    FinecoBank Banca Fineco SpA</v>
      </c>
      <c r="B60" t="str">
        <f>"FBK IM Equity"</f>
        <v>FBK IM Equity</v>
      </c>
      <c r="C60" t="str">
        <f t="shared" si="3"/>
        <v>BM109</v>
      </c>
      <c r="D60" t="str">
        <f t="shared" si="4"/>
        <v>BS_TRADING_SECURITIES_DERIVS</v>
      </c>
      <c r="E60" t="str">
        <f t="shared" si="5"/>
        <v>Dynamic</v>
      </c>
      <c r="F60" t="str">
        <f ca="1">IF(AND(ISNUMBER($F$265),$B$208=1),$F$265,HLOOKUP(INDIRECT(ADDRESS(2,COLUMN())),OFFSET($BN$2,0,0,ROW()-1,60),ROW()-1,FALSE))</f>
        <v/>
      </c>
      <c r="G60" t="str">
        <f ca="1">IF(AND(ISNUMBER($G$265),$B$208=1),$G$265,HLOOKUP(INDIRECT(ADDRESS(2,COLUMN())),OFFSET($BN$2,0,0,ROW()-1,60),ROW()-1,FALSE))</f>
        <v/>
      </c>
      <c r="H60">
        <f ca="1">IF(AND(ISNUMBER($H$265),$B$208=1),$H$265,HLOOKUP(INDIRECT(ADDRESS(2,COLUMN())),OFFSET($BN$2,0,0,ROW()-1,60),ROW()-1,FALSE))</f>
        <v>6.6349999999999998</v>
      </c>
      <c r="I60" t="str">
        <f ca="1">IF(AND(ISNUMBER($I$265),$B$208=1),$I$265,HLOOKUP(INDIRECT(ADDRESS(2,COLUMN())),OFFSET($BN$2,0,0,ROW()-1,60),ROW()-1,FALSE))</f>
        <v/>
      </c>
      <c r="J60">
        <f ca="1">IF(AND(ISNUMBER($J$265),$B$208=1),$J$265,HLOOKUP(INDIRECT(ADDRESS(2,COLUMN())),OFFSET($BN$2,0,0,ROW()-1,60),ROW()-1,FALSE))</f>
        <v>5.3209999999999997</v>
      </c>
      <c r="K60" t="str">
        <f ca="1">IF(AND(ISNUMBER($K$265),$B$208=1),$K$265,HLOOKUP(INDIRECT(ADDRESS(2,COLUMN())),OFFSET($BN$2,0,0,ROW()-1,60),ROW()-1,FALSE))</f>
        <v/>
      </c>
      <c r="L60">
        <f ca="1">IF(AND(ISNUMBER($L$265),$B$208=1),$L$265,HLOOKUP(INDIRECT(ADDRESS(2,COLUMN())),OFFSET($BN$2,0,0,ROW()-1,60),ROW()-1,FALSE))</f>
        <v>7.1929999999999996</v>
      </c>
      <c r="M60" t="str">
        <f ca="1">IF(AND(ISNUMBER($M$265),$B$208=1),$M$265,HLOOKUP(INDIRECT(ADDRESS(2,COLUMN())),OFFSET($BN$2,0,0,ROW()-1,60),ROW()-1,FALSE))</f>
        <v/>
      </c>
      <c r="N60">
        <f ca="1">IF(AND(ISNUMBER($N$265),$B$208=1),$N$265,HLOOKUP(INDIRECT(ADDRESS(2,COLUMN())),OFFSET($BN$2,0,0,ROW()-1,60),ROW()-1,FALSE))</f>
        <v>6.3650000000000002</v>
      </c>
      <c r="O60" t="str">
        <f ca="1">IF(AND(ISNUMBER($O$265),$B$208=1),$O$265,HLOOKUP(INDIRECT(ADDRESS(2,COLUMN())),OFFSET($BN$2,0,0,ROW()-1,60),ROW()-1,FALSE))</f>
        <v/>
      </c>
      <c r="P60">
        <f ca="1">IF(AND(ISNUMBER($P$265),$B$208=1),$P$265,HLOOKUP(INDIRECT(ADDRESS(2,COLUMN())),OFFSET($BN$2,0,0,ROW()-1,60),ROW()-1,FALSE))</f>
        <v>11.105</v>
      </c>
      <c r="Q60" t="str">
        <f ca="1">IF(AND(ISNUMBER($Q$265),$B$208=1),$Q$265,HLOOKUP(INDIRECT(ADDRESS(2,COLUMN())),OFFSET($BN$2,0,0,ROW()-1,60),ROW()-1,FALSE))</f>
        <v/>
      </c>
      <c r="R60">
        <f ca="1">IF(AND(ISNUMBER($R$265),$B$208=1),$R$265,HLOOKUP(INDIRECT(ADDRESS(2,COLUMN())),OFFSET($BN$2,0,0,ROW()-1,60),ROW()-1,FALSE))</f>
        <v>5.4429999999999996</v>
      </c>
      <c r="S60" t="str">
        <f ca="1">IF(AND(ISNUMBER($S$265),$B$208=1),$S$265,HLOOKUP(INDIRECT(ADDRESS(2,COLUMN())),OFFSET($BN$2,0,0,ROW()-1,60),ROW()-1,FALSE))</f>
        <v/>
      </c>
      <c r="T60">
        <f ca="1">IF(AND(ISNUMBER($T$265),$B$208=1),$T$265,HLOOKUP(INDIRECT(ADDRESS(2,COLUMN())),OFFSET($BN$2,0,0,ROW()-1,60),ROW()-1,FALSE))</f>
        <v>6.6870000000000003</v>
      </c>
      <c r="U60" t="str">
        <f ca="1">IF(AND(ISNUMBER($U$265),$B$208=1),$U$265,HLOOKUP(INDIRECT(ADDRESS(2,COLUMN())),OFFSET($BN$2,0,0,ROW()-1,60),ROW()-1,FALSE))</f>
        <v/>
      </c>
      <c r="V60">
        <f ca="1">IF(AND(ISNUMBER($V$265),$B$208=1),$V$265,HLOOKUP(INDIRECT(ADDRESS(2,COLUMN())),OFFSET($BN$2,0,0,ROW()-1,60),ROW()-1,FALSE))</f>
        <v>7.0549999999999997</v>
      </c>
      <c r="W60" t="str">
        <f ca="1">IF(AND(ISNUMBER($W$265),$B$208=1),$W$265,HLOOKUP(INDIRECT(ADDRESS(2,COLUMN())),OFFSET($BN$2,0,0,ROW()-1,60),ROW()-1,FALSE))</f>
        <v/>
      </c>
      <c r="X60">
        <f ca="1">IF(AND(ISNUMBER($X$265),$B$208=1),$X$265,HLOOKUP(INDIRECT(ADDRESS(2,COLUMN())),OFFSET($BN$2,0,0,ROW()-1,60),ROW()-1,FALSE))</f>
        <v>8.5399999999999991</v>
      </c>
      <c r="Y60" t="str">
        <f ca="1">IF(AND(ISNUMBER($Y$265),$B$208=1),$Y$265,HLOOKUP(INDIRECT(ADDRESS(2,COLUMN())),OFFSET($BN$2,0,0,ROW()-1,60),ROW()-1,FALSE))</f>
        <v/>
      </c>
      <c r="Z60" t="str">
        <f ca="1">IF(AND(ISNUMBER($Z$265),$B$208=1),$Z$265,HLOOKUP(INDIRECT(ADDRESS(2,COLUMN())),OFFSET($BN$2,0,0,ROW()-1,60),ROW()-1,FALSE))</f>
        <v/>
      </c>
      <c r="AA60" t="str">
        <f ca="1">IF(AND(ISNUMBER($AA$265),$B$208=1),$AA$265,HLOOKUP(INDIRECT(ADDRESS(2,COLUMN())),OFFSET($BN$2,0,0,ROW()-1,60),ROW()-1,FALSE))</f>
        <v/>
      </c>
      <c r="AB60">
        <f ca="1">IF(AND(ISNUMBER($AB$265),$B$208=1),$AB$265,HLOOKUP(INDIRECT(ADDRESS(2,COLUMN())),OFFSET($BN$2,0,0,ROW()-1,60),ROW()-1,FALSE))</f>
        <v>4.2270000000000003</v>
      </c>
      <c r="AC60" t="str">
        <f ca="1">IF(AND(ISNUMBER($AC$265),$B$208=1),$AC$265,HLOOKUP(INDIRECT(ADDRESS(2,COLUMN())),OFFSET($BN$2,0,0,ROW()-1,60),ROW()-1,FALSE))</f>
        <v/>
      </c>
      <c r="AD60">
        <f ca="1">IF(AND(ISNUMBER($AD$265),$B$208=1),$AD$265,HLOOKUP(INDIRECT(ADDRESS(2,COLUMN())),OFFSET($BN$2,0,0,ROW()-1,60),ROW()-1,FALSE))</f>
        <v>4.7590000000000003</v>
      </c>
      <c r="AE60" t="str">
        <f ca="1">IF(AND(ISNUMBER($AE$265),$B$208=1),$AE$265,HLOOKUP(INDIRECT(ADDRESS(2,COLUMN())),OFFSET($BN$2,0,0,ROW()-1,60),ROW()-1,FALSE))</f>
        <v/>
      </c>
      <c r="AF60">
        <f ca="1">IF(AND(ISNUMBER($AF$265),$B$208=1),$AF$265,HLOOKUP(INDIRECT(ADDRESS(2,COLUMN())),OFFSET($BN$2,0,0,ROW()-1,60),ROW()-1,FALSE))</f>
        <v>6.8529999999999998</v>
      </c>
      <c r="AG60" t="str">
        <f ca="1">IF(AND(ISNUMBER($AG$265),$B$208=1),$AG$265,HLOOKUP(INDIRECT(ADDRESS(2,COLUMN())),OFFSET($BN$2,0,0,ROW()-1,60),ROW()-1,FALSE))</f>
        <v/>
      </c>
      <c r="AH60" t="str">
        <f ca="1">IF(AND(ISNUMBER($AH$265),$B$208=1),$AH$265,HLOOKUP(INDIRECT(ADDRESS(2,COLUMN())),OFFSET($BN$2,0,0,ROW()-1,60),ROW()-1,FALSE))</f>
        <v/>
      </c>
      <c r="AI60" t="str">
        <f ca="1">IF(AND(ISNUMBER($AI$265),$B$208=1),$AI$265,HLOOKUP(INDIRECT(ADDRESS(2,COLUMN())),OFFSET($BN$2,0,0,ROW()-1,60),ROW()-1,FALSE))</f>
        <v/>
      </c>
      <c r="AJ60">
        <f ca="1">IF(AND(ISNUMBER($AJ$265),$B$208=1),$AJ$265,HLOOKUP(INDIRECT(ADDRESS(2,COLUMN())),OFFSET($BN$2,0,0,ROW()-1,60),ROW()-1,FALSE))</f>
        <v>6.4859999999999998</v>
      </c>
      <c r="AK60" t="str">
        <f ca="1">IF(AND(ISNUMBER($AK$265),$B$208=1),$AK$265,HLOOKUP(INDIRECT(ADDRESS(2,COLUMN())),OFFSET($BN$2,0,0,ROW()-1,60),ROW()-1,FALSE))</f>
        <v/>
      </c>
      <c r="AL60">
        <f ca="1">IF(AND(ISNUMBER($AL$265),$B$208=1),$AL$265,HLOOKUP(INDIRECT(ADDRESS(2,COLUMN())),OFFSET($BN$2,0,0,ROW()-1,60),ROW()-1,FALSE))</f>
        <v>4.8639999999999999</v>
      </c>
      <c r="AM60" t="str">
        <f ca="1">IF(AND(ISNUMBER($AM$265),$B$208=1),$AM$265,HLOOKUP(INDIRECT(ADDRESS(2,COLUMN())),OFFSET($BN$2,0,0,ROW()-1,60),ROW()-1,FALSE))</f>
        <v/>
      </c>
      <c r="AN60" t="str">
        <f ca="1">IF(AND(ISNUMBER($AN$265),$B$208=1),$AN$265,HLOOKUP(INDIRECT(ADDRESS(2,COLUMN())),OFFSET($BN$2,0,0,ROW()-1,60),ROW()-1,FALSE))</f>
        <v/>
      </c>
      <c r="AO60" t="str">
        <f ca="1">IF(AND(ISNUMBER($AO$265),$B$208=1),$AO$265,HLOOKUP(INDIRECT(ADDRESS(2,COLUMN())),OFFSET($BN$2,0,0,ROW()-1,60),ROW()-1,FALSE))</f>
        <v/>
      </c>
      <c r="AP60">
        <f ca="1">IF(AND(ISNUMBER($AP$265),$B$208=1),$AP$265,HLOOKUP(INDIRECT(ADDRESS(2,COLUMN())),OFFSET($BN$2,0,0,ROW()-1,60),ROW()-1,FALSE))</f>
        <v>3.3519999999999999</v>
      </c>
      <c r="AQ60" t="str">
        <f ca="1">IF(AND(ISNUMBER($AQ$265),$B$208=1),$AQ$265,HLOOKUP(INDIRECT(ADDRESS(2,COLUMN())),OFFSET($BN$2,0,0,ROW()-1,60),ROW()-1,FALSE))</f>
        <v/>
      </c>
      <c r="AR60">
        <f ca="1">IF(AND(ISNUMBER($AR$265),$B$208=1),$AR$265,HLOOKUP(INDIRECT(ADDRESS(2,COLUMN())),OFFSET($BN$2,0,0,ROW()-1,60),ROW()-1,FALSE))</f>
        <v>5.3929999999999998</v>
      </c>
      <c r="AS60" t="str">
        <f ca="1">IF(AND(ISNUMBER($AS$265),$B$208=1),$AS$265,HLOOKUP(INDIRECT(ADDRESS(2,COLUMN())),OFFSET($BN$2,0,0,ROW()-1,60),ROW()-1,FALSE))</f>
        <v/>
      </c>
      <c r="AT60" t="str">
        <f ca="1">IF(AND(ISNUMBER($AT$265),$B$208=1),$AT$265,HLOOKUP(INDIRECT(ADDRESS(2,COLUMN())),OFFSET($BN$2,0,0,ROW()-1,60),ROW()-1,FALSE))</f>
        <v/>
      </c>
      <c r="AU60" t="str">
        <f ca="1">IF(AND(ISNUMBER($AU$265),$B$208=1),$AU$265,HLOOKUP(INDIRECT(ADDRESS(2,COLUMN())),OFFSET($BN$2,0,0,ROW()-1,60),ROW()-1,FALSE))</f>
        <v/>
      </c>
      <c r="AV60" t="str">
        <f ca="1">IF(AND(ISNUMBER($AV$265),$B$208=1),$AV$265,HLOOKUP(INDIRECT(ADDRESS(2,COLUMN())),OFFSET($BN$2,0,0,ROW()-1,60),ROW()-1,FALSE))</f>
        <v/>
      </c>
      <c r="AW60" t="str">
        <f ca="1">IF(AND(ISNUMBER($AW$265),$B$208=1),$AW$265,HLOOKUP(INDIRECT(ADDRESS(2,COLUMN())),OFFSET($BN$2,0,0,ROW()-1,60),ROW()-1,FALSE))</f>
        <v/>
      </c>
      <c r="AX60" t="str">
        <f ca="1">IF(AND(ISNUMBER($AX$265),$B$208=1),$AX$265,HLOOKUP(INDIRECT(ADDRESS(2,COLUMN())),OFFSET($BN$2,0,0,ROW()-1,60),ROW()-1,FALSE))</f>
        <v/>
      </c>
      <c r="AY60" t="str">
        <f ca="1">IF(AND(ISNUMBER($AY$265),$B$208=1),$AY$265,HLOOKUP(INDIRECT(ADDRESS(2,COLUMN())),OFFSET($BN$2,0,0,ROW()-1,60),ROW()-1,FALSE))</f>
        <v/>
      </c>
      <c r="AZ60" t="str">
        <f ca="1">IF(AND(ISNUMBER($AZ$265),$B$208=1),$AZ$265,HLOOKUP(INDIRECT(ADDRESS(2,COLUMN())),OFFSET($BN$2,0,0,ROW()-1,60),ROW()-1,FALSE))</f>
        <v/>
      </c>
      <c r="BA60" t="str">
        <f ca="1">IF(AND(ISNUMBER($BA$265),$B$208=1),$BA$265,HLOOKUP(INDIRECT(ADDRESS(2,COLUMN())),OFFSET($BN$2,0,0,ROW()-1,60),ROW()-1,FALSE))</f>
        <v/>
      </c>
      <c r="BB60" t="str">
        <f ca="1">IF(AND(ISNUMBER($BB$265),$B$208=1),$BB$265,HLOOKUP(INDIRECT(ADDRESS(2,COLUMN())),OFFSET($BN$2,0,0,ROW()-1,60),ROW()-1,FALSE))</f>
        <v/>
      </c>
      <c r="BC60" t="str">
        <f ca="1">IF(AND(ISNUMBER($BC$265),$B$208=1),$BC$265,HLOOKUP(INDIRECT(ADDRESS(2,COLUMN())),OFFSET($BN$2,0,0,ROW()-1,60),ROW()-1,FALSE))</f>
        <v/>
      </c>
      <c r="BD60" t="str">
        <f ca="1">IF(AND(ISNUMBER($BD$265),$B$208=1),$BD$265,HLOOKUP(INDIRECT(ADDRESS(2,COLUMN())),OFFSET($BN$2,0,0,ROW()-1,60),ROW()-1,FALSE))</f>
        <v/>
      </c>
      <c r="BE60" t="str">
        <f ca="1">IF(AND(ISNUMBER($BE$265),$B$208=1),$BE$265,HLOOKUP(INDIRECT(ADDRESS(2,COLUMN())),OFFSET($BN$2,0,0,ROW()-1,60),ROW()-1,FALSE))</f>
        <v/>
      </c>
      <c r="BF60" t="str">
        <f ca="1">IF(AND(ISNUMBER($BF$265),$B$208=1),$BF$265,HLOOKUP(INDIRECT(ADDRESS(2,COLUMN())),OFFSET($BN$2,0,0,ROW()-1,60),ROW()-1,FALSE))</f>
        <v/>
      </c>
      <c r="BG60" t="str">
        <f ca="1">IF(AND(ISNUMBER($BG$265),$B$208=1),$BG$265,HLOOKUP(INDIRECT(ADDRESS(2,COLUMN())),OFFSET($BN$2,0,0,ROW()-1,60),ROW()-1,FALSE))</f>
        <v/>
      </c>
      <c r="BH60" t="str">
        <f ca="1">IF(AND(ISNUMBER($BH$265),$B$208=1),$BH$265,HLOOKUP(INDIRECT(ADDRESS(2,COLUMN())),OFFSET($BN$2,0,0,ROW()-1,60),ROW()-1,FALSE))</f>
        <v/>
      </c>
      <c r="BI60" t="str">
        <f ca="1">IF(AND(ISNUMBER($BI$265),$B$208=1),$BI$265,HLOOKUP(INDIRECT(ADDRESS(2,COLUMN())),OFFSET($BN$2,0,0,ROW()-1,60),ROW()-1,FALSE))</f>
        <v/>
      </c>
      <c r="BJ60" t="str">
        <f ca="1">IF(AND(ISNUMBER($BJ$265),$B$208=1),$BJ$265,HLOOKUP(INDIRECT(ADDRESS(2,COLUMN())),OFFSET($BN$2,0,0,ROW()-1,60),ROW()-1,FALSE))</f>
        <v/>
      </c>
      <c r="BK60" t="str">
        <f ca="1">IF(AND(ISNUMBER($BK$265),$B$208=1),$BK$265,HLOOKUP(INDIRECT(ADDRESS(2,COLUMN())),OFFSET($BN$2,0,0,ROW()-1,60),ROW()-1,FALSE))</f>
        <v/>
      </c>
      <c r="BL60" t="str">
        <f ca="1">IF(AND(ISNUMBER($BL$265),$B$208=1),$BL$265,HLOOKUP(INDIRECT(ADDRESS(2,COLUMN())),OFFSET($BN$2,0,0,ROW()-1,60),ROW()-1,FALSE))</f>
        <v/>
      </c>
      <c r="BM60" t="str">
        <f ca="1">IF(AND(ISNUMBER($BM$265),$B$208=1),$BM$265,HLOOKUP(INDIRECT(ADDRESS(2,COLUMN())),OFFSET($BN$2,0,0,ROW()-1,60),ROW()-1,FALSE))</f>
        <v/>
      </c>
      <c r="BN60" t="str">
        <f>""</f>
        <v/>
      </c>
      <c r="BO60" t="str">
        <f>""</f>
        <v/>
      </c>
      <c r="BP60">
        <f>6.635</f>
        <v>6.6349999999999998</v>
      </c>
      <c r="BQ60" t="str">
        <f>""</f>
        <v/>
      </c>
      <c r="BR60">
        <f>5.321</f>
        <v>5.3209999999999997</v>
      </c>
      <c r="BS60" t="str">
        <f>""</f>
        <v/>
      </c>
      <c r="BT60">
        <f>7.193</f>
        <v>7.1929999999999996</v>
      </c>
      <c r="BU60" t="str">
        <f>""</f>
        <v/>
      </c>
      <c r="BV60">
        <f>6.365</f>
        <v>6.3650000000000002</v>
      </c>
      <c r="BW60" t="str">
        <f>""</f>
        <v/>
      </c>
      <c r="BX60">
        <f>11.105</f>
        <v>11.105</v>
      </c>
      <c r="BY60" t="str">
        <f>""</f>
        <v/>
      </c>
      <c r="BZ60">
        <f>5.443</f>
        <v>5.4429999999999996</v>
      </c>
      <c r="CA60" t="str">
        <f>""</f>
        <v/>
      </c>
      <c r="CB60">
        <f>6.687</f>
        <v>6.6870000000000003</v>
      </c>
      <c r="CC60" t="str">
        <f>""</f>
        <v/>
      </c>
      <c r="CD60">
        <f>7.055</f>
        <v>7.0549999999999997</v>
      </c>
      <c r="CE60" t="str">
        <f>""</f>
        <v/>
      </c>
      <c r="CF60">
        <f>8.54</f>
        <v>8.5399999999999991</v>
      </c>
      <c r="CG60" t="str">
        <f>""</f>
        <v/>
      </c>
      <c r="CH60" t="str">
        <f>""</f>
        <v/>
      </c>
      <c r="CI60" t="str">
        <f>""</f>
        <v/>
      </c>
      <c r="CJ60">
        <f>4.227</f>
        <v>4.2270000000000003</v>
      </c>
      <c r="CK60" t="str">
        <f>""</f>
        <v/>
      </c>
      <c r="CL60">
        <f>4.759</f>
        <v>4.7590000000000003</v>
      </c>
      <c r="CM60" t="str">
        <f>""</f>
        <v/>
      </c>
      <c r="CN60">
        <f>6.853</f>
        <v>6.8529999999999998</v>
      </c>
      <c r="CO60" t="str">
        <f>""</f>
        <v/>
      </c>
      <c r="CP60" t="str">
        <f>""</f>
        <v/>
      </c>
      <c r="CQ60" t="str">
        <f>""</f>
        <v/>
      </c>
      <c r="CR60">
        <f>6.486</f>
        <v>6.4859999999999998</v>
      </c>
      <c r="CS60" t="str">
        <f>""</f>
        <v/>
      </c>
      <c r="CT60">
        <f>4.864</f>
        <v>4.8639999999999999</v>
      </c>
      <c r="CU60" t="str">
        <f>""</f>
        <v/>
      </c>
      <c r="CV60" t="str">
        <f>""</f>
        <v/>
      </c>
      <c r="CW60" t="str">
        <f>""</f>
        <v/>
      </c>
      <c r="CX60">
        <f>3.352</f>
        <v>3.3519999999999999</v>
      </c>
      <c r="CY60" t="str">
        <f>""</f>
        <v/>
      </c>
      <c r="CZ60">
        <f>5.393</f>
        <v>5.3929999999999998</v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  <c r="DT60" t="str">
        <f>""</f>
        <v/>
      </c>
      <c r="DU60" t="str">
        <f>""</f>
        <v/>
      </c>
    </row>
    <row r="61" spans="1:125" x14ac:dyDescent="0.25">
      <c r="A61" t="str">
        <f>"    HSBC Holdings PLC"</f>
        <v xml:space="preserve">    HSBC Holdings PLC</v>
      </c>
      <c r="B61" t="str">
        <f>"HSBA LN Equity"</f>
        <v>HSBA LN Equity</v>
      </c>
      <c r="C61" t="str">
        <f t="shared" si="3"/>
        <v>BM109</v>
      </c>
      <c r="D61" t="str">
        <f t="shared" si="4"/>
        <v>BS_TRADING_SECURITIES_DERIVS</v>
      </c>
      <c r="E61" t="str">
        <f t="shared" si="5"/>
        <v>Dynamic</v>
      </c>
      <c r="F61" t="str">
        <f ca="1">IF(AND(ISNUMBER($F$266),$B$208=1),$F$266,HLOOKUP(INDIRECT(ADDRESS(2,COLUMN())),OFFSET($BN$2,0,0,ROW()-1,60),ROW()-1,FALSE))</f>
        <v/>
      </c>
      <c r="G61" t="str">
        <f ca="1">IF(AND(ISNUMBER($G$266),$B$208=1),$G$266,HLOOKUP(INDIRECT(ADDRESS(2,COLUMN())),OFFSET($BN$2,0,0,ROW()-1,60),ROW()-1,FALSE))</f>
        <v/>
      </c>
      <c r="H61" t="str">
        <f ca="1">IF(AND(ISNUMBER($H$266),$B$208=1),$H$266,HLOOKUP(INDIRECT(ADDRESS(2,COLUMN())),OFFSET($BN$2,0,0,ROW()-1,60),ROW()-1,FALSE))</f>
        <v/>
      </c>
      <c r="I61" t="str">
        <f ca="1">IF(AND(ISNUMBER($I$266),$B$208=1),$I$266,HLOOKUP(INDIRECT(ADDRESS(2,COLUMN())),OFFSET($BN$2,0,0,ROW()-1,60),ROW()-1,FALSE))</f>
        <v/>
      </c>
      <c r="J61" t="str">
        <f ca="1">IF(AND(ISNUMBER($J$266),$B$208=1),$J$266,HLOOKUP(INDIRECT(ADDRESS(2,COLUMN())),OFFSET($BN$2,0,0,ROW()-1,60),ROW()-1,FALSE))</f>
        <v/>
      </c>
      <c r="K61" t="str">
        <f ca="1">IF(AND(ISNUMBER($K$266),$B$208=1),$K$266,HLOOKUP(INDIRECT(ADDRESS(2,COLUMN())),OFFSET($BN$2,0,0,ROW()-1,60),ROW()-1,FALSE))</f>
        <v/>
      </c>
      <c r="L61" t="str">
        <f ca="1">IF(AND(ISNUMBER($L$266),$B$208=1),$L$266,HLOOKUP(INDIRECT(ADDRESS(2,COLUMN())),OFFSET($BN$2,0,0,ROW()-1,60),ROW()-1,FALSE))</f>
        <v/>
      </c>
      <c r="M61" t="str">
        <f ca="1">IF(AND(ISNUMBER($M$266),$B$208=1),$M$266,HLOOKUP(INDIRECT(ADDRESS(2,COLUMN())),OFFSET($BN$2,0,0,ROW()-1,60),ROW()-1,FALSE))</f>
        <v/>
      </c>
      <c r="N61" t="str">
        <f ca="1">IF(AND(ISNUMBER($N$266),$B$208=1),$N$266,HLOOKUP(INDIRECT(ADDRESS(2,COLUMN())),OFFSET($BN$2,0,0,ROW()-1,60),ROW()-1,FALSE))</f>
        <v/>
      </c>
      <c r="O61" t="str">
        <f ca="1">IF(AND(ISNUMBER($O$266),$B$208=1),$O$266,HLOOKUP(INDIRECT(ADDRESS(2,COLUMN())),OFFSET($BN$2,0,0,ROW()-1,60),ROW()-1,FALSE))</f>
        <v/>
      </c>
      <c r="P61" t="str">
        <f ca="1">IF(AND(ISNUMBER($P$266),$B$208=1),$P$266,HLOOKUP(INDIRECT(ADDRESS(2,COLUMN())),OFFSET($BN$2,0,0,ROW()-1,60),ROW()-1,FALSE))</f>
        <v/>
      </c>
      <c r="Q61" t="str">
        <f ca="1">IF(AND(ISNUMBER($Q$266),$B$208=1),$Q$266,HLOOKUP(INDIRECT(ADDRESS(2,COLUMN())),OFFSET($BN$2,0,0,ROW()-1,60),ROW()-1,FALSE))</f>
        <v/>
      </c>
      <c r="R61" t="str">
        <f ca="1">IF(AND(ISNUMBER($R$266),$B$208=1),$R$266,HLOOKUP(INDIRECT(ADDRESS(2,COLUMN())),OFFSET($BN$2,0,0,ROW()-1,60),ROW()-1,FALSE))</f>
        <v/>
      </c>
      <c r="S61" t="str">
        <f ca="1">IF(AND(ISNUMBER($S$266),$B$208=1),$S$266,HLOOKUP(INDIRECT(ADDRESS(2,COLUMN())),OFFSET($BN$2,0,0,ROW()-1,60),ROW()-1,FALSE))</f>
        <v/>
      </c>
      <c r="T61" t="str">
        <f ca="1">IF(AND(ISNUMBER($T$266),$B$208=1),$T$266,HLOOKUP(INDIRECT(ADDRESS(2,COLUMN())),OFFSET($BN$2,0,0,ROW()-1,60),ROW()-1,FALSE))</f>
        <v/>
      </c>
      <c r="U61" t="str">
        <f ca="1">IF(AND(ISNUMBER($U$266),$B$208=1),$U$266,HLOOKUP(INDIRECT(ADDRESS(2,COLUMN())),OFFSET($BN$2,0,0,ROW()-1,60),ROW()-1,FALSE))</f>
        <v/>
      </c>
      <c r="V61" t="str">
        <f ca="1">IF(AND(ISNUMBER($V$266),$B$208=1),$V$266,HLOOKUP(INDIRECT(ADDRESS(2,COLUMN())),OFFSET($BN$2,0,0,ROW()-1,60),ROW()-1,FALSE))</f>
        <v/>
      </c>
      <c r="W61" t="str">
        <f ca="1">IF(AND(ISNUMBER($W$266),$B$208=1),$W$266,HLOOKUP(INDIRECT(ADDRESS(2,COLUMN())),OFFSET($BN$2,0,0,ROW()-1,60),ROW()-1,FALSE))</f>
        <v/>
      </c>
      <c r="X61" t="str">
        <f ca="1">IF(AND(ISNUMBER($X$266),$B$208=1),$X$266,HLOOKUP(INDIRECT(ADDRESS(2,COLUMN())),OFFSET($BN$2,0,0,ROW()-1,60),ROW()-1,FALSE))</f>
        <v/>
      </c>
      <c r="Y61" t="str">
        <f ca="1">IF(AND(ISNUMBER($Y$266),$B$208=1),$Y$266,HLOOKUP(INDIRECT(ADDRESS(2,COLUMN())),OFFSET($BN$2,0,0,ROW()-1,60),ROW()-1,FALSE))</f>
        <v/>
      </c>
      <c r="Z61" t="str">
        <f ca="1">IF(AND(ISNUMBER($Z$266),$B$208=1),$Z$266,HLOOKUP(INDIRECT(ADDRESS(2,COLUMN())),OFFSET($BN$2,0,0,ROW()-1,60),ROW()-1,FALSE))</f>
        <v/>
      </c>
      <c r="AA61" t="str">
        <f ca="1">IF(AND(ISNUMBER($AA$266),$B$208=1),$AA$266,HLOOKUP(INDIRECT(ADDRESS(2,COLUMN())),OFFSET($BN$2,0,0,ROW()-1,60),ROW()-1,FALSE))</f>
        <v/>
      </c>
      <c r="AB61" t="str">
        <f ca="1">IF(AND(ISNUMBER($AB$266),$B$208=1),$AB$266,HLOOKUP(INDIRECT(ADDRESS(2,COLUMN())),OFFSET($BN$2,0,0,ROW()-1,60),ROW()-1,FALSE))</f>
        <v/>
      </c>
      <c r="AC61" t="str">
        <f ca="1">IF(AND(ISNUMBER($AC$266),$B$208=1),$AC$266,HLOOKUP(INDIRECT(ADDRESS(2,COLUMN())),OFFSET($BN$2,0,0,ROW()-1,60),ROW()-1,FALSE))</f>
        <v/>
      </c>
      <c r="AD61" t="str">
        <f ca="1">IF(AND(ISNUMBER($AD$266),$B$208=1),$AD$266,HLOOKUP(INDIRECT(ADDRESS(2,COLUMN())),OFFSET($BN$2,0,0,ROW()-1,60),ROW()-1,FALSE))</f>
        <v/>
      </c>
      <c r="AE61" t="str">
        <f ca="1">IF(AND(ISNUMBER($AE$266),$B$208=1),$AE$266,HLOOKUP(INDIRECT(ADDRESS(2,COLUMN())),OFFSET($BN$2,0,0,ROW()-1,60),ROW()-1,FALSE))</f>
        <v/>
      </c>
      <c r="AF61" t="str">
        <f ca="1">IF(AND(ISNUMBER($AF$266),$B$208=1),$AF$266,HLOOKUP(INDIRECT(ADDRESS(2,COLUMN())),OFFSET($BN$2,0,0,ROW()-1,60),ROW()-1,FALSE))</f>
        <v/>
      </c>
      <c r="AG61" t="str">
        <f ca="1">IF(AND(ISNUMBER($AG$266),$B$208=1),$AG$266,HLOOKUP(INDIRECT(ADDRESS(2,COLUMN())),OFFSET($BN$2,0,0,ROW()-1,60),ROW()-1,FALSE))</f>
        <v/>
      </c>
      <c r="AH61" t="str">
        <f ca="1">IF(AND(ISNUMBER($AH$266),$B$208=1),$AH$266,HLOOKUP(INDIRECT(ADDRESS(2,COLUMN())),OFFSET($BN$2,0,0,ROW()-1,60),ROW()-1,FALSE))</f>
        <v/>
      </c>
      <c r="AI61" t="str">
        <f ca="1">IF(AND(ISNUMBER($AI$266),$B$208=1),$AI$266,HLOOKUP(INDIRECT(ADDRESS(2,COLUMN())),OFFSET($BN$2,0,0,ROW()-1,60),ROW()-1,FALSE))</f>
        <v/>
      </c>
      <c r="AJ61" t="str">
        <f ca="1">IF(AND(ISNUMBER($AJ$266),$B$208=1),$AJ$266,HLOOKUP(INDIRECT(ADDRESS(2,COLUMN())),OFFSET($BN$2,0,0,ROW()-1,60),ROW()-1,FALSE))</f>
        <v/>
      </c>
      <c r="AK61" t="str">
        <f ca="1">IF(AND(ISNUMBER($AK$266),$B$208=1),$AK$266,HLOOKUP(INDIRECT(ADDRESS(2,COLUMN())),OFFSET($BN$2,0,0,ROW()-1,60),ROW()-1,FALSE))</f>
        <v/>
      </c>
      <c r="AL61" t="str">
        <f ca="1">IF(AND(ISNUMBER($AL$266),$B$208=1),$AL$266,HLOOKUP(INDIRECT(ADDRESS(2,COLUMN())),OFFSET($BN$2,0,0,ROW()-1,60),ROW()-1,FALSE))</f>
        <v/>
      </c>
      <c r="AM61" t="str">
        <f ca="1">IF(AND(ISNUMBER($AM$266),$B$208=1),$AM$266,HLOOKUP(INDIRECT(ADDRESS(2,COLUMN())),OFFSET($BN$2,0,0,ROW()-1,60),ROW()-1,FALSE))</f>
        <v/>
      </c>
      <c r="AN61" t="str">
        <f ca="1">IF(AND(ISNUMBER($AN$266),$B$208=1),$AN$266,HLOOKUP(INDIRECT(ADDRESS(2,COLUMN())),OFFSET($BN$2,0,0,ROW()-1,60),ROW()-1,FALSE))</f>
        <v/>
      </c>
      <c r="AO61" t="str">
        <f ca="1">IF(AND(ISNUMBER($AO$266),$B$208=1),$AO$266,HLOOKUP(INDIRECT(ADDRESS(2,COLUMN())),OFFSET($BN$2,0,0,ROW()-1,60),ROW()-1,FALSE))</f>
        <v/>
      </c>
      <c r="AP61" t="str">
        <f ca="1">IF(AND(ISNUMBER($AP$266),$B$208=1),$AP$266,HLOOKUP(INDIRECT(ADDRESS(2,COLUMN())),OFFSET($BN$2,0,0,ROW()-1,60),ROW()-1,FALSE))</f>
        <v/>
      </c>
      <c r="AQ61" t="str">
        <f ca="1">IF(AND(ISNUMBER($AQ$266),$B$208=1),$AQ$266,HLOOKUP(INDIRECT(ADDRESS(2,COLUMN())),OFFSET($BN$2,0,0,ROW()-1,60),ROW()-1,FALSE))</f>
        <v/>
      </c>
      <c r="AR61" t="str">
        <f ca="1">IF(AND(ISNUMBER($AR$266),$B$208=1),$AR$266,HLOOKUP(INDIRECT(ADDRESS(2,COLUMN())),OFFSET($BN$2,0,0,ROW()-1,60),ROW()-1,FALSE))</f>
        <v/>
      </c>
      <c r="AS61" t="str">
        <f ca="1">IF(AND(ISNUMBER($AS$266),$B$208=1),$AS$266,HLOOKUP(INDIRECT(ADDRESS(2,COLUMN())),OFFSET($BN$2,0,0,ROW()-1,60),ROW()-1,FALSE))</f>
        <v/>
      </c>
      <c r="AT61" t="str">
        <f ca="1">IF(AND(ISNUMBER($AT$266),$B$208=1),$AT$266,HLOOKUP(INDIRECT(ADDRESS(2,COLUMN())),OFFSET($BN$2,0,0,ROW()-1,60),ROW()-1,FALSE))</f>
        <v/>
      </c>
      <c r="AU61" t="str">
        <f ca="1">IF(AND(ISNUMBER($AU$266),$B$208=1),$AU$266,HLOOKUP(INDIRECT(ADDRESS(2,COLUMN())),OFFSET($BN$2,0,0,ROW()-1,60),ROW()-1,FALSE))</f>
        <v/>
      </c>
      <c r="AV61">
        <f ca="1">IF(AND(ISNUMBER($AV$266),$B$208=1),$AV$266,HLOOKUP(INDIRECT(ADDRESS(2,COLUMN())),OFFSET($BN$2,0,0,ROW()-1,60),ROW()-1,FALSE))</f>
        <v>197106.64720000001</v>
      </c>
      <c r="AW61" t="str">
        <f ca="1">IF(AND(ISNUMBER($AW$266),$B$208=1),$AW$266,HLOOKUP(INDIRECT(ADDRESS(2,COLUMN())),OFFSET($BN$2,0,0,ROW()-1,60),ROW()-1,FALSE))</f>
        <v/>
      </c>
      <c r="AX61" t="str">
        <f ca="1">IF(AND(ISNUMBER($AX$266),$B$208=1),$AX$266,HLOOKUP(INDIRECT(ADDRESS(2,COLUMN())),OFFSET($BN$2,0,0,ROW()-1,60),ROW()-1,FALSE))</f>
        <v/>
      </c>
      <c r="AY61" t="str">
        <f ca="1">IF(AND(ISNUMBER($AY$266),$B$208=1),$AY$266,HLOOKUP(INDIRECT(ADDRESS(2,COLUMN())),OFFSET($BN$2,0,0,ROW()-1,60),ROW()-1,FALSE))</f>
        <v/>
      </c>
      <c r="AZ61">
        <f ca="1">IF(AND(ISNUMBER($AZ$266),$B$208=1),$AZ$266,HLOOKUP(INDIRECT(ADDRESS(2,COLUMN())),OFFSET($BN$2,0,0,ROW()-1,60),ROW()-1,FALSE))</f>
        <v>230075.35560000001</v>
      </c>
      <c r="BA61" t="str">
        <f ca="1">IF(AND(ISNUMBER($BA$266),$B$208=1),$BA$266,HLOOKUP(INDIRECT(ADDRESS(2,COLUMN())),OFFSET($BN$2,0,0,ROW()-1,60),ROW()-1,FALSE))</f>
        <v/>
      </c>
      <c r="BB61">
        <f ca="1">IF(AND(ISNUMBER($BB$266),$B$208=1),$BB$266,HLOOKUP(INDIRECT(ADDRESS(2,COLUMN())),OFFSET($BN$2,0,0,ROW()-1,60),ROW()-1,FALSE))</f>
        <v>266875.04739999998</v>
      </c>
      <c r="BC61" t="str">
        <f ca="1">IF(AND(ISNUMBER($BC$266),$B$208=1),$BC$266,HLOOKUP(INDIRECT(ADDRESS(2,COLUMN())),OFFSET($BN$2,0,0,ROW()-1,60),ROW()-1,FALSE))</f>
        <v/>
      </c>
      <c r="BD61">
        <f ca="1">IF(AND(ISNUMBER($BD$266),$B$208=1),$BD$266,HLOOKUP(INDIRECT(ADDRESS(2,COLUMN())),OFFSET($BN$2,0,0,ROW()-1,60),ROW()-1,FALSE))</f>
        <v>281348.51</v>
      </c>
      <c r="BE61" t="str">
        <f ca="1">IF(AND(ISNUMBER($BE$266),$B$208=1),$BE$266,HLOOKUP(INDIRECT(ADDRESS(2,COLUMN())),OFFSET($BN$2,0,0,ROW()-1,60),ROW()-1,FALSE))</f>
        <v/>
      </c>
      <c r="BF61">
        <f ca="1">IF(AND(ISNUMBER($BF$266),$B$208=1),$BF$266,HLOOKUP(INDIRECT(ADDRESS(2,COLUMN())),OFFSET($BN$2,0,0,ROW()-1,60),ROW()-1,FALSE))</f>
        <v>264594.13579999999</v>
      </c>
      <c r="BG61" t="str">
        <f ca="1">IF(AND(ISNUMBER($BG$266),$B$208=1),$BG$266,HLOOKUP(INDIRECT(ADDRESS(2,COLUMN())),OFFSET($BN$2,0,0,ROW()-1,60),ROW()-1,FALSE))</f>
        <v/>
      </c>
      <c r="BH61">
        <f ca="1">IF(AND(ISNUMBER($BH$266),$B$208=1),$BH$266,HLOOKUP(INDIRECT(ADDRESS(2,COLUMN())),OFFSET($BN$2,0,0,ROW()-1,60),ROW()-1,FALSE))</f>
        <v>179649.89660000001</v>
      </c>
      <c r="BI61" t="str">
        <f ca="1">IF(AND(ISNUMBER($BI$266),$B$208=1),$BI$266,HLOOKUP(INDIRECT(ADDRESS(2,COLUMN())),OFFSET($BN$2,0,0,ROW()-1,60),ROW()-1,FALSE))</f>
        <v/>
      </c>
      <c r="BJ61">
        <f ca="1">IF(AND(ISNUMBER($BJ$266),$B$208=1),$BJ$266,HLOOKUP(INDIRECT(ADDRESS(2,COLUMN())),OFFSET($BN$2,0,0,ROW()-1,60),ROW()-1,FALSE))</f>
        <v>192046.23670000001</v>
      </c>
      <c r="BK61" t="str">
        <f ca="1">IF(AND(ISNUMBER($BK$266),$B$208=1),$BK$266,HLOOKUP(INDIRECT(ADDRESS(2,COLUMN())),OFFSET($BN$2,0,0,ROW()-1,60),ROW()-1,FALSE))</f>
        <v/>
      </c>
      <c r="BL61">
        <f ca="1">IF(AND(ISNUMBER($BL$266),$B$208=1),$BL$266,HLOOKUP(INDIRECT(ADDRESS(2,COLUMN())),OFFSET($BN$2,0,0,ROW()-1,60),ROW()-1,FALSE))</f>
        <v>235195.39850000001</v>
      </c>
      <c r="BM61" t="str">
        <f ca="1">IF(AND(ISNUMBER($BM$266),$B$208=1),$BM$266,HLOOKUP(INDIRECT(ADDRESS(2,COLUMN())),OFFSET($BN$2,0,0,ROW()-1,60),ROW()-1,FALSE))</f>
        <v/>
      </c>
      <c r="BN61" t="str">
        <f>""</f>
        <v/>
      </c>
      <c r="BO61" t="str">
        <f>""</f>
        <v/>
      </c>
      <c r="BP61" t="str">
        <f>""</f>
        <v/>
      </c>
      <c r="BQ61" t="str">
        <f>""</f>
        <v/>
      </c>
      <c r="BR61" t="str">
        <f>""</f>
        <v/>
      </c>
      <c r="BS61" t="str">
        <f>""</f>
        <v/>
      </c>
      <c r="BT61" t="str">
        <f>""</f>
        <v/>
      </c>
      <c r="BU61" t="str">
        <f>""</f>
        <v/>
      </c>
      <c r="BV61" t="str">
        <f>""</f>
        <v/>
      </c>
      <c r="BW61" t="str">
        <f>""</f>
        <v/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  <c r="CH61" t="str">
        <f>""</f>
        <v/>
      </c>
      <c r="CI61" t="str">
        <f>""</f>
        <v/>
      </c>
      <c r="CJ61" t="str">
        <f>""</f>
        <v/>
      </c>
      <c r="CK61" t="str">
        <f>""</f>
        <v/>
      </c>
      <c r="CL61" t="str">
        <f>""</f>
        <v/>
      </c>
      <c r="CM61" t="str">
        <f>""</f>
        <v/>
      </c>
      <c r="CN61" t="str">
        <f>""</f>
        <v/>
      </c>
      <c r="CO61" t="str">
        <f>""</f>
        <v/>
      </c>
      <c r="CP61" t="str">
        <f>""</f>
        <v/>
      </c>
      <c r="CQ61" t="str">
        <f>""</f>
        <v/>
      </c>
      <c r="CR61" t="str">
        <f>""</f>
        <v/>
      </c>
      <c r="CS61" t="str">
        <f>""</f>
        <v/>
      </c>
      <c r="CT61" t="str">
        <f>""</f>
        <v/>
      </c>
      <c r="CU61" t="str">
        <f>""</f>
        <v/>
      </c>
      <c r="CV61" t="str">
        <f>""</f>
        <v/>
      </c>
      <c r="CW61" t="str">
        <f>""</f>
        <v/>
      </c>
      <c r="CX61" t="str">
        <f>""</f>
        <v/>
      </c>
      <c r="CY61" t="str">
        <f>""</f>
        <v/>
      </c>
      <c r="CZ61" t="str">
        <f>""</f>
        <v/>
      </c>
      <c r="DA61" t="str">
        <f>""</f>
        <v/>
      </c>
      <c r="DB61" t="str">
        <f>""</f>
        <v/>
      </c>
      <c r="DC61" t="str">
        <f>""</f>
        <v/>
      </c>
      <c r="DD61">
        <f>197106.6472</f>
        <v>197106.64720000001</v>
      </c>
      <c r="DE61" t="str">
        <f>""</f>
        <v/>
      </c>
      <c r="DF61" t="str">
        <f>""</f>
        <v/>
      </c>
      <c r="DG61" t="str">
        <f>""</f>
        <v/>
      </c>
      <c r="DH61">
        <f>230075.3556</f>
        <v>230075.35560000001</v>
      </c>
      <c r="DI61" t="str">
        <f>""</f>
        <v/>
      </c>
      <c r="DJ61">
        <f>266875.0474</f>
        <v>266875.04739999998</v>
      </c>
      <c r="DK61" t="str">
        <f>""</f>
        <v/>
      </c>
      <c r="DL61">
        <f>281348.51</f>
        <v>281348.51</v>
      </c>
      <c r="DM61" t="str">
        <f>""</f>
        <v/>
      </c>
      <c r="DN61">
        <f>264594.1358</f>
        <v>264594.13579999999</v>
      </c>
      <c r="DO61" t="str">
        <f>""</f>
        <v/>
      </c>
      <c r="DP61">
        <f>179649.8966</f>
        <v>179649.89660000001</v>
      </c>
      <c r="DQ61" t="str">
        <f>""</f>
        <v/>
      </c>
      <c r="DR61">
        <f>192046.2367</f>
        <v>192046.23670000001</v>
      </c>
      <c r="DS61" t="str">
        <f>""</f>
        <v/>
      </c>
      <c r="DT61">
        <f>235195.3985</f>
        <v>235195.39850000001</v>
      </c>
      <c r="DU61" t="str">
        <f>""</f>
        <v/>
      </c>
    </row>
    <row r="62" spans="1:125" x14ac:dyDescent="0.25">
      <c r="A62" t="str">
        <f>"    ING Groep NV"</f>
        <v xml:space="preserve">    ING Groep NV</v>
      </c>
      <c r="B62" t="str">
        <f>"INGA NA Equity"</f>
        <v>INGA NA Equity</v>
      </c>
      <c r="C62" t="str">
        <f t="shared" si="3"/>
        <v>BM109</v>
      </c>
      <c r="D62" t="str">
        <f t="shared" si="4"/>
        <v>BS_TRADING_SECURITIES_DERIVS</v>
      </c>
      <c r="E62" t="str">
        <f t="shared" si="5"/>
        <v>Dynamic</v>
      </c>
      <c r="F62">
        <f ca="1">IF(AND(ISNUMBER($F$267),$B$208=1),$F$267,HLOOKUP(INDIRECT(ADDRESS(2,COLUMN())),OFFSET($BN$2,0,0,ROW()-1,60),ROW()-1,FALSE))</f>
        <v>1606</v>
      </c>
      <c r="G62" t="str">
        <f ca="1">IF(AND(ISNUMBER($G$267),$B$208=1),$G$267,HLOOKUP(INDIRECT(ADDRESS(2,COLUMN())),OFFSET($BN$2,0,0,ROW()-1,60),ROW()-1,FALSE))</f>
        <v/>
      </c>
      <c r="H62" t="str">
        <f ca="1">IF(AND(ISNUMBER($H$267),$B$208=1),$H$267,HLOOKUP(INDIRECT(ADDRESS(2,COLUMN())),OFFSET($BN$2,0,0,ROW()-1,60),ROW()-1,FALSE))</f>
        <v/>
      </c>
      <c r="I62" t="str">
        <f ca="1">IF(AND(ISNUMBER($I$267),$B$208=1),$I$267,HLOOKUP(INDIRECT(ADDRESS(2,COLUMN())),OFFSET($BN$2,0,0,ROW()-1,60),ROW()-1,FALSE))</f>
        <v/>
      </c>
      <c r="J62">
        <f ca="1">IF(AND(ISNUMBER($J$267),$B$208=1),$J$267,HLOOKUP(INDIRECT(ADDRESS(2,COLUMN())),OFFSET($BN$2,0,0,ROW()-1,60),ROW()-1,FALSE))</f>
        <v>771</v>
      </c>
      <c r="K62" t="str">
        <f ca="1">IF(AND(ISNUMBER($K$267),$B$208=1),$K$267,HLOOKUP(INDIRECT(ADDRESS(2,COLUMN())),OFFSET($BN$2,0,0,ROW()-1,60),ROW()-1,FALSE))</f>
        <v/>
      </c>
      <c r="L62" t="str">
        <f ca="1">IF(AND(ISNUMBER($L$267),$B$208=1),$L$267,HLOOKUP(INDIRECT(ADDRESS(2,COLUMN())),OFFSET($BN$2,0,0,ROW()-1,60),ROW()-1,FALSE))</f>
        <v/>
      </c>
      <c r="M62" t="str">
        <f ca="1">IF(AND(ISNUMBER($M$267),$B$208=1),$M$267,HLOOKUP(INDIRECT(ADDRESS(2,COLUMN())),OFFSET($BN$2,0,0,ROW()-1,60),ROW()-1,FALSE))</f>
        <v/>
      </c>
      <c r="N62">
        <f ca="1">IF(AND(ISNUMBER($N$267),$B$208=1),$N$267,HLOOKUP(INDIRECT(ADDRESS(2,COLUMN())),OFFSET($BN$2,0,0,ROW()-1,60),ROW()-1,FALSE))</f>
        <v>30841</v>
      </c>
      <c r="O62" t="str">
        <f ca="1">IF(AND(ISNUMBER($O$267),$B$208=1),$O$267,HLOOKUP(INDIRECT(ADDRESS(2,COLUMN())),OFFSET($BN$2,0,0,ROW()-1,60),ROW()-1,FALSE))</f>
        <v/>
      </c>
      <c r="P62" t="str">
        <f ca="1">IF(AND(ISNUMBER($P$267),$B$208=1),$P$267,HLOOKUP(INDIRECT(ADDRESS(2,COLUMN())),OFFSET($BN$2,0,0,ROW()-1,60),ROW()-1,FALSE))</f>
        <v/>
      </c>
      <c r="Q62" t="str">
        <f ca="1">IF(AND(ISNUMBER($Q$267),$B$208=1),$Q$267,HLOOKUP(INDIRECT(ADDRESS(2,COLUMN())),OFFSET($BN$2,0,0,ROW()-1,60),ROW()-1,FALSE))</f>
        <v/>
      </c>
      <c r="R62">
        <f ca="1">IF(AND(ISNUMBER($R$267),$B$208=1),$R$267,HLOOKUP(INDIRECT(ADDRESS(2,COLUMN())),OFFSET($BN$2,0,0,ROW()-1,60),ROW()-1,FALSE))</f>
        <v>19764</v>
      </c>
      <c r="S62" t="str">
        <f ca="1">IF(AND(ISNUMBER($S$267),$B$208=1),$S$267,HLOOKUP(INDIRECT(ADDRESS(2,COLUMN())),OFFSET($BN$2,0,0,ROW()-1,60),ROW()-1,FALSE))</f>
        <v/>
      </c>
      <c r="T62" t="str">
        <f ca="1">IF(AND(ISNUMBER($T$267),$B$208=1),$T$267,HLOOKUP(INDIRECT(ADDRESS(2,COLUMN())),OFFSET($BN$2,0,0,ROW()-1,60),ROW()-1,FALSE))</f>
        <v/>
      </c>
      <c r="U62" t="str">
        <f ca="1">IF(AND(ISNUMBER($U$267),$B$208=1),$U$267,HLOOKUP(INDIRECT(ADDRESS(2,COLUMN())),OFFSET($BN$2,0,0,ROW()-1,60),ROW()-1,FALSE))</f>
        <v/>
      </c>
      <c r="V62">
        <f ca="1">IF(AND(ISNUMBER($V$267),$B$208=1),$V$267,HLOOKUP(INDIRECT(ADDRESS(2,COLUMN())),OFFSET($BN$2,0,0,ROW()-1,60),ROW()-1,FALSE))</f>
        <v>27238</v>
      </c>
      <c r="W62" t="str">
        <f ca="1">IF(AND(ISNUMBER($W$267),$B$208=1),$W$267,HLOOKUP(INDIRECT(ADDRESS(2,COLUMN())),OFFSET($BN$2,0,0,ROW()-1,60),ROW()-1,FALSE))</f>
        <v/>
      </c>
      <c r="X62" t="str">
        <f ca="1">IF(AND(ISNUMBER($X$267),$B$208=1),$X$267,HLOOKUP(INDIRECT(ADDRESS(2,COLUMN())),OFFSET($BN$2,0,0,ROW()-1,60),ROW()-1,FALSE))</f>
        <v/>
      </c>
      <c r="Y62" t="str">
        <f ca="1">IF(AND(ISNUMBER($Y$267),$B$208=1),$Y$267,HLOOKUP(INDIRECT(ADDRESS(2,COLUMN())),OFFSET($BN$2,0,0,ROW()-1,60),ROW()-1,FALSE))</f>
        <v/>
      </c>
      <c r="Z62">
        <f ca="1">IF(AND(ISNUMBER($Z$267),$B$208=1),$Z$267,HLOOKUP(INDIRECT(ADDRESS(2,COLUMN())),OFFSET($BN$2,0,0,ROW()-1,60),ROW()-1,FALSE))</f>
        <v>21694</v>
      </c>
      <c r="AA62" t="str">
        <f ca="1">IF(AND(ISNUMBER($AA$267),$B$208=1),$AA$267,HLOOKUP(INDIRECT(ADDRESS(2,COLUMN())),OFFSET($BN$2,0,0,ROW()-1,60),ROW()-1,FALSE))</f>
        <v/>
      </c>
      <c r="AB62" t="str">
        <f ca="1">IF(AND(ISNUMBER($AB$267),$B$208=1),$AB$267,HLOOKUP(INDIRECT(ADDRESS(2,COLUMN())),OFFSET($BN$2,0,0,ROW()-1,60),ROW()-1,FALSE))</f>
        <v/>
      </c>
      <c r="AC62" t="str">
        <f ca="1">IF(AND(ISNUMBER($AC$267),$B$208=1),$AC$267,HLOOKUP(INDIRECT(ADDRESS(2,COLUMN())),OFFSET($BN$2,0,0,ROW()-1,60),ROW()-1,FALSE))</f>
        <v/>
      </c>
      <c r="AD62">
        <f ca="1">IF(AND(ISNUMBER($AD$267),$B$208=1),$AD$267,HLOOKUP(INDIRECT(ADDRESS(2,COLUMN())),OFFSET($BN$2,0,0,ROW()-1,60),ROW()-1,FALSE))</f>
        <v>22110</v>
      </c>
      <c r="AE62" t="str">
        <f ca="1">IF(AND(ISNUMBER($AE$267),$B$208=1),$AE$267,HLOOKUP(INDIRECT(ADDRESS(2,COLUMN())),OFFSET($BN$2,0,0,ROW()-1,60),ROW()-1,FALSE))</f>
        <v/>
      </c>
      <c r="AF62" t="str">
        <f ca="1">IF(AND(ISNUMBER($AF$267),$B$208=1),$AF$267,HLOOKUP(INDIRECT(ADDRESS(2,COLUMN())),OFFSET($BN$2,0,0,ROW()-1,60),ROW()-1,FALSE))</f>
        <v/>
      </c>
      <c r="AG62" t="str">
        <f ca="1">IF(AND(ISNUMBER($AG$267),$B$208=1),$AG$267,HLOOKUP(INDIRECT(ADDRESS(2,COLUMN())),OFFSET($BN$2,0,0,ROW()-1,60),ROW()-1,FALSE))</f>
        <v/>
      </c>
      <c r="AH62">
        <f ca="1">IF(AND(ISNUMBER($AH$267),$B$208=1),$AH$267,HLOOKUP(INDIRECT(ADDRESS(2,COLUMN())),OFFSET($BN$2,0,0,ROW()-1,60),ROW()-1,FALSE))</f>
        <v>27444</v>
      </c>
      <c r="AI62" t="str">
        <f ca="1">IF(AND(ISNUMBER($AI$267),$B$208=1),$AI$267,HLOOKUP(INDIRECT(ADDRESS(2,COLUMN())),OFFSET($BN$2,0,0,ROW()-1,60),ROW()-1,FALSE))</f>
        <v/>
      </c>
      <c r="AJ62" t="str">
        <f ca="1">IF(AND(ISNUMBER($AJ$267),$B$208=1),$AJ$267,HLOOKUP(INDIRECT(ADDRESS(2,COLUMN())),OFFSET($BN$2,0,0,ROW()-1,60),ROW()-1,FALSE))</f>
        <v/>
      </c>
      <c r="AK62" t="str">
        <f ca="1">IF(AND(ISNUMBER($AK$267),$B$208=1),$AK$267,HLOOKUP(INDIRECT(ADDRESS(2,COLUMN())),OFFSET($BN$2,0,0,ROW()-1,60),ROW()-1,FALSE))</f>
        <v/>
      </c>
      <c r="AL62" t="str">
        <f ca="1">IF(AND(ISNUMBER($AL$267),$B$208=1),$AL$267,HLOOKUP(INDIRECT(ADDRESS(2,COLUMN())),OFFSET($BN$2,0,0,ROW()-1,60),ROW()-1,FALSE))</f>
        <v/>
      </c>
      <c r="AM62" t="str">
        <f ca="1">IF(AND(ISNUMBER($AM$267),$B$208=1),$AM$267,HLOOKUP(INDIRECT(ADDRESS(2,COLUMN())),OFFSET($BN$2,0,0,ROW()-1,60),ROW()-1,FALSE))</f>
        <v/>
      </c>
      <c r="AN62" t="str">
        <f ca="1">IF(AND(ISNUMBER($AN$267),$B$208=1),$AN$267,HLOOKUP(INDIRECT(ADDRESS(2,COLUMN())),OFFSET($BN$2,0,0,ROW()-1,60),ROW()-1,FALSE))</f>
        <v/>
      </c>
      <c r="AO62" t="str">
        <f ca="1">IF(AND(ISNUMBER($AO$267),$B$208=1),$AO$267,HLOOKUP(INDIRECT(ADDRESS(2,COLUMN())),OFFSET($BN$2,0,0,ROW()-1,60),ROW()-1,FALSE))</f>
        <v/>
      </c>
      <c r="AP62" t="str">
        <f ca="1">IF(AND(ISNUMBER($AP$267),$B$208=1),$AP$267,HLOOKUP(INDIRECT(ADDRESS(2,COLUMN())),OFFSET($BN$2,0,0,ROW()-1,60),ROW()-1,FALSE))</f>
        <v/>
      </c>
      <c r="AQ62" t="str">
        <f ca="1">IF(AND(ISNUMBER($AQ$267),$B$208=1),$AQ$267,HLOOKUP(INDIRECT(ADDRESS(2,COLUMN())),OFFSET($BN$2,0,0,ROW()-1,60),ROW()-1,FALSE))</f>
        <v/>
      </c>
      <c r="AR62" t="str">
        <f ca="1">IF(AND(ISNUMBER($AR$267),$B$208=1),$AR$267,HLOOKUP(INDIRECT(ADDRESS(2,COLUMN())),OFFSET($BN$2,0,0,ROW()-1,60),ROW()-1,FALSE))</f>
        <v/>
      </c>
      <c r="AS62" t="str">
        <f ca="1">IF(AND(ISNUMBER($AS$267),$B$208=1),$AS$267,HLOOKUP(INDIRECT(ADDRESS(2,COLUMN())),OFFSET($BN$2,0,0,ROW()-1,60),ROW()-1,FALSE))</f>
        <v/>
      </c>
      <c r="AT62" t="str">
        <f ca="1">IF(AND(ISNUMBER($AT$267),$B$208=1),$AT$267,HLOOKUP(INDIRECT(ADDRESS(2,COLUMN())),OFFSET($BN$2,0,0,ROW()-1,60),ROW()-1,FALSE))</f>
        <v/>
      </c>
      <c r="AU62" t="str">
        <f ca="1">IF(AND(ISNUMBER($AU$267),$B$208=1),$AU$267,HLOOKUP(INDIRECT(ADDRESS(2,COLUMN())),OFFSET($BN$2,0,0,ROW()-1,60),ROW()-1,FALSE))</f>
        <v/>
      </c>
      <c r="AV62" t="str">
        <f ca="1">IF(AND(ISNUMBER($AV$267),$B$208=1),$AV$267,HLOOKUP(INDIRECT(ADDRESS(2,COLUMN())),OFFSET($BN$2,0,0,ROW()-1,60),ROW()-1,FALSE))</f>
        <v/>
      </c>
      <c r="AW62" t="str">
        <f ca="1">IF(AND(ISNUMBER($AW$267),$B$208=1),$AW$267,HLOOKUP(INDIRECT(ADDRESS(2,COLUMN())),OFFSET($BN$2,0,0,ROW()-1,60),ROW()-1,FALSE))</f>
        <v/>
      </c>
      <c r="AX62">
        <f ca="1">IF(AND(ISNUMBER($AX$267),$B$208=1),$AX$267,HLOOKUP(INDIRECT(ADDRESS(2,COLUMN())),OFFSET($BN$2,0,0,ROW()-1,60),ROW()-1,FALSE))</f>
        <v>31433</v>
      </c>
      <c r="AY62" t="str">
        <f ca="1">IF(AND(ISNUMBER($AY$267),$B$208=1),$AY$267,HLOOKUP(INDIRECT(ADDRESS(2,COLUMN())),OFFSET($BN$2,0,0,ROW()-1,60),ROW()-1,FALSE))</f>
        <v/>
      </c>
      <c r="AZ62" t="str">
        <f ca="1">IF(AND(ISNUMBER($AZ$267),$B$208=1),$AZ$267,HLOOKUP(INDIRECT(ADDRESS(2,COLUMN())),OFFSET($BN$2,0,0,ROW()-1,60),ROW()-1,FALSE))</f>
        <v/>
      </c>
      <c r="BA62" t="str">
        <f ca="1">IF(AND(ISNUMBER($BA$267),$B$208=1),$BA$267,HLOOKUP(INDIRECT(ADDRESS(2,COLUMN())),OFFSET($BN$2,0,0,ROW()-1,60),ROW()-1,FALSE))</f>
        <v/>
      </c>
      <c r="BB62" t="str">
        <f ca="1">IF(AND(ISNUMBER($BB$267),$B$208=1),$BB$267,HLOOKUP(INDIRECT(ADDRESS(2,COLUMN())),OFFSET($BN$2,0,0,ROW()-1,60),ROW()-1,FALSE))</f>
        <v/>
      </c>
      <c r="BC62" t="str">
        <f ca="1">IF(AND(ISNUMBER($BC$267),$B$208=1),$BC$267,HLOOKUP(INDIRECT(ADDRESS(2,COLUMN())),OFFSET($BN$2,0,0,ROW()-1,60),ROW()-1,FALSE))</f>
        <v/>
      </c>
      <c r="BD62" t="str">
        <f ca="1">IF(AND(ISNUMBER($BD$267),$B$208=1),$BD$267,HLOOKUP(INDIRECT(ADDRESS(2,COLUMN())),OFFSET($BN$2,0,0,ROW()-1,60),ROW()-1,FALSE))</f>
        <v/>
      </c>
      <c r="BE62" t="str">
        <f ca="1">IF(AND(ISNUMBER($BE$267),$B$208=1),$BE$267,HLOOKUP(INDIRECT(ADDRESS(2,COLUMN())),OFFSET($BN$2,0,0,ROW()-1,60),ROW()-1,FALSE))</f>
        <v/>
      </c>
      <c r="BF62" t="str">
        <f ca="1">IF(AND(ISNUMBER($BF$267),$B$208=1),$BF$267,HLOOKUP(INDIRECT(ADDRESS(2,COLUMN())),OFFSET($BN$2,0,0,ROW()-1,60),ROW()-1,FALSE))</f>
        <v/>
      </c>
      <c r="BG62" t="str">
        <f ca="1">IF(AND(ISNUMBER($BG$267),$B$208=1),$BG$267,HLOOKUP(INDIRECT(ADDRESS(2,COLUMN())),OFFSET($BN$2,0,0,ROW()-1,60),ROW()-1,FALSE))</f>
        <v/>
      </c>
      <c r="BH62" t="str">
        <f ca="1">IF(AND(ISNUMBER($BH$267),$B$208=1),$BH$267,HLOOKUP(INDIRECT(ADDRESS(2,COLUMN())),OFFSET($BN$2,0,0,ROW()-1,60),ROW()-1,FALSE))</f>
        <v/>
      </c>
      <c r="BI62" t="str">
        <f ca="1">IF(AND(ISNUMBER($BI$267),$B$208=1),$BI$267,HLOOKUP(INDIRECT(ADDRESS(2,COLUMN())),OFFSET($BN$2,0,0,ROW()-1,60),ROW()-1,FALSE))</f>
        <v/>
      </c>
      <c r="BJ62" t="str">
        <f ca="1">IF(AND(ISNUMBER($BJ$267),$B$208=1),$BJ$267,HLOOKUP(INDIRECT(ADDRESS(2,COLUMN())),OFFSET($BN$2,0,0,ROW()-1,60),ROW()-1,FALSE))</f>
        <v/>
      </c>
      <c r="BK62" t="str">
        <f ca="1">IF(AND(ISNUMBER($BK$267),$B$208=1),$BK$267,HLOOKUP(INDIRECT(ADDRESS(2,COLUMN())),OFFSET($BN$2,0,0,ROW()-1,60),ROW()-1,FALSE))</f>
        <v/>
      </c>
      <c r="BL62" t="str">
        <f ca="1">IF(AND(ISNUMBER($BL$267),$B$208=1),$BL$267,HLOOKUP(INDIRECT(ADDRESS(2,COLUMN())),OFFSET($BN$2,0,0,ROW()-1,60),ROW()-1,FALSE))</f>
        <v/>
      </c>
      <c r="BM62" t="str">
        <f ca="1">IF(AND(ISNUMBER($BM$267),$B$208=1),$BM$267,HLOOKUP(INDIRECT(ADDRESS(2,COLUMN())),OFFSET($BN$2,0,0,ROW()-1,60),ROW()-1,FALSE))</f>
        <v/>
      </c>
      <c r="BN62">
        <f>1606</f>
        <v>1606</v>
      </c>
      <c r="BO62" t="str">
        <f>""</f>
        <v/>
      </c>
      <c r="BP62" t="str">
        <f>""</f>
        <v/>
      </c>
      <c r="BQ62" t="str">
        <f>""</f>
        <v/>
      </c>
      <c r="BR62">
        <f>771</f>
        <v>771</v>
      </c>
      <c r="BS62" t="str">
        <f>""</f>
        <v/>
      </c>
      <c r="BT62" t="str">
        <f>""</f>
        <v/>
      </c>
      <c r="BU62" t="str">
        <f>""</f>
        <v/>
      </c>
      <c r="BV62">
        <f>30841</f>
        <v>30841</v>
      </c>
      <c r="BW62" t="str">
        <f>""</f>
        <v/>
      </c>
      <c r="BX62" t="str">
        <f>""</f>
        <v/>
      </c>
      <c r="BY62" t="str">
        <f>""</f>
        <v/>
      </c>
      <c r="BZ62">
        <f>19764</f>
        <v>19764</v>
      </c>
      <c r="CA62" t="str">
        <f>""</f>
        <v/>
      </c>
      <c r="CB62" t="str">
        <f>""</f>
        <v/>
      </c>
      <c r="CC62" t="str">
        <f>""</f>
        <v/>
      </c>
      <c r="CD62">
        <f>27238</f>
        <v>27238</v>
      </c>
      <c r="CE62" t="str">
        <f>""</f>
        <v/>
      </c>
      <c r="CF62" t="str">
        <f>""</f>
        <v/>
      </c>
      <c r="CG62" t="str">
        <f>""</f>
        <v/>
      </c>
      <c r="CH62">
        <f>21694</f>
        <v>21694</v>
      </c>
      <c r="CI62" t="str">
        <f>""</f>
        <v/>
      </c>
      <c r="CJ62" t="str">
        <f>""</f>
        <v/>
      </c>
      <c r="CK62" t="str">
        <f>""</f>
        <v/>
      </c>
      <c r="CL62">
        <f>22110</f>
        <v>22110</v>
      </c>
      <c r="CM62" t="str">
        <f>""</f>
        <v/>
      </c>
      <c r="CN62" t="str">
        <f>""</f>
        <v/>
      </c>
      <c r="CO62" t="str">
        <f>""</f>
        <v/>
      </c>
      <c r="CP62">
        <f>27444</f>
        <v>27444</v>
      </c>
      <c r="CQ62" t="str">
        <f>""</f>
        <v/>
      </c>
      <c r="CR62" t="str">
        <f>""</f>
        <v/>
      </c>
      <c r="CS62" t="str">
        <f>""</f>
        <v/>
      </c>
      <c r="CT62" t="str">
        <f>""</f>
        <v/>
      </c>
      <c r="CU62" t="str">
        <f>""</f>
        <v/>
      </c>
      <c r="CV62" t="str">
        <f>""</f>
        <v/>
      </c>
      <c r="CW62" t="str">
        <f>""</f>
        <v/>
      </c>
      <c r="CX62" t="str">
        <f>""</f>
        <v/>
      </c>
      <c r="CY62" t="str">
        <f>""</f>
        <v/>
      </c>
      <c r="CZ62" t="str">
        <f>""</f>
        <v/>
      </c>
      <c r="DA62" t="str">
        <f>""</f>
        <v/>
      </c>
      <c r="DB62" t="str">
        <f>""</f>
        <v/>
      </c>
      <c r="DC62" t="str">
        <f>""</f>
        <v/>
      </c>
      <c r="DD62" t="str">
        <f>""</f>
        <v/>
      </c>
      <c r="DE62" t="str">
        <f>""</f>
        <v/>
      </c>
      <c r="DF62">
        <f>31433</f>
        <v>31433</v>
      </c>
      <c r="DG62" t="str">
        <f>""</f>
        <v/>
      </c>
      <c r="DH62" t="str">
        <f>""</f>
        <v/>
      </c>
      <c r="DI62" t="str">
        <f>""</f>
        <v/>
      </c>
      <c r="DJ62" t="str">
        <f>""</f>
        <v/>
      </c>
      <c r="DK62" t="str">
        <f>""</f>
        <v/>
      </c>
      <c r="DL62" t="str">
        <f>""</f>
        <v/>
      </c>
      <c r="DM62" t="str">
        <f>""</f>
        <v/>
      </c>
      <c r="DN62" t="str">
        <f>""</f>
        <v/>
      </c>
      <c r="DO62" t="str">
        <f>""</f>
        <v/>
      </c>
      <c r="DP62" t="str">
        <f>""</f>
        <v/>
      </c>
      <c r="DQ62" t="str">
        <f>""</f>
        <v/>
      </c>
      <c r="DR62" t="str">
        <f>""</f>
        <v/>
      </c>
      <c r="DS62" t="str">
        <f>""</f>
        <v/>
      </c>
      <c r="DT62" t="str">
        <f>""</f>
        <v/>
      </c>
      <c r="DU62" t="str">
        <f>""</f>
        <v/>
      </c>
    </row>
    <row r="63" spans="1:125" x14ac:dyDescent="0.25">
      <c r="A63" t="str">
        <f>"    Intesa Sanpaolo SpA"</f>
        <v xml:space="preserve">    Intesa Sanpaolo SpA</v>
      </c>
      <c r="B63" t="str">
        <f>"ISP IM Equity"</f>
        <v>ISP IM Equity</v>
      </c>
      <c r="C63" t="str">
        <f t="shared" si="3"/>
        <v>BM109</v>
      </c>
      <c r="D63" t="str">
        <f t="shared" si="4"/>
        <v>BS_TRADING_SECURITIES_DERIVS</v>
      </c>
      <c r="E63" t="str">
        <f t="shared" si="5"/>
        <v>Dynamic</v>
      </c>
      <c r="F63" t="str">
        <f ca="1">IF(AND(ISNUMBER($F$268),$B$208=1),$F$268,HLOOKUP(INDIRECT(ADDRESS(2,COLUMN())),OFFSET($BN$2,0,0,ROW()-1,60),ROW()-1,FALSE))</f>
        <v/>
      </c>
      <c r="G63">
        <f ca="1">IF(AND(ISNUMBER($G$268),$B$208=1),$G$268,HLOOKUP(INDIRECT(ADDRESS(2,COLUMN())),OFFSET($BN$2,0,0,ROW()-1,60),ROW()-1,FALSE))</f>
        <v>25394</v>
      </c>
      <c r="H63">
        <f ca="1">IF(AND(ISNUMBER($H$268),$B$208=1),$H$268,HLOOKUP(INDIRECT(ADDRESS(2,COLUMN())),OFFSET($BN$2,0,0,ROW()-1,60),ROW()-1,FALSE))</f>
        <v>24992</v>
      </c>
      <c r="I63">
        <f ca="1">IF(AND(ISNUMBER($I$268),$B$208=1),$I$268,HLOOKUP(INDIRECT(ADDRESS(2,COLUMN())),OFFSET($BN$2,0,0,ROW()-1,60),ROW()-1,FALSE))</f>
        <v>25458</v>
      </c>
      <c r="J63">
        <f ca="1">IF(AND(ISNUMBER($J$268),$B$208=1),$J$268,HLOOKUP(INDIRECT(ADDRESS(2,COLUMN())),OFFSET($BN$2,0,0,ROW()-1,60),ROW()-1,FALSE))</f>
        <v>25520</v>
      </c>
      <c r="K63">
        <f ca="1">IF(AND(ISNUMBER($K$268),$B$208=1),$K$268,HLOOKUP(INDIRECT(ADDRESS(2,COLUMN())),OFFSET($BN$2,0,0,ROW()-1,60),ROW()-1,FALSE))</f>
        <v>29666</v>
      </c>
      <c r="L63">
        <f ca="1">IF(AND(ISNUMBER($L$268),$B$208=1),$L$268,HLOOKUP(INDIRECT(ADDRESS(2,COLUMN())),OFFSET($BN$2,0,0,ROW()-1,60),ROW()-1,FALSE))</f>
        <v>29001</v>
      </c>
      <c r="M63">
        <f ca="1">IF(AND(ISNUMBER($M$268),$B$208=1),$M$268,HLOOKUP(INDIRECT(ADDRESS(2,COLUMN())),OFFSET($BN$2,0,0,ROW()-1,60),ROW()-1,FALSE))</f>
        <v>28846</v>
      </c>
      <c r="N63">
        <f ca="1">IF(AND(ISNUMBER($N$268),$B$208=1),$N$268,HLOOKUP(INDIRECT(ADDRESS(2,COLUMN())),OFFSET($BN$2,0,0,ROW()-1,60),ROW()-1,FALSE))</f>
        <v>30955</v>
      </c>
      <c r="O63">
        <f ca="1">IF(AND(ISNUMBER($O$268),$B$208=1),$O$268,HLOOKUP(INDIRECT(ADDRESS(2,COLUMN())),OFFSET($BN$2,0,0,ROW()-1,60),ROW()-1,FALSE))</f>
        <v>34865</v>
      </c>
      <c r="P63">
        <f ca="1">IF(AND(ISNUMBER($P$268),$B$208=1),$P$268,HLOOKUP(INDIRECT(ADDRESS(2,COLUMN())),OFFSET($BN$2,0,0,ROW()-1,60),ROW()-1,FALSE))</f>
        <v>28508</v>
      </c>
      <c r="Q63">
        <f ca="1">IF(AND(ISNUMBER($Q$268),$B$208=1),$Q$268,HLOOKUP(INDIRECT(ADDRESS(2,COLUMN())),OFFSET($BN$2,0,0,ROW()-1,60),ROW()-1,FALSE))</f>
        <v>24329</v>
      </c>
      <c r="R63">
        <f ca="1">IF(AND(ISNUMBER($R$268),$B$208=1),$R$268,HLOOKUP(INDIRECT(ADDRESS(2,COLUMN())),OFFSET($BN$2,0,0,ROW()-1,60),ROW()-1,FALSE))</f>
        <v>23120</v>
      </c>
      <c r="S63">
        <f ca="1">IF(AND(ISNUMBER($S$268),$B$208=1),$S$268,HLOOKUP(INDIRECT(ADDRESS(2,COLUMN())),OFFSET($BN$2,0,0,ROW()-1,60),ROW()-1,FALSE))</f>
        <v>24165</v>
      </c>
      <c r="T63">
        <f ca="1">IF(AND(ISNUMBER($T$268),$B$208=1),$T$268,HLOOKUP(INDIRECT(ADDRESS(2,COLUMN())),OFFSET($BN$2,0,0,ROW()-1,60),ROW()-1,FALSE))</f>
        <v>23870</v>
      </c>
      <c r="U63">
        <f ca="1">IF(AND(ISNUMBER($U$268),$B$208=1),$U$268,HLOOKUP(INDIRECT(ADDRESS(2,COLUMN())),OFFSET($BN$2,0,0,ROW()-1,60),ROW()-1,FALSE))</f>
        <v>26102</v>
      </c>
      <c r="V63">
        <f ca="1">IF(AND(ISNUMBER($V$268),$B$208=1),$V$268,HLOOKUP(INDIRECT(ADDRESS(2,COLUMN())),OFFSET($BN$2,0,0,ROW()-1,60),ROW()-1,FALSE))</f>
        <v>29899</v>
      </c>
      <c r="W63">
        <f ca="1">IF(AND(ISNUMBER($W$268),$B$208=1),$W$268,HLOOKUP(INDIRECT(ADDRESS(2,COLUMN())),OFFSET($BN$2,0,0,ROW()-1,60),ROW()-1,FALSE))</f>
        <v>30521</v>
      </c>
      <c r="X63">
        <f ca="1">IF(AND(ISNUMBER($X$268),$B$208=1),$X$268,HLOOKUP(INDIRECT(ADDRESS(2,COLUMN())),OFFSET($BN$2,0,0,ROW()-1,60),ROW()-1,FALSE))</f>
        <v>31535</v>
      </c>
      <c r="Y63">
        <f ca="1">IF(AND(ISNUMBER($Y$268),$B$208=1),$Y$268,HLOOKUP(INDIRECT(ADDRESS(2,COLUMN())),OFFSET($BN$2,0,0,ROW()-1,60),ROW()-1,FALSE))</f>
        <v>32183</v>
      </c>
      <c r="Z63">
        <f ca="1">IF(AND(ISNUMBER($Z$268),$B$208=1),$Z$268,HLOOKUP(INDIRECT(ADDRESS(2,COLUMN())),OFFSET($BN$2,0,0,ROW()-1,60),ROW()-1,FALSE))</f>
        <v>26402</v>
      </c>
      <c r="AA63">
        <f ca="1">IF(AND(ISNUMBER($AA$268),$B$208=1),$AA$268,HLOOKUP(INDIRECT(ADDRESS(2,COLUMN())),OFFSET($BN$2,0,0,ROW()-1,60),ROW()-1,FALSE))</f>
        <v>31028</v>
      </c>
      <c r="AB63">
        <f ca="1">IF(AND(ISNUMBER($AB$268),$B$208=1),$AB$268,HLOOKUP(INDIRECT(ADDRESS(2,COLUMN())),OFFSET($BN$2,0,0,ROW()-1,60),ROW()-1,FALSE))</f>
        <v>27226</v>
      </c>
      <c r="AC63">
        <f ca="1">IF(AND(ISNUMBER($AC$268),$B$208=1),$AC$268,HLOOKUP(INDIRECT(ADDRESS(2,COLUMN())),OFFSET($BN$2,0,0,ROW()-1,60),ROW()-1,FALSE))</f>
        <v>26027</v>
      </c>
      <c r="AD63">
        <f ca="1">IF(AND(ISNUMBER($AD$268),$B$208=1),$AD$268,HLOOKUP(INDIRECT(ADDRESS(2,COLUMN())),OFFSET($BN$2,0,0,ROW()-1,60),ROW()-1,FALSE))</f>
        <v>25902</v>
      </c>
      <c r="AE63">
        <f ca="1">IF(AND(ISNUMBER($AE$268),$B$208=1),$AE$268,HLOOKUP(INDIRECT(ADDRESS(2,COLUMN())),OFFSET($BN$2,0,0,ROW()-1,60),ROW()-1,FALSE))</f>
        <v>24672</v>
      </c>
      <c r="AF63">
        <f ca="1">IF(AND(ISNUMBER($AF$268),$B$208=1),$AF$268,HLOOKUP(INDIRECT(ADDRESS(2,COLUMN())),OFFSET($BN$2,0,0,ROW()-1,60),ROW()-1,FALSE))</f>
        <v>25917</v>
      </c>
      <c r="AG63">
        <f ca="1">IF(AND(ISNUMBER($AG$268),$B$208=1),$AG$268,HLOOKUP(INDIRECT(ADDRESS(2,COLUMN())),OFFSET($BN$2,0,0,ROW()-1,60),ROW()-1,FALSE))</f>
        <v>24728</v>
      </c>
      <c r="AH63">
        <f ca="1">IF(AND(ISNUMBER($AH$268),$B$208=1),$AH$268,HLOOKUP(INDIRECT(ADDRESS(2,COLUMN())),OFFSET($BN$2,0,0,ROW()-1,60),ROW()-1,FALSE))</f>
        <v>24780</v>
      </c>
      <c r="AI63" t="str">
        <f ca="1">IF(AND(ISNUMBER($AI$268),$B$208=1),$AI$268,HLOOKUP(INDIRECT(ADDRESS(2,COLUMN())),OFFSET($BN$2,0,0,ROW()-1,60),ROW()-1,FALSE))</f>
        <v/>
      </c>
      <c r="AJ63" t="str">
        <f ca="1">IF(AND(ISNUMBER($AJ$268),$B$208=1),$AJ$268,HLOOKUP(INDIRECT(ADDRESS(2,COLUMN())),OFFSET($BN$2,0,0,ROW()-1,60),ROW()-1,FALSE))</f>
        <v/>
      </c>
      <c r="AK63" t="str">
        <f ca="1">IF(AND(ISNUMBER($AK$268),$B$208=1),$AK$268,HLOOKUP(INDIRECT(ADDRESS(2,COLUMN())),OFFSET($BN$2,0,0,ROW()-1,60),ROW()-1,FALSE))</f>
        <v/>
      </c>
      <c r="AL63">
        <f ca="1">IF(AND(ISNUMBER($AL$268),$B$208=1),$AL$268,HLOOKUP(INDIRECT(ADDRESS(2,COLUMN())),OFFSET($BN$2,0,0,ROW()-1,60),ROW()-1,FALSE))</f>
        <v>30220</v>
      </c>
      <c r="AM63" t="str">
        <f ca="1">IF(AND(ISNUMBER($AM$268),$B$208=1),$AM$268,HLOOKUP(INDIRECT(ADDRESS(2,COLUMN())),OFFSET($BN$2,0,0,ROW()-1,60),ROW()-1,FALSE))</f>
        <v/>
      </c>
      <c r="AN63" t="str">
        <f ca="1">IF(AND(ISNUMBER($AN$268),$B$208=1),$AN$268,HLOOKUP(INDIRECT(ADDRESS(2,COLUMN())),OFFSET($BN$2,0,0,ROW()-1,60),ROW()-1,FALSE))</f>
        <v/>
      </c>
      <c r="AO63" t="str">
        <f ca="1">IF(AND(ISNUMBER($AO$268),$B$208=1),$AO$268,HLOOKUP(INDIRECT(ADDRESS(2,COLUMN())),OFFSET($BN$2,0,0,ROW()-1,60),ROW()-1,FALSE))</f>
        <v/>
      </c>
      <c r="AP63">
        <f ca="1">IF(AND(ISNUMBER($AP$268),$B$208=1),$AP$268,HLOOKUP(INDIRECT(ADDRESS(2,COLUMN())),OFFSET($BN$2,0,0,ROW()-1,60),ROW()-1,FALSE))</f>
        <v>30894</v>
      </c>
      <c r="AQ63" t="str">
        <f ca="1">IF(AND(ISNUMBER($AQ$268),$B$208=1),$AQ$268,HLOOKUP(INDIRECT(ADDRESS(2,COLUMN())),OFFSET($BN$2,0,0,ROW()-1,60),ROW()-1,FALSE))</f>
        <v/>
      </c>
      <c r="AR63">
        <f ca="1">IF(AND(ISNUMBER($AR$268),$B$208=1),$AR$268,HLOOKUP(INDIRECT(ADDRESS(2,COLUMN())),OFFSET($BN$2,0,0,ROW()-1,60),ROW()-1,FALSE))</f>
        <v>31654</v>
      </c>
      <c r="AS63" t="str">
        <f ca="1">IF(AND(ISNUMBER($AS$268),$B$208=1),$AS$268,HLOOKUP(INDIRECT(ADDRESS(2,COLUMN())),OFFSET($BN$2,0,0,ROW()-1,60),ROW()-1,FALSE))</f>
        <v/>
      </c>
      <c r="AT63">
        <f ca="1">IF(AND(ISNUMBER($AT$268),$B$208=1),$AT$268,HLOOKUP(INDIRECT(ADDRESS(2,COLUMN())),OFFSET($BN$2,0,0,ROW()-1,60),ROW()-1,FALSE))</f>
        <v>36729</v>
      </c>
      <c r="AU63">
        <f ca="1">IF(AND(ISNUMBER($AU$268),$B$208=1),$AU$268,HLOOKUP(INDIRECT(ADDRESS(2,COLUMN())),OFFSET($BN$2,0,0,ROW()-1,60),ROW()-1,FALSE))</f>
        <v>34174</v>
      </c>
      <c r="AV63" t="str">
        <f ca="1">IF(AND(ISNUMBER($AV$268),$B$208=1),$AV$268,HLOOKUP(INDIRECT(ADDRESS(2,COLUMN())),OFFSET($BN$2,0,0,ROW()-1,60),ROW()-1,FALSE))</f>
        <v/>
      </c>
      <c r="AW63" t="str">
        <f ca="1">IF(AND(ISNUMBER($AW$268),$B$208=1),$AW$268,HLOOKUP(INDIRECT(ADDRESS(2,COLUMN())),OFFSET($BN$2,0,0,ROW()-1,60),ROW()-1,FALSE))</f>
        <v/>
      </c>
      <c r="AX63">
        <f ca="1">IF(AND(ISNUMBER($AX$268),$B$208=1),$AX$268,HLOOKUP(INDIRECT(ADDRESS(2,COLUMN())),OFFSET($BN$2,0,0,ROW()-1,60),ROW()-1,FALSE))</f>
        <v>29909</v>
      </c>
      <c r="AY63" t="str">
        <f ca="1">IF(AND(ISNUMBER($AY$268),$B$208=1),$AY$268,HLOOKUP(INDIRECT(ADDRESS(2,COLUMN())),OFFSET($BN$2,0,0,ROW()-1,60),ROW()-1,FALSE))</f>
        <v/>
      </c>
      <c r="AZ63" t="str">
        <f ca="1">IF(AND(ISNUMBER($AZ$268),$B$208=1),$AZ$268,HLOOKUP(INDIRECT(ADDRESS(2,COLUMN())),OFFSET($BN$2,0,0,ROW()-1,60),ROW()-1,FALSE))</f>
        <v/>
      </c>
      <c r="BA63" t="str">
        <f ca="1">IF(AND(ISNUMBER($BA$268),$B$208=1),$BA$268,HLOOKUP(INDIRECT(ADDRESS(2,COLUMN())),OFFSET($BN$2,0,0,ROW()-1,60),ROW()-1,FALSE))</f>
        <v/>
      </c>
      <c r="BB63" t="str">
        <f ca="1">IF(AND(ISNUMBER($BB$268),$B$208=1),$BB$268,HLOOKUP(INDIRECT(ADDRESS(2,COLUMN())),OFFSET($BN$2,0,0,ROW()-1,60),ROW()-1,FALSE))</f>
        <v/>
      </c>
      <c r="BC63" t="str">
        <f ca="1">IF(AND(ISNUMBER($BC$268),$B$208=1),$BC$268,HLOOKUP(INDIRECT(ADDRESS(2,COLUMN())),OFFSET($BN$2,0,0,ROW()-1,60),ROW()-1,FALSE))</f>
        <v/>
      </c>
      <c r="BD63" t="str">
        <f ca="1">IF(AND(ISNUMBER($BD$268),$B$208=1),$BD$268,HLOOKUP(INDIRECT(ADDRESS(2,COLUMN())),OFFSET($BN$2,0,0,ROW()-1,60),ROW()-1,FALSE))</f>
        <v/>
      </c>
      <c r="BE63" t="str">
        <f ca="1">IF(AND(ISNUMBER($BE$268),$B$208=1),$BE$268,HLOOKUP(INDIRECT(ADDRESS(2,COLUMN())),OFFSET($BN$2,0,0,ROW()-1,60),ROW()-1,FALSE))</f>
        <v/>
      </c>
      <c r="BF63" t="str">
        <f ca="1">IF(AND(ISNUMBER($BF$268),$B$208=1),$BF$268,HLOOKUP(INDIRECT(ADDRESS(2,COLUMN())),OFFSET($BN$2,0,0,ROW()-1,60),ROW()-1,FALSE))</f>
        <v/>
      </c>
      <c r="BG63" t="str">
        <f ca="1">IF(AND(ISNUMBER($BG$268),$B$208=1),$BG$268,HLOOKUP(INDIRECT(ADDRESS(2,COLUMN())),OFFSET($BN$2,0,0,ROW()-1,60),ROW()-1,FALSE))</f>
        <v/>
      </c>
      <c r="BH63" t="str">
        <f ca="1">IF(AND(ISNUMBER($BH$268),$B$208=1),$BH$268,HLOOKUP(INDIRECT(ADDRESS(2,COLUMN())),OFFSET($BN$2,0,0,ROW()-1,60),ROW()-1,FALSE))</f>
        <v/>
      </c>
      <c r="BI63" t="str">
        <f ca="1">IF(AND(ISNUMBER($BI$268),$B$208=1),$BI$268,HLOOKUP(INDIRECT(ADDRESS(2,COLUMN())),OFFSET($BN$2,0,0,ROW()-1,60),ROW()-1,FALSE))</f>
        <v/>
      </c>
      <c r="BJ63" t="str">
        <f ca="1">IF(AND(ISNUMBER($BJ$268),$B$208=1),$BJ$268,HLOOKUP(INDIRECT(ADDRESS(2,COLUMN())),OFFSET($BN$2,0,0,ROW()-1,60),ROW()-1,FALSE))</f>
        <v/>
      </c>
      <c r="BK63" t="str">
        <f ca="1">IF(AND(ISNUMBER($BK$268),$B$208=1),$BK$268,HLOOKUP(INDIRECT(ADDRESS(2,COLUMN())),OFFSET($BN$2,0,0,ROW()-1,60),ROW()-1,FALSE))</f>
        <v/>
      </c>
      <c r="BL63" t="str">
        <f ca="1">IF(AND(ISNUMBER($BL$268),$B$208=1),$BL$268,HLOOKUP(INDIRECT(ADDRESS(2,COLUMN())),OFFSET($BN$2,0,0,ROW()-1,60),ROW()-1,FALSE))</f>
        <v/>
      </c>
      <c r="BM63" t="str">
        <f ca="1">IF(AND(ISNUMBER($BM$268),$B$208=1),$BM$268,HLOOKUP(INDIRECT(ADDRESS(2,COLUMN())),OFFSET($BN$2,0,0,ROW()-1,60),ROW()-1,FALSE))</f>
        <v/>
      </c>
      <c r="BN63" t="str">
        <f>""</f>
        <v/>
      </c>
      <c r="BO63">
        <f>25394</f>
        <v>25394</v>
      </c>
      <c r="BP63">
        <f>24992</f>
        <v>24992</v>
      </c>
      <c r="BQ63">
        <f>25458</f>
        <v>25458</v>
      </c>
      <c r="BR63">
        <f>25520</f>
        <v>25520</v>
      </c>
      <c r="BS63">
        <f>29666</f>
        <v>29666</v>
      </c>
      <c r="BT63">
        <f>29001</f>
        <v>29001</v>
      </c>
      <c r="BU63">
        <f>28846</f>
        <v>28846</v>
      </c>
      <c r="BV63">
        <f>30955</f>
        <v>30955</v>
      </c>
      <c r="BW63">
        <f>34865</f>
        <v>34865</v>
      </c>
      <c r="BX63">
        <f>28508</f>
        <v>28508</v>
      </c>
      <c r="BY63">
        <f>24329</f>
        <v>24329</v>
      </c>
      <c r="BZ63">
        <f>23120</f>
        <v>23120</v>
      </c>
      <c r="CA63">
        <f>24165</f>
        <v>24165</v>
      </c>
      <c r="CB63">
        <f>23870</f>
        <v>23870</v>
      </c>
      <c r="CC63">
        <f>26102</f>
        <v>26102</v>
      </c>
      <c r="CD63">
        <f>29899</f>
        <v>29899</v>
      </c>
      <c r="CE63">
        <f>30521</f>
        <v>30521</v>
      </c>
      <c r="CF63">
        <f>31535</f>
        <v>31535</v>
      </c>
      <c r="CG63">
        <f>32183</f>
        <v>32183</v>
      </c>
      <c r="CH63">
        <f>26402</f>
        <v>26402</v>
      </c>
      <c r="CI63">
        <f>31028</f>
        <v>31028</v>
      </c>
      <c r="CJ63">
        <f>27226</f>
        <v>27226</v>
      </c>
      <c r="CK63">
        <f>26027</f>
        <v>26027</v>
      </c>
      <c r="CL63">
        <f>25902</f>
        <v>25902</v>
      </c>
      <c r="CM63">
        <f>24672</f>
        <v>24672</v>
      </c>
      <c r="CN63">
        <f>25917</f>
        <v>25917</v>
      </c>
      <c r="CO63">
        <f>24728</f>
        <v>24728</v>
      </c>
      <c r="CP63">
        <f>24780</f>
        <v>24780</v>
      </c>
      <c r="CQ63" t="str">
        <f>""</f>
        <v/>
      </c>
      <c r="CR63" t="str">
        <f>""</f>
        <v/>
      </c>
      <c r="CS63" t="str">
        <f>""</f>
        <v/>
      </c>
      <c r="CT63">
        <f>30220</f>
        <v>30220</v>
      </c>
      <c r="CU63" t="str">
        <f>""</f>
        <v/>
      </c>
      <c r="CV63" t="str">
        <f>""</f>
        <v/>
      </c>
      <c r="CW63" t="str">
        <f>""</f>
        <v/>
      </c>
      <c r="CX63">
        <f>30894</f>
        <v>30894</v>
      </c>
      <c r="CY63" t="str">
        <f>""</f>
        <v/>
      </c>
      <c r="CZ63">
        <f>31654</f>
        <v>31654</v>
      </c>
      <c r="DA63" t="str">
        <f>""</f>
        <v/>
      </c>
      <c r="DB63">
        <f>36729</f>
        <v>36729</v>
      </c>
      <c r="DC63">
        <f>34174</f>
        <v>34174</v>
      </c>
      <c r="DD63" t="str">
        <f>""</f>
        <v/>
      </c>
      <c r="DE63" t="str">
        <f>""</f>
        <v/>
      </c>
      <c r="DF63">
        <f>29909</f>
        <v>29909</v>
      </c>
      <c r="DG63" t="str">
        <f>""</f>
        <v/>
      </c>
      <c r="DH63" t="str">
        <f>""</f>
        <v/>
      </c>
      <c r="DI63" t="str">
        <f>""</f>
        <v/>
      </c>
      <c r="DJ63" t="str">
        <f>""</f>
        <v/>
      </c>
      <c r="DK63" t="str">
        <f>""</f>
        <v/>
      </c>
      <c r="DL63" t="str">
        <f>""</f>
        <v/>
      </c>
      <c r="DM63" t="str">
        <f>""</f>
        <v/>
      </c>
      <c r="DN63" t="str">
        <f>""</f>
        <v/>
      </c>
      <c r="DO63" t="str">
        <f>""</f>
        <v/>
      </c>
      <c r="DP63" t="str">
        <f>""</f>
        <v/>
      </c>
      <c r="DQ63" t="str">
        <f>""</f>
        <v/>
      </c>
      <c r="DR63" t="str">
        <f>""</f>
        <v/>
      </c>
      <c r="DS63" t="str">
        <f>""</f>
        <v/>
      </c>
      <c r="DT63" t="str">
        <f>""</f>
        <v/>
      </c>
      <c r="DU63" t="str">
        <f>""</f>
        <v/>
      </c>
    </row>
    <row r="64" spans="1:125" x14ac:dyDescent="0.25">
      <c r="A64" t="str">
        <f>"    Jyske Bank A/S"</f>
        <v xml:space="preserve">    Jyske Bank A/S</v>
      </c>
      <c r="B64" t="str">
        <f>"JYSK DC Equity"</f>
        <v>JYSK DC Equity</v>
      </c>
      <c r="C64" t="str">
        <f t="shared" si="3"/>
        <v>BM109</v>
      </c>
      <c r="D64" t="str">
        <f t="shared" si="4"/>
        <v>BS_TRADING_SECURITIES_DERIVS</v>
      </c>
      <c r="E64" t="str">
        <f t="shared" si="5"/>
        <v>Dynamic</v>
      </c>
      <c r="F64" t="str">
        <f ca="1">IF(AND(ISNUMBER($F$269),$B$208=1),$F$269,HLOOKUP(INDIRECT(ADDRESS(2,COLUMN())),OFFSET($BN$2,0,0,ROW()-1,60),ROW()-1,FALSE))</f>
        <v/>
      </c>
      <c r="G64" t="str">
        <f ca="1">IF(AND(ISNUMBER($G$269),$B$208=1),$G$269,HLOOKUP(INDIRECT(ADDRESS(2,COLUMN())),OFFSET($BN$2,0,0,ROW()-1,60),ROW()-1,FALSE))</f>
        <v/>
      </c>
      <c r="H64" t="str">
        <f ca="1">IF(AND(ISNUMBER($H$269),$B$208=1),$H$269,HLOOKUP(INDIRECT(ADDRESS(2,COLUMN())),OFFSET($BN$2,0,0,ROW()-1,60),ROW()-1,FALSE))</f>
        <v/>
      </c>
      <c r="I64" t="str">
        <f ca="1">IF(AND(ISNUMBER($I$269),$B$208=1),$I$269,HLOOKUP(INDIRECT(ADDRESS(2,COLUMN())),OFFSET($BN$2,0,0,ROW()-1,60),ROW()-1,FALSE))</f>
        <v/>
      </c>
      <c r="J64" t="str">
        <f ca="1">IF(AND(ISNUMBER($J$269),$B$208=1),$J$269,HLOOKUP(INDIRECT(ADDRESS(2,COLUMN())),OFFSET($BN$2,0,0,ROW()-1,60),ROW()-1,FALSE))</f>
        <v/>
      </c>
      <c r="K64" t="str">
        <f ca="1">IF(AND(ISNUMBER($K$269),$B$208=1),$K$269,HLOOKUP(INDIRECT(ADDRESS(2,COLUMN())),OFFSET($BN$2,0,0,ROW()-1,60),ROW()-1,FALSE))</f>
        <v/>
      </c>
      <c r="L64" t="str">
        <f ca="1">IF(AND(ISNUMBER($L$269),$B$208=1),$L$269,HLOOKUP(INDIRECT(ADDRESS(2,COLUMN())),OFFSET($BN$2,0,0,ROW()-1,60),ROW()-1,FALSE))</f>
        <v/>
      </c>
      <c r="M64" t="str">
        <f ca="1">IF(AND(ISNUMBER($M$269),$B$208=1),$M$269,HLOOKUP(INDIRECT(ADDRESS(2,COLUMN())),OFFSET($BN$2,0,0,ROW()-1,60),ROW()-1,FALSE))</f>
        <v/>
      </c>
      <c r="N64" t="str">
        <f ca="1">IF(AND(ISNUMBER($N$269),$B$208=1),$N$269,HLOOKUP(INDIRECT(ADDRESS(2,COLUMN())),OFFSET($BN$2,0,0,ROW()-1,60),ROW()-1,FALSE))</f>
        <v/>
      </c>
      <c r="O64" t="str">
        <f ca="1">IF(AND(ISNUMBER($O$269),$B$208=1),$O$269,HLOOKUP(INDIRECT(ADDRESS(2,COLUMN())),OFFSET($BN$2,0,0,ROW()-1,60),ROW()-1,FALSE))</f>
        <v/>
      </c>
      <c r="P64" t="str">
        <f ca="1">IF(AND(ISNUMBER($P$269),$B$208=1),$P$269,HLOOKUP(INDIRECT(ADDRESS(2,COLUMN())),OFFSET($BN$2,0,0,ROW()-1,60),ROW()-1,FALSE))</f>
        <v/>
      </c>
      <c r="Q64" t="str">
        <f ca="1">IF(AND(ISNUMBER($Q$269),$B$208=1),$Q$269,HLOOKUP(INDIRECT(ADDRESS(2,COLUMN())),OFFSET($BN$2,0,0,ROW()-1,60),ROW()-1,FALSE))</f>
        <v/>
      </c>
      <c r="R64" t="str">
        <f ca="1">IF(AND(ISNUMBER($R$269),$B$208=1),$R$269,HLOOKUP(INDIRECT(ADDRESS(2,COLUMN())),OFFSET($BN$2,0,0,ROW()-1,60),ROW()-1,FALSE))</f>
        <v/>
      </c>
      <c r="S64" t="str">
        <f ca="1">IF(AND(ISNUMBER($S$269),$B$208=1),$S$269,HLOOKUP(INDIRECT(ADDRESS(2,COLUMN())),OFFSET($BN$2,0,0,ROW()-1,60),ROW()-1,FALSE))</f>
        <v/>
      </c>
      <c r="T64" t="str">
        <f ca="1">IF(AND(ISNUMBER($T$269),$B$208=1),$T$269,HLOOKUP(INDIRECT(ADDRESS(2,COLUMN())),OFFSET($BN$2,0,0,ROW()-1,60),ROW()-1,FALSE))</f>
        <v/>
      </c>
      <c r="U64" t="str">
        <f ca="1">IF(AND(ISNUMBER($U$269),$B$208=1),$U$269,HLOOKUP(INDIRECT(ADDRESS(2,COLUMN())),OFFSET($BN$2,0,0,ROW()-1,60),ROW()-1,FALSE))</f>
        <v/>
      </c>
      <c r="V64" t="str">
        <f ca="1">IF(AND(ISNUMBER($V$269),$B$208=1),$V$269,HLOOKUP(INDIRECT(ADDRESS(2,COLUMN())),OFFSET($BN$2,0,0,ROW()-1,60),ROW()-1,FALSE))</f>
        <v/>
      </c>
      <c r="W64" t="str">
        <f ca="1">IF(AND(ISNUMBER($W$269),$B$208=1),$W$269,HLOOKUP(INDIRECT(ADDRESS(2,COLUMN())),OFFSET($BN$2,0,0,ROW()-1,60),ROW()-1,FALSE))</f>
        <v/>
      </c>
      <c r="X64" t="str">
        <f ca="1">IF(AND(ISNUMBER($X$269),$B$208=1),$X$269,HLOOKUP(INDIRECT(ADDRESS(2,COLUMN())),OFFSET($BN$2,0,0,ROW()-1,60),ROW()-1,FALSE))</f>
        <v/>
      </c>
      <c r="Y64" t="str">
        <f ca="1">IF(AND(ISNUMBER($Y$269),$B$208=1),$Y$269,HLOOKUP(INDIRECT(ADDRESS(2,COLUMN())),OFFSET($BN$2,0,0,ROW()-1,60),ROW()-1,FALSE))</f>
        <v/>
      </c>
      <c r="Z64" t="str">
        <f ca="1">IF(AND(ISNUMBER($Z$269),$B$208=1),$Z$269,HLOOKUP(INDIRECT(ADDRESS(2,COLUMN())),OFFSET($BN$2,0,0,ROW()-1,60),ROW()-1,FALSE))</f>
        <v/>
      </c>
      <c r="AA64" t="str">
        <f ca="1">IF(AND(ISNUMBER($AA$269),$B$208=1),$AA$269,HLOOKUP(INDIRECT(ADDRESS(2,COLUMN())),OFFSET($BN$2,0,0,ROW()-1,60),ROW()-1,FALSE))</f>
        <v/>
      </c>
      <c r="AB64" t="str">
        <f ca="1">IF(AND(ISNUMBER($AB$269),$B$208=1),$AB$269,HLOOKUP(INDIRECT(ADDRESS(2,COLUMN())),OFFSET($BN$2,0,0,ROW()-1,60),ROW()-1,FALSE))</f>
        <v/>
      </c>
      <c r="AC64" t="str">
        <f ca="1">IF(AND(ISNUMBER($AC$269),$B$208=1),$AC$269,HLOOKUP(INDIRECT(ADDRESS(2,COLUMN())),OFFSET($BN$2,0,0,ROW()-1,60),ROW()-1,FALSE))</f>
        <v/>
      </c>
      <c r="AD64" t="str">
        <f ca="1">IF(AND(ISNUMBER($AD$269),$B$208=1),$AD$269,HLOOKUP(INDIRECT(ADDRESS(2,COLUMN())),OFFSET($BN$2,0,0,ROW()-1,60),ROW()-1,FALSE))</f>
        <v/>
      </c>
      <c r="AE64" t="str">
        <f ca="1">IF(AND(ISNUMBER($AE$269),$B$208=1),$AE$269,HLOOKUP(INDIRECT(ADDRESS(2,COLUMN())),OFFSET($BN$2,0,0,ROW()-1,60),ROW()-1,FALSE))</f>
        <v/>
      </c>
      <c r="AF64" t="str">
        <f ca="1">IF(AND(ISNUMBER($AF$269),$B$208=1),$AF$269,HLOOKUP(INDIRECT(ADDRESS(2,COLUMN())),OFFSET($BN$2,0,0,ROW()-1,60),ROW()-1,FALSE))</f>
        <v/>
      </c>
      <c r="AG64" t="str">
        <f ca="1">IF(AND(ISNUMBER($AG$269),$B$208=1),$AG$269,HLOOKUP(INDIRECT(ADDRESS(2,COLUMN())),OFFSET($BN$2,0,0,ROW()-1,60),ROW()-1,FALSE))</f>
        <v/>
      </c>
      <c r="AH64" t="str">
        <f ca="1">IF(AND(ISNUMBER($AH$269),$B$208=1),$AH$269,HLOOKUP(INDIRECT(ADDRESS(2,COLUMN())),OFFSET($BN$2,0,0,ROW()-1,60),ROW()-1,FALSE))</f>
        <v/>
      </c>
      <c r="AI64" t="str">
        <f ca="1">IF(AND(ISNUMBER($AI$269),$B$208=1),$AI$269,HLOOKUP(INDIRECT(ADDRESS(2,COLUMN())),OFFSET($BN$2,0,0,ROW()-1,60),ROW()-1,FALSE))</f>
        <v/>
      </c>
      <c r="AJ64" t="str">
        <f ca="1">IF(AND(ISNUMBER($AJ$269),$B$208=1),$AJ$269,HLOOKUP(INDIRECT(ADDRESS(2,COLUMN())),OFFSET($BN$2,0,0,ROW()-1,60),ROW()-1,FALSE))</f>
        <v/>
      </c>
      <c r="AK64" t="str">
        <f ca="1">IF(AND(ISNUMBER($AK$269),$B$208=1),$AK$269,HLOOKUP(INDIRECT(ADDRESS(2,COLUMN())),OFFSET($BN$2,0,0,ROW()-1,60),ROW()-1,FALSE))</f>
        <v/>
      </c>
      <c r="AL64" t="str">
        <f ca="1">IF(AND(ISNUMBER($AL$269),$B$208=1),$AL$269,HLOOKUP(INDIRECT(ADDRESS(2,COLUMN())),OFFSET($BN$2,0,0,ROW()-1,60),ROW()-1,FALSE))</f>
        <v/>
      </c>
      <c r="AM64" t="str">
        <f ca="1">IF(AND(ISNUMBER($AM$269),$B$208=1),$AM$269,HLOOKUP(INDIRECT(ADDRESS(2,COLUMN())),OFFSET($BN$2,0,0,ROW()-1,60),ROW()-1,FALSE))</f>
        <v/>
      </c>
      <c r="AN64" t="str">
        <f ca="1">IF(AND(ISNUMBER($AN$269),$B$208=1),$AN$269,HLOOKUP(INDIRECT(ADDRESS(2,COLUMN())),OFFSET($BN$2,0,0,ROW()-1,60),ROW()-1,FALSE))</f>
        <v/>
      </c>
      <c r="AO64" t="str">
        <f ca="1">IF(AND(ISNUMBER($AO$269),$B$208=1),$AO$269,HLOOKUP(INDIRECT(ADDRESS(2,COLUMN())),OFFSET($BN$2,0,0,ROW()-1,60),ROW()-1,FALSE))</f>
        <v/>
      </c>
      <c r="AP64" t="str">
        <f ca="1">IF(AND(ISNUMBER($AP$269),$B$208=1),$AP$269,HLOOKUP(INDIRECT(ADDRESS(2,COLUMN())),OFFSET($BN$2,0,0,ROW()-1,60),ROW()-1,FALSE))</f>
        <v/>
      </c>
      <c r="AQ64" t="str">
        <f ca="1">IF(AND(ISNUMBER($AQ$269),$B$208=1),$AQ$269,HLOOKUP(INDIRECT(ADDRESS(2,COLUMN())),OFFSET($BN$2,0,0,ROW()-1,60),ROW()-1,FALSE))</f>
        <v/>
      </c>
      <c r="AR64" t="str">
        <f ca="1">IF(AND(ISNUMBER($AR$269),$B$208=1),$AR$269,HLOOKUP(INDIRECT(ADDRESS(2,COLUMN())),OFFSET($BN$2,0,0,ROW()-1,60),ROW()-1,FALSE))</f>
        <v/>
      </c>
      <c r="AS64" t="str">
        <f ca="1">IF(AND(ISNUMBER($AS$269),$B$208=1),$AS$269,HLOOKUP(INDIRECT(ADDRESS(2,COLUMN())),OFFSET($BN$2,0,0,ROW()-1,60),ROW()-1,FALSE))</f>
        <v/>
      </c>
      <c r="AT64" t="str">
        <f ca="1">IF(AND(ISNUMBER($AT$269),$B$208=1),$AT$269,HLOOKUP(INDIRECT(ADDRESS(2,COLUMN())),OFFSET($BN$2,0,0,ROW()-1,60),ROW()-1,FALSE))</f>
        <v/>
      </c>
      <c r="AU64" t="str">
        <f ca="1">IF(AND(ISNUMBER($AU$269),$B$208=1),$AU$269,HLOOKUP(INDIRECT(ADDRESS(2,COLUMN())),OFFSET($BN$2,0,0,ROW()-1,60),ROW()-1,FALSE))</f>
        <v/>
      </c>
      <c r="AV64" t="str">
        <f ca="1">IF(AND(ISNUMBER($AV$269),$B$208=1),$AV$269,HLOOKUP(INDIRECT(ADDRESS(2,COLUMN())),OFFSET($BN$2,0,0,ROW()-1,60),ROW()-1,FALSE))</f>
        <v/>
      </c>
      <c r="AW64" t="str">
        <f ca="1">IF(AND(ISNUMBER($AW$269),$B$208=1),$AW$269,HLOOKUP(INDIRECT(ADDRESS(2,COLUMN())),OFFSET($BN$2,0,0,ROW()-1,60),ROW()-1,FALSE))</f>
        <v/>
      </c>
      <c r="AX64" t="str">
        <f ca="1">IF(AND(ISNUMBER($AX$269),$B$208=1),$AX$269,HLOOKUP(INDIRECT(ADDRESS(2,COLUMN())),OFFSET($BN$2,0,0,ROW()-1,60),ROW()-1,FALSE))</f>
        <v/>
      </c>
      <c r="AY64" t="str">
        <f ca="1">IF(AND(ISNUMBER($AY$269),$B$208=1),$AY$269,HLOOKUP(INDIRECT(ADDRESS(2,COLUMN())),OFFSET($BN$2,0,0,ROW()-1,60),ROW()-1,FALSE))</f>
        <v/>
      </c>
      <c r="AZ64" t="str">
        <f ca="1">IF(AND(ISNUMBER($AZ$269),$B$208=1),$AZ$269,HLOOKUP(INDIRECT(ADDRESS(2,COLUMN())),OFFSET($BN$2,0,0,ROW()-1,60),ROW()-1,FALSE))</f>
        <v/>
      </c>
      <c r="BA64" t="str">
        <f ca="1">IF(AND(ISNUMBER($BA$269),$B$208=1),$BA$269,HLOOKUP(INDIRECT(ADDRESS(2,COLUMN())),OFFSET($BN$2,0,0,ROW()-1,60),ROW()-1,FALSE))</f>
        <v/>
      </c>
      <c r="BB64" t="str">
        <f ca="1">IF(AND(ISNUMBER($BB$269),$B$208=1),$BB$269,HLOOKUP(INDIRECT(ADDRESS(2,COLUMN())),OFFSET($BN$2,0,0,ROW()-1,60),ROW()-1,FALSE))</f>
        <v/>
      </c>
      <c r="BC64" t="str">
        <f ca="1">IF(AND(ISNUMBER($BC$269),$B$208=1),$BC$269,HLOOKUP(INDIRECT(ADDRESS(2,COLUMN())),OFFSET($BN$2,0,0,ROW()-1,60),ROW()-1,FALSE))</f>
        <v/>
      </c>
      <c r="BD64" t="str">
        <f ca="1">IF(AND(ISNUMBER($BD$269),$B$208=1),$BD$269,HLOOKUP(INDIRECT(ADDRESS(2,COLUMN())),OFFSET($BN$2,0,0,ROW()-1,60),ROW()-1,FALSE))</f>
        <v/>
      </c>
      <c r="BE64" t="str">
        <f ca="1">IF(AND(ISNUMBER($BE$269),$B$208=1),$BE$269,HLOOKUP(INDIRECT(ADDRESS(2,COLUMN())),OFFSET($BN$2,0,0,ROW()-1,60),ROW()-1,FALSE))</f>
        <v/>
      </c>
      <c r="BF64" t="str">
        <f ca="1">IF(AND(ISNUMBER($BF$269),$B$208=1),$BF$269,HLOOKUP(INDIRECT(ADDRESS(2,COLUMN())),OFFSET($BN$2,0,0,ROW()-1,60),ROW()-1,FALSE))</f>
        <v/>
      </c>
      <c r="BG64" t="str">
        <f ca="1">IF(AND(ISNUMBER($BG$269),$B$208=1),$BG$269,HLOOKUP(INDIRECT(ADDRESS(2,COLUMN())),OFFSET($BN$2,0,0,ROW()-1,60),ROW()-1,FALSE))</f>
        <v/>
      </c>
      <c r="BH64" t="str">
        <f ca="1">IF(AND(ISNUMBER($BH$269),$B$208=1),$BH$269,HLOOKUP(INDIRECT(ADDRESS(2,COLUMN())),OFFSET($BN$2,0,0,ROW()-1,60),ROW()-1,FALSE))</f>
        <v/>
      </c>
      <c r="BI64" t="str">
        <f ca="1">IF(AND(ISNUMBER($BI$269),$B$208=1),$BI$269,HLOOKUP(INDIRECT(ADDRESS(2,COLUMN())),OFFSET($BN$2,0,0,ROW()-1,60),ROW()-1,FALSE))</f>
        <v/>
      </c>
      <c r="BJ64" t="str">
        <f ca="1">IF(AND(ISNUMBER($BJ$269),$B$208=1),$BJ$269,HLOOKUP(INDIRECT(ADDRESS(2,COLUMN())),OFFSET($BN$2,0,0,ROW()-1,60),ROW()-1,FALSE))</f>
        <v/>
      </c>
      <c r="BK64" t="str">
        <f ca="1">IF(AND(ISNUMBER($BK$269),$B$208=1),$BK$269,HLOOKUP(INDIRECT(ADDRESS(2,COLUMN())),OFFSET($BN$2,0,0,ROW()-1,60),ROW()-1,FALSE))</f>
        <v/>
      </c>
      <c r="BL64" t="str">
        <f ca="1">IF(AND(ISNUMBER($BL$269),$B$208=1),$BL$269,HLOOKUP(INDIRECT(ADDRESS(2,COLUMN())),OFFSET($BN$2,0,0,ROW()-1,60),ROW()-1,FALSE))</f>
        <v/>
      </c>
      <c r="BM64" t="str">
        <f ca="1">IF(AND(ISNUMBER($BM$269),$B$208=1),$BM$269,HLOOKUP(INDIRECT(ADDRESS(2,COLUMN())),OFFSET($BN$2,0,0,ROW()-1,60),ROW()-1,FALSE))</f>
        <v/>
      </c>
      <c r="BN64" t="str">
        <f>""</f>
        <v/>
      </c>
      <c r="BO64" t="str">
        <f>""</f>
        <v/>
      </c>
      <c r="BP64" t="str">
        <f>""</f>
        <v/>
      </c>
      <c r="BQ64" t="str">
        <f>""</f>
        <v/>
      </c>
      <c r="BR64" t="str">
        <f>""</f>
        <v/>
      </c>
      <c r="BS64" t="str">
        <f>""</f>
        <v/>
      </c>
      <c r="BT64" t="str">
        <f>""</f>
        <v/>
      </c>
      <c r="BU64" t="str">
        <f>""</f>
        <v/>
      </c>
      <c r="BV64" t="str">
        <f>""</f>
        <v/>
      </c>
      <c r="BW64" t="str">
        <f>""</f>
        <v/>
      </c>
      <c r="BX64" t="str">
        <f>""</f>
        <v/>
      </c>
      <c r="BY64" t="str">
        <f>""</f>
        <v/>
      </c>
      <c r="BZ64" t="str">
        <f>""</f>
        <v/>
      </c>
      <c r="CA64" t="str">
        <f>""</f>
        <v/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  <c r="CH64" t="str">
        <f>""</f>
        <v/>
      </c>
      <c r="CI64" t="str">
        <f>""</f>
        <v/>
      </c>
      <c r="CJ64" t="str">
        <f>""</f>
        <v/>
      </c>
      <c r="CK64" t="str">
        <f>""</f>
        <v/>
      </c>
      <c r="CL64" t="str">
        <f>""</f>
        <v/>
      </c>
      <c r="CM64" t="str">
        <f>""</f>
        <v/>
      </c>
      <c r="CN64" t="str">
        <f>""</f>
        <v/>
      </c>
      <c r="CO64" t="str">
        <f>""</f>
        <v/>
      </c>
      <c r="CP64" t="str">
        <f>""</f>
        <v/>
      </c>
      <c r="CQ64" t="str">
        <f>""</f>
        <v/>
      </c>
      <c r="CR64" t="str">
        <f>""</f>
        <v/>
      </c>
      <c r="CS64" t="str">
        <f>""</f>
        <v/>
      </c>
      <c r="CT64" t="str">
        <f>""</f>
        <v/>
      </c>
      <c r="CU64" t="str">
        <f>""</f>
        <v/>
      </c>
      <c r="CV64" t="str">
        <f>""</f>
        <v/>
      </c>
      <c r="CW64" t="str">
        <f>""</f>
        <v/>
      </c>
      <c r="CX64" t="str">
        <f>""</f>
        <v/>
      </c>
      <c r="CY64" t="str">
        <f>""</f>
        <v/>
      </c>
      <c r="CZ64" t="str">
        <f>""</f>
        <v/>
      </c>
      <c r="DA64" t="str">
        <f>""</f>
        <v/>
      </c>
      <c r="DB64" t="str">
        <f>""</f>
        <v/>
      </c>
      <c r="DC64" t="str">
        <f>""</f>
        <v/>
      </c>
      <c r="DD64" t="str">
        <f>""</f>
        <v/>
      </c>
      <c r="DE64" t="str">
        <f>""</f>
        <v/>
      </c>
      <c r="DF64" t="str">
        <f>""</f>
        <v/>
      </c>
      <c r="DG64" t="str">
        <f>""</f>
        <v/>
      </c>
      <c r="DH64" t="str">
        <f>""</f>
        <v/>
      </c>
      <c r="DI64" t="str">
        <f>""</f>
        <v/>
      </c>
      <c r="DJ64" t="str">
        <f>""</f>
        <v/>
      </c>
      <c r="DK64" t="str">
        <f>""</f>
        <v/>
      </c>
      <c r="DL64" t="str">
        <f>""</f>
        <v/>
      </c>
      <c r="DM64" t="str">
        <f>""</f>
        <v/>
      </c>
      <c r="DN64" t="str">
        <f>""</f>
        <v/>
      </c>
      <c r="DO64" t="str">
        <f>""</f>
        <v/>
      </c>
      <c r="DP64" t="str">
        <f>""</f>
        <v/>
      </c>
      <c r="DQ64" t="str">
        <f>""</f>
        <v/>
      </c>
      <c r="DR64" t="str">
        <f>""</f>
        <v/>
      </c>
      <c r="DS64" t="str">
        <f>""</f>
        <v/>
      </c>
      <c r="DT64" t="str">
        <f>""</f>
        <v/>
      </c>
      <c r="DU64" t="str">
        <f>""</f>
        <v/>
      </c>
    </row>
    <row r="65" spans="1:125" x14ac:dyDescent="0.25">
      <c r="A65" t="str">
        <f>"    KBC Group NV"</f>
        <v xml:space="preserve">    KBC Group NV</v>
      </c>
      <c r="B65" t="str">
        <f>"KBC BB Equity"</f>
        <v>KBC BB Equity</v>
      </c>
      <c r="C65" t="str">
        <f t="shared" si="3"/>
        <v>BM109</v>
      </c>
      <c r="D65" t="str">
        <f t="shared" si="4"/>
        <v>BS_TRADING_SECURITIES_DERIVS</v>
      </c>
      <c r="E65" t="str">
        <f t="shared" si="5"/>
        <v>Dynamic</v>
      </c>
      <c r="F65">
        <f ca="1">IF(AND(ISNUMBER($F$270),$B$208=1),$F$270,HLOOKUP(INDIRECT(ADDRESS(2,COLUMN())),OFFSET($BN$2,0,0,ROW()-1,60),ROW()-1,FALSE))</f>
        <v>4584</v>
      </c>
      <c r="G65">
        <f ca="1">IF(AND(ISNUMBER($G$270),$B$208=1),$G$270,HLOOKUP(INDIRECT(ADDRESS(2,COLUMN())),OFFSET($BN$2,0,0,ROW()-1,60),ROW()-1,FALSE))</f>
        <v>3657</v>
      </c>
      <c r="H65">
        <f ca="1">IF(AND(ISNUMBER($H$270),$B$208=1),$H$270,HLOOKUP(INDIRECT(ADDRESS(2,COLUMN())),OFFSET($BN$2,0,0,ROW()-1,60),ROW()-1,FALSE))</f>
        <v>4239</v>
      </c>
      <c r="I65">
        <f ca="1">IF(AND(ISNUMBER($I$270),$B$208=1),$I$270,HLOOKUP(INDIRECT(ADDRESS(2,COLUMN())),OFFSET($BN$2,0,0,ROW()-1,60),ROW()-1,FALSE))</f>
        <v>4137</v>
      </c>
      <c r="J65">
        <f ca="1">IF(AND(ISNUMBER($J$270),$B$208=1),$J$270,HLOOKUP(INDIRECT(ADDRESS(2,COLUMN())),OFFSET($BN$2,0,0,ROW()-1,60),ROW()-1,FALSE))</f>
        <v>4618</v>
      </c>
      <c r="K65">
        <f ca="1">IF(AND(ISNUMBER($K$270),$B$208=1),$K$270,HLOOKUP(INDIRECT(ADDRESS(2,COLUMN())),OFFSET($BN$2,0,0,ROW()-1,60),ROW()-1,FALSE))</f>
        <v>5607</v>
      </c>
      <c r="L65">
        <f ca="1">IF(AND(ISNUMBER($L$270),$B$208=1),$L$270,HLOOKUP(INDIRECT(ADDRESS(2,COLUMN())),OFFSET($BN$2,0,0,ROW()-1,60),ROW()-1,FALSE))</f>
        <v>5350</v>
      </c>
      <c r="M65">
        <f ca="1">IF(AND(ISNUMBER($M$270),$B$208=1),$M$270,HLOOKUP(INDIRECT(ADDRESS(2,COLUMN())),OFFSET($BN$2,0,0,ROW()-1,60),ROW()-1,FALSE))</f>
        <v>5337</v>
      </c>
      <c r="N65">
        <f ca="1">IF(AND(ISNUMBER($N$270),$B$208=1),$N$270,HLOOKUP(INDIRECT(ADDRESS(2,COLUMN())),OFFSET($BN$2,0,0,ROW()-1,60),ROW()-1,FALSE))</f>
        <v>6279</v>
      </c>
      <c r="O65">
        <f ca="1">IF(AND(ISNUMBER($O$270),$B$208=1),$O$270,HLOOKUP(INDIRECT(ADDRESS(2,COLUMN())),OFFSET($BN$2,0,0,ROW()-1,60),ROW()-1,FALSE))</f>
        <v>8521</v>
      </c>
      <c r="P65">
        <f ca="1">IF(AND(ISNUMBER($P$270),$B$208=1),$P$270,HLOOKUP(INDIRECT(ADDRESS(2,COLUMN())),OFFSET($BN$2,0,0,ROW()-1,60),ROW()-1,FALSE))</f>
        <v>7271</v>
      </c>
      <c r="Q65">
        <f ca="1">IF(AND(ISNUMBER($Q$270),$B$208=1),$Q$270,HLOOKUP(INDIRECT(ADDRESS(2,COLUMN())),OFFSET($BN$2,0,0,ROW()-1,60),ROW()-1,FALSE))</f>
        <v>5838</v>
      </c>
      <c r="R65">
        <f ca="1">IF(AND(ISNUMBER($R$270),$B$208=1),$R$270,HLOOKUP(INDIRECT(ADDRESS(2,COLUMN())),OFFSET($BN$2,0,0,ROW()-1,60),ROW()-1,FALSE))</f>
        <v>5443</v>
      </c>
      <c r="S65">
        <f ca="1">IF(AND(ISNUMBER($S$270),$B$208=1),$S$270,HLOOKUP(INDIRECT(ADDRESS(2,COLUMN())),OFFSET($BN$2,0,0,ROW()-1,60),ROW()-1,FALSE))</f>
        <v>4643</v>
      </c>
      <c r="T65">
        <f ca="1">IF(AND(ISNUMBER($T$270),$B$208=1),$T$270,HLOOKUP(INDIRECT(ADDRESS(2,COLUMN())),OFFSET($BN$2,0,0,ROW()-1,60),ROW()-1,FALSE))</f>
        <v>4594</v>
      </c>
      <c r="U65">
        <f ca="1">IF(AND(ISNUMBER($U$270),$B$208=1),$U$270,HLOOKUP(INDIRECT(ADDRESS(2,COLUMN())),OFFSET($BN$2,0,0,ROW()-1,60),ROW()-1,FALSE))</f>
        <v>5340</v>
      </c>
      <c r="V65">
        <f ca="1">IF(AND(ISNUMBER($V$270),$B$208=1),$V$270,HLOOKUP(INDIRECT(ADDRESS(2,COLUMN())),OFFSET($BN$2,0,0,ROW()-1,60),ROW()-1,FALSE))</f>
        <v>5659</v>
      </c>
      <c r="W65">
        <f ca="1">IF(AND(ISNUMBER($W$270),$B$208=1),$W$270,HLOOKUP(INDIRECT(ADDRESS(2,COLUMN())),OFFSET($BN$2,0,0,ROW()-1,60),ROW()-1,FALSE))</f>
        <v>6246</v>
      </c>
      <c r="X65">
        <f ca="1">IF(AND(ISNUMBER($X$270),$B$208=1),$X$270,HLOOKUP(INDIRECT(ADDRESS(2,COLUMN())),OFFSET($BN$2,0,0,ROW()-1,60),ROW()-1,FALSE))</f>
        <v>5836</v>
      </c>
      <c r="Y65">
        <f ca="1">IF(AND(ISNUMBER($Y$270),$B$208=1),$Y$270,HLOOKUP(INDIRECT(ADDRESS(2,COLUMN())),OFFSET($BN$2,0,0,ROW()-1,60),ROW()-1,FALSE))</f>
        <v>7740</v>
      </c>
      <c r="Z65">
        <f ca="1">IF(AND(ISNUMBER($Z$270),$B$208=1),$Z$270,HLOOKUP(INDIRECT(ADDRESS(2,COLUMN())),OFFSET($BN$2,0,0,ROW()-1,60),ROW()-1,FALSE))</f>
        <v>5163</v>
      </c>
      <c r="AA65">
        <f ca="1">IF(AND(ISNUMBER($AA$270),$B$208=1),$AA$270,HLOOKUP(INDIRECT(ADDRESS(2,COLUMN())),OFFSET($BN$2,0,0,ROW()-1,60),ROW()-1,FALSE))</f>
        <v>6551</v>
      </c>
      <c r="AB65">
        <f ca="1">IF(AND(ISNUMBER($AB$270),$B$208=1),$AB$270,HLOOKUP(INDIRECT(ADDRESS(2,COLUMN())),OFFSET($BN$2,0,0,ROW()-1,60),ROW()-1,FALSE))</f>
        <v>5270</v>
      </c>
      <c r="AC65">
        <f ca="1">IF(AND(ISNUMBER($AC$270),$B$208=1),$AC$270,HLOOKUP(INDIRECT(ADDRESS(2,COLUMN())),OFFSET($BN$2,0,0,ROW()-1,60),ROW()-1,FALSE))</f>
        <v>5395</v>
      </c>
      <c r="AD65">
        <f ca="1">IF(AND(ISNUMBER($AD$270),$B$208=1),$AD$270,HLOOKUP(INDIRECT(ADDRESS(2,COLUMN())),OFFSET($BN$2,0,0,ROW()-1,60),ROW()-1,FALSE))</f>
        <v>4942</v>
      </c>
      <c r="AE65">
        <f ca="1">IF(AND(ISNUMBER($AE$270),$B$208=1),$AE$270,HLOOKUP(INDIRECT(ADDRESS(2,COLUMN())),OFFSET($BN$2,0,0,ROW()-1,60),ROW()-1,FALSE))</f>
        <v>5205</v>
      </c>
      <c r="AF65">
        <f ca="1">IF(AND(ISNUMBER($AF$270),$B$208=1),$AF$270,HLOOKUP(INDIRECT(ADDRESS(2,COLUMN())),OFFSET($BN$2,0,0,ROW()-1,60),ROW()-1,FALSE))</f>
        <v>5758</v>
      </c>
      <c r="AG65">
        <f ca="1">IF(AND(ISNUMBER($AG$270),$B$208=1),$AG$270,HLOOKUP(INDIRECT(ADDRESS(2,COLUMN())),OFFSET($BN$2,0,0,ROW()-1,60),ROW()-1,FALSE))</f>
        <v>5168</v>
      </c>
      <c r="AH65">
        <f ca="1">IF(AND(ISNUMBER($AH$270),$B$208=1),$AH$270,HLOOKUP(INDIRECT(ADDRESS(2,COLUMN())),OFFSET($BN$2,0,0,ROW()-1,60),ROW()-1,FALSE))</f>
        <v>5765</v>
      </c>
      <c r="AI65">
        <f ca="1">IF(AND(ISNUMBER($AI$270),$B$208=1),$AI$270,HLOOKUP(INDIRECT(ADDRESS(2,COLUMN())),OFFSET($BN$2,0,0,ROW()-1,60),ROW()-1,FALSE))</f>
        <v>6087</v>
      </c>
      <c r="AJ65">
        <f ca="1">IF(AND(ISNUMBER($AJ$270),$B$208=1),$AJ$270,HLOOKUP(INDIRECT(ADDRESS(2,COLUMN())),OFFSET($BN$2,0,0,ROW()-1,60),ROW()-1,FALSE))</f>
        <v>6503</v>
      </c>
      <c r="AK65">
        <f ca="1">IF(AND(ISNUMBER($AK$270),$B$208=1),$AK$270,HLOOKUP(INDIRECT(ADDRESS(2,COLUMN())),OFFSET($BN$2,0,0,ROW()-1,60),ROW()-1,FALSE))</f>
        <v>6777</v>
      </c>
      <c r="AL65">
        <f ca="1">IF(AND(ISNUMBER($AL$270),$B$208=1),$AL$270,HLOOKUP(INDIRECT(ADDRESS(2,COLUMN())),OFFSET($BN$2,0,0,ROW()-1,60),ROW()-1,FALSE))</f>
        <v>8249</v>
      </c>
      <c r="AM65" t="str">
        <f ca="1">IF(AND(ISNUMBER($AM$270),$B$208=1),$AM$270,HLOOKUP(INDIRECT(ADDRESS(2,COLUMN())),OFFSET($BN$2,0,0,ROW()-1,60),ROW()-1,FALSE))</f>
        <v/>
      </c>
      <c r="AN65" t="str">
        <f ca="1">IF(AND(ISNUMBER($AN$270),$B$208=1),$AN$270,HLOOKUP(INDIRECT(ADDRESS(2,COLUMN())),OFFSET($BN$2,0,0,ROW()-1,60),ROW()-1,FALSE))</f>
        <v/>
      </c>
      <c r="AO65" t="str">
        <f ca="1">IF(AND(ISNUMBER($AO$270),$B$208=1),$AO$270,HLOOKUP(INDIRECT(ADDRESS(2,COLUMN())),OFFSET($BN$2,0,0,ROW()-1,60),ROW()-1,FALSE))</f>
        <v/>
      </c>
      <c r="AP65">
        <f ca="1">IF(AND(ISNUMBER($AP$270),$B$208=1),$AP$270,HLOOKUP(INDIRECT(ADDRESS(2,COLUMN())),OFFSET($BN$2,0,0,ROW()-1,60),ROW()-1,FALSE))</f>
        <v>8188</v>
      </c>
      <c r="AQ65" t="str">
        <f ca="1">IF(AND(ISNUMBER($AQ$270),$B$208=1),$AQ$270,HLOOKUP(INDIRECT(ADDRESS(2,COLUMN())),OFFSET($BN$2,0,0,ROW()-1,60),ROW()-1,FALSE))</f>
        <v/>
      </c>
      <c r="AR65" t="str">
        <f ca="1">IF(AND(ISNUMBER($AR$270),$B$208=1),$AR$270,HLOOKUP(INDIRECT(ADDRESS(2,COLUMN())),OFFSET($BN$2,0,0,ROW()-1,60),ROW()-1,FALSE))</f>
        <v/>
      </c>
      <c r="AS65" t="str">
        <f ca="1">IF(AND(ISNUMBER($AS$270),$B$208=1),$AS$270,HLOOKUP(INDIRECT(ADDRESS(2,COLUMN())),OFFSET($BN$2,0,0,ROW()-1,60),ROW()-1,FALSE))</f>
        <v/>
      </c>
      <c r="AT65">
        <f ca="1">IF(AND(ISNUMBER($AT$270),$B$208=1),$AT$270,HLOOKUP(INDIRECT(ADDRESS(2,COLUMN())),OFFSET($BN$2,0,0,ROW()-1,60),ROW()-1,FALSE))</f>
        <v>8814</v>
      </c>
      <c r="AU65" t="str">
        <f ca="1">IF(AND(ISNUMBER($AU$270),$B$208=1),$AU$270,HLOOKUP(INDIRECT(ADDRESS(2,COLUMN())),OFFSET($BN$2,0,0,ROW()-1,60),ROW()-1,FALSE))</f>
        <v/>
      </c>
      <c r="AV65">
        <f ca="1">IF(AND(ISNUMBER($AV$270),$B$208=1),$AV$270,HLOOKUP(INDIRECT(ADDRESS(2,COLUMN())),OFFSET($BN$2,0,0,ROW()-1,60),ROW()-1,FALSE))</f>
        <v>8117</v>
      </c>
      <c r="AW65" t="str">
        <f ca="1">IF(AND(ISNUMBER($AW$270),$B$208=1),$AW$270,HLOOKUP(INDIRECT(ADDRESS(2,COLUMN())),OFFSET($BN$2,0,0,ROW()-1,60),ROW()-1,FALSE))</f>
        <v/>
      </c>
      <c r="AX65">
        <f ca="1">IF(AND(ISNUMBER($AX$270),$B$208=1),$AX$270,HLOOKUP(INDIRECT(ADDRESS(2,COLUMN())),OFFSET($BN$2,0,0,ROW()-1,60),ROW()-1,FALSE))</f>
        <v>7823</v>
      </c>
      <c r="AY65">
        <f ca="1">IF(AND(ISNUMBER($AY$270),$B$208=1),$AY$270,HLOOKUP(INDIRECT(ADDRESS(2,COLUMN())),OFFSET($BN$2,0,0,ROW()-1,60),ROW()-1,FALSE))</f>
        <v>8696</v>
      </c>
      <c r="AZ65">
        <f ca="1">IF(AND(ISNUMBER($AZ$270),$B$208=1),$AZ$270,HLOOKUP(INDIRECT(ADDRESS(2,COLUMN())),OFFSET($BN$2,0,0,ROW()-1,60),ROW()-1,FALSE))</f>
        <v>9127</v>
      </c>
      <c r="BA65">
        <f ca="1">IF(AND(ISNUMBER($BA$270),$B$208=1),$BA$270,HLOOKUP(INDIRECT(ADDRESS(2,COLUMN())),OFFSET($BN$2,0,0,ROW()-1,60),ROW()-1,FALSE))</f>
        <v>11171</v>
      </c>
      <c r="BB65">
        <f ca="1">IF(AND(ISNUMBER($BB$270),$B$208=1),$BB$270,HLOOKUP(INDIRECT(ADDRESS(2,COLUMN())),OFFSET($BN$2,0,0,ROW()-1,60),ROW()-1,FALSE))</f>
        <v>12095</v>
      </c>
      <c r="BC65">
        <f ca="1">IF(AND(ISNUMBER($BC$270),$B$208=1),$BC$270,HLOOKUP(INDIRECT(ADDRESS(2,COLUMN())),OFFSET($BN$2,0,0,ROW()-1,60),ROW()-1,FALSE))</f>
        <v>14429</v>
      </c>
      <c r="BD65">
        <f ca="1">IF(AND(ISNUMBER($BD$270),$B$208=1),$BD$270,HLOOKUP(INDIRECT(ADDRESS(2,COLUMN())),OFFSET($BN$2,0,0,ROW()-1,60),ROW()-1,FALSE))</f>
        <v>14951</v>
      </c>
      <c r="BE65">
        <f ca="1">IF(AND(ISNUMBER($BE$270),$B$208=1),$BE$270,HLOOKUP(INDIRECT(ADDRESS(2,COLUMN())),OFFSET($BN$2,0,0,ROW()-1,60),ROW()-1,FALSE))</f>
        <v>14514</v>
      </c>
      <c r="BF65">
        <f ca="1">IF(AND(ISNUMBER($BF$270),$B$208=1),$BF$270,HLOOKUP(INDIRECT(ADDRESS(2,COLUMN())),OFFSET($BN$2,0,0,ROW()-1,60),ROW()-1,FALSE))</f>
        <v>16750</v>
      </c>
      <c r="BG65" t="str">
        <f ca="1">IF(AND(ISNUMBER($BG$270),$B$208=1),$BG$270,HLOOKUP(INDIRECT(ADDRESS(2,COLUMN())),OFFSET($BN$2,0,0,ROW()-1,60),ROW()-1,FALSE))</f>
        <v/>
      </c>
      <c r="BH65" t="str">
        <f ca="1">IF(AND(ISNUMBER($BH$270),$B$208=1),$BH$270,HLOOKUP(INDIRECT(ADDRESS(2,COLUMN())),OFFSET($BN$2,0,0,ROW()-1,60),ROW()-1,FALSE))</f>
        <v/>
      </c>
      <c r="BI65" t="str">
        <f ca="1">IF(AND(ISNUMBER($BI$270),$B$208=1),$BI$270,HLOOKUP(INDIRECT(ADDRESS(2,COLUMN())),OFFSET($BN$2,0,0,ROW()-1,60),ROW()-1,FALSE))</f>
        <v/>
      </c>
      <c r="BJ65">
        <f ca="1">IF(AND(ISNUMBER($BJ$270),$B$208=1),$BJ$270,HLOOKUP(INDIRECT(ADDRESS(2,COLUMN())),OFFSET($BN$2,0,0,ROW()-1,60),ROW()-1,FALSE))</f>
        <v>15758</v>
      </c>
      <c r="BK65">
        <f ca="1">IF(AND(ISNUMBER($BK$270),$B$208=1),$BK$270,HLOOKUP(INDIRECT(ADDRESS(2,COLUMN())),OFFSET($BN$2,0,0,ROW()-1,60),ROW()-1,FALSE))</f>
        <v>18985</v>
      </c>
      <c r="BL65">
        <f ca="1">IF(AND(ISNUMBER($BL$270),$B$208=1),$BL$270,HLOOKUP(INDIRECT(ADDRESS(2,COLUMN())),OFFSET($BN$2,0,0,ROW()-1,60),ROW()-1,FALSE))</f>
        <v>29066</v>
      </c>
      <c r="BM65" t="str">
        <f ca="1">IF(AND(ISNUMBER($BM$270),$B$208=1),$BM$270,HLOOKUP(INDIRECT(ADDRESS(2,COLUMN())),OFFSET($BN$2,0,0,ROW()-1,60),ROW()-1,FALSE))</f>
        <v/>
      </c>
      <c r="BN65">
        <f>4584</f>
        <v>4584</v>
      </c>
      <c r="BO65">
        <f>3657</f>
        <v>3657</v>
      </c>
      <c r="BP65">
        <f>4239</f>
        <v>4239</v>
      </c>
      <c r="BQ65">
        <f>4137</f>
        <v>4137</v>
      </c>
      <c r="BR65">
        <f>4618</f>
        <v>4618</v>
      </c>
      <c r="BS65">
        <f>5607</f>
        <v>5607</v>
      </c>
      <c r="BT65">
        <f>5350</f>
        <v>5350</v>
      </c>
      <c r="BU65">
        <f>5337</f>
        <v>5337</v>
      </c>
      <c r="BV65">
        <f>6279</f>
        <v>6279</v>
      </c>
      <c r="BW65">
        <f>8521</f>
        <v>8521</v>
      </c>
      <c r="BX65">
        <f>7271</f>
        <v>7271</v>
      </c>
      <c r="BY65">
        <f>5838</f>
        <v>5838</v>
      </c>
      <c r="BZ65">
        <f>5443</f>
        <v>5443</v>
      </c>
      <c r="CA65">
        <f>4643</f>
        <v>4643</v>
      </c>
      <c r="CB65">
        <f>4594</f>
        <v>4594</v>
      </c>
      <c r="CC65">
        <f>5340</f>
        <v>5340</v>
      </c>
      <c r="CD65">
        <f>5659</f>
        <v>5659</v>
      </c>
      <c r="CE65">
        <f>6246</f>
        <v>6246</v>
      </c>
      <c r="CF65">
        <f>5836</f>
        <v>5836</v>
      </c>
      <c r="CG65">
        <f>7740</f>
        <v>7740</v>
      </c>
      <c r="CH65">
        <f>5163</f>
        <v>5163</v>
      </c>
      <c r="CI65">
        <f>6551</f>
        <v>6551</v>
      </c>
      <c r="CJ65">
        <f>5270</f>
        <v>5270</v>
      </c>
      <c r="CK65">
        <f>5395</f>
        <v>5395</v>
      </c>
      <c r="CL65">
        <f>4942</f>
        <v>4942</v>
      </c>
      <c r="CM65">
        <f>5205</f>
        <v>5205</v>
      </c>
      <c r="CN65">
        <f>5758</f>
        <v>5758</v>
      </c>
      <c r="CO65">
        <f>5168</f>
        <v>5168</v>
      </c>
      <c r="CP65">
        <f>5765</f>
        <v>5765</v>
      </c>
      <c r="CQ65">
        <f>6087</f>
        <v>6087</v>
      </c>
      <c r="CR65">
        <f>6503</f>
        <v>6503</v>
      </c>
      <c r="CS65">
        <f>6777</f>
        <v>6777</v>
      </c>
      <c r="CT65">
        <f>8249</f>
        <v>8249</v>
      </c>
      <c r="CU65" t="str">
        <f>""</f>
        <v/>
      </c>
      <c r="CV65" t="str">
        <f>""</f>
        <v/>
      </c>
      <c r="CW65" t="str">
        <f>""</f>
        <v/>
      </c>
      <c r="CX65">
        <f>8188</f>
        <v>8188</v>
      </c>
      <c r="CY65" t="str">
        <f>""</f>
        <v/>
      </c>
      <c r="CZ65" t="str">
        <f>""</f>
        <v/>
      </c>
      <c r="DA65" t="str">
        <f>""</f>
        <v/>
      </c>
      <c r="DB65">
        <f>8814</f>
        <v>8814</v>
      </c>
      <c r="DC65" t="str">
        <f>""</f>
        <v/>
      </c>
      <c r="DD65">
        <f>8117</f>
        <v>8117</v>
      </c>
      <c r="DE65" t="str">
        <f>""</f>
        <v/>
      </c>
      <c r="DF65">
        <f>7823</f>
        <v>7823</v>
      </c>
      <c r="DG65">
        <f>8696</f>
        <v>8696</v>
      </c>
      <c r="DH65">
        <f>9127</f>
        <v>9127</v>
      </c>
      <c r="DI65">
        <f>11171</f>
        <v>11171</v>
      </c>
      <c r="DJ65">
        <f>12095</f>
        <v>12095</v>
      </c>
      <c r="DK65">
        <f>14429</f>
        <v>14429</v>
      </c>
      <c r="DL65">
        <f>14951</f>
        <v>14951</v>
      </c>
      <c r="DM65">
        <f>14514</f>
        <v>14514</v>
      </c>
      <c r="DN65">
        <f>16750</f>
        <v>16750</v>
      </c>
      <c r="DO65" t="str">
        <f>""</f>
        <v/>
      </c>
      <c r="DP65" t="str">
        <f>""</f>
        <v/>
      </c>
      <c r="DQ65" t="str">
        <f>""</f>
        <v/>
      </c>
      <c r="DR65">
        <f>15758</f>
        <v>15758</v>
      </c>
      <c r="DS65">
        <f>18985</f>
        <v>18985</v>
      </c>
      <c r="DT65">
        <f>29066</f>
        <v>29066</v>
      </c>
      <c r="DU65" t="str">
        <f>""</f>
        <v/>
      </c>
    </row>
    <row r="66" spans="1:125" x14ac:dyDescent="0.25">
      <c r="A66" t="str">
        <f>"    Komercni Banka AS"</f>
        <v xml:space="preserve">    Komercni Banka AS</v>
      </c>
      <c r="B66" t="str">
        <f>"KOMB CP Equity"</f>
        <v>KOMB CP Equity</v>
      </c>
      <c r="C66" t="str">
        <f t="shared" si="3"/>
        <v>BM109</v>
      </c>
      <c r="D66" t="str">
        <f t="shared" si="4"/>
        <v>BS_TRADING_SECURITIES_DERIVS</v>
      </c>
      <c r="E66" t="str">
        <f t="shared" si="5"/>
        <v>Dynamic</v>
      </c>
      <c r="F66" t="str">
        <f ca="1">IF(AND(ISNUMBER($F$271),$B$208=1),$F$271,HLOOKUP(INDIRECT(ADDRESS(2,COLUMN())),OFFSET($BN$2,0,0,ROW()-1,60),ROW()-1,FALSE))</f>
        <v/>
      </c>
      <c r="G66" t="str">
        <f ca="1">IF(AND(ISNUMBER($G$271),$B$208=1),$G$271,HLOOKUP(INDIRECT(ADDRESS(2,COLUMN())),OFFSET($BN$2,0,0,ROW()-1,60),ROW()-1,FALSE))</f>
        <v/>
      </c>
      <c r="H66" t="str">
        <f ca="1">IF(AND(ISNUMBER($H$271),$B$208=1),$H$271,HLOOKUP(INDIRECT(ADDRESS(2,COLUMN())),OFFSET($BN$2,0,0,ROW()-1,60),ROW()-1,FALSE))</f>
        <v/>
      </c>
      <c r="I66" t="str">
        <f ca="1">IF(AND(ISNUMBER($I$271),$B$208=1),$I$271,HLOOKUP(INDIRECT(ADDRESS(2,COLUMN())),OFFSET($BN$2,0,0,ROW()-1,60),ROW()-1,FALSE))</f>
        <v/>
      </c>
      <c r="J66" t="str">
        <f ca="1">IF(AND(ISNUMBER($J$271),$B$208=1),$J$271,HLOOKUP(INDIRECT(ADDRESS(2,COLUMN())),OFFSET($BN$2,0,0,ROW()-1,60),ROW()-1,FALSE))</f>
        <v/>
      </c>
      <c r="K66" t="str">
        <f ca="1">IF(AND(ISNUMBER($K$271),$B$208=1),$K$271,HLOOKUP(INDIRECT(ADDRESS(2,COLUMN())),OFFSET($BN$2,0,0,ROW()-1,60),ROW()-1,FALSE))</f>
        <v/>
      </c>
      <c r="L66" t="str">
        <f ca="1">IF(AND(ISNUMBER($L$271),$B$208=1),$L$271,HLOOKUP(INDIRECT(ADDRESS(2,COLUMN())),OFFSET($BN$2,0,0,ROW()-1,60),ROW()-1,FALSE))</f>
        <v/>
      </c>
      <c r="M66" t="str">
        <f ca="1">IF(AND(ISNUMBER($M$271),$B$208=1),$M$271,HLOOKUP(INDIRECT(ADDRESS(2,COLUMN())),OFFSET($BN$2,0,0,ROW()-1,60),ROW()-1,FALSE))</f>
        <v/>
      </c>
      <c r="N66" t="str">
        <f ca="1">IF(AND(ISNUMBER($N$271),$B$208=1),$N$271,HLOOKUP(INDIRECT(ADDRESS(2,COLUMN())),OFFSET($BN$2,0,0,ROW()-1,60),ROW()-1,FALSE))</f>
        <v/>
      </c>
      <c r="O66" t="str">
        <f ca="1">IF(AND(ISNUMBER($O$271),$B$208=1),$O$271,HLOOKUP(INDIRECT(ADDRESS(2,COLUMN())),OFFSET($BN$2,0,0,ROW()-1,60),ROW()-1,FALSE))</f>
        <v/>
      </c>
      <c r="P66" t="str">
        <f ca="1">IF(AND(ISNUMBER($P$271),$B$208=1),$P$271,HLOOKUP(INDIRECT(ADDRESS(2,COLUMN())),OFFSET($BN$2,0,0,ROW()-1,60),ROW()-1,FALSE))</f>
        <v/>
      </c>
      <c r="Q66" t="str">
        <f ca="1">IF(AND(ISNUMBER($Q$271),$B$208=1),$Q$271,HLOOKUP(INDIRECT(ADDRESS(2,COLUMN())),OFFSET($BN$2,0,0,ROW()-1,60),ROW()-1,FALSE))</f>
        <v/>
      </c>
      <c r="R66" t="str">
        <f ca="1">IF(AND(ISNUMBER($R$271),$B$208=1),$R$271,HLOOKUP(INDIRECT(ADDRESS(2,COLUMN())),OFFSET($BN$2,0,0,ROW()-1,60),ROW()-1,FALSE))</f>
        <v/>
      </c>
      <c r="S66" t="str">
        <f ca="1">IF(AND(ISNUMBER($S$271),$B$208=1),$S$271,HLOOKUP(INDIRECT(ADDRESS(2,COLUMN())),OFFSET($BN$2,0,0,ROW()-1,60),ROW()-1,FALSE))</f>
        <v/>
      </c>
      <c r="T66" t="str">
        <f ca="1">IF(AND(ISNUMBER($T$271),$B$208=1),$T$271,HLOOKUP(INDIRECT(ADDRESS(2,COLUMN())),OFFSET($BN$2,0,0,ROW()-1,60),ROW()-1,FALSE))</f>
        <v/>
      </c>
      <c r="U66" t="str">
        <f ca="1">IF(AND(ISNUMBER($U$271),$B$208=1),$U$271,HLOOKUP(INDIRECT(ADDRESS(2,COLUMN())),OFFSET($BN$2,0,0,ROW()-1,60),ROW()-1,FALSE))</f>
        <v/>
      </c>
      <c r="V66" t="str">
        <f ca="1">IF(AND(ISNUMBER($V$271),$B$208=1),$V$271,HLOOKUP(INDIRECT(ADDRESS(2,COLUMN())),OFFSET($BN$2,0,0,ROW()-1,60),ROW()-1,FALSE))</f>
        <v/>
      </c>
      <c r="W66" t="str">
        <f ca="1">IF(AND(ISNUMBER($W$271),$B$208=1),$W$271,HLOOKUP(INDIRECT(ADDRESS(2,COLUMN())),OFFSET($BN$2,0,0,ROW()-1,60),ROW()-1,FALSE))</f>
        <v/>
      </c>
      <c r="X66" t="str">
        <f ca="1">IF(AND(ISNUMBER($X$271),$B$208=1),$X$271,HLOOKUP(INDIRECT(ADDRESS(2,COLUMN())),OFFSET($BN$2,0,0,ROW()-1,60),ROW()-1,FALSE))</f>
        <v/>
      </c>
      <c r="Y66" t="str">
        <f ca="1">IF(AND(ISNUMBER($Y$271),$B$208=1),$Y$271,HLOOKUP(INDIRECT(ADDRESS(2,COLUMN())),OFFSET($BN$2,0,0,ROW()-1,60),ROW()-1,FALSE))</f>
        <v/>
      </c>
      <c r="Z66" t="str">
        <f ca="1">IF(AND(ISNUMBER($Z$271),$B$208=1),$Z$271,HLOOKUP(INDIRECT(ADDRESS(2,COLUMN())),OFFSET($BN$2,0,0,ROW()-1,60),ROW()-1,FALSE))</f>
        <v/>
      </c>
      <c r="AA66" t="str">
        <f ca="1">IF(AND(ISNUMBER($AA$271),$B$208=1),$AA$271,HLOOKUP(INDIRECT(ADDRESS(2,COLUMN())),OFFSET($BN$2,0,0,ROW()-1,60),ROW()-1,FALSE))</f>
        <v/>
      </c>
      <c r="AB66" t="str">
        <f ca="1">IF(AND(ISNUMBER($AB$271),$B$208=1),$AB$271,HLOOKUP(INDIRECT(ADDRESS(2,COLUMN())),OFFSET($BN$2,0,0,ROW()-1,60),ROW()-1,FALSE))</f>
        <v/>
      </c>
      <c r="AC66" t="str">
        <f ca="1">IF(AND(ISNUMBER($AC$271),$B$208=1),$AC$271,HLOOKUP(INDIRECT(ADDRESS(2,COLUMN())),OFFSET($BN$2,0,0,ROW()-1,60),ROW()-1,FALSE))</f>
        <v/>
      </c>
      <c r="AD66" t="str">
        <f ca="1">IF(AND(ISNUMBER($AD$271),$B$208=1),$AD$271,HLOOKUP(INDIRECT(ADDRESS(2,COLUMN())),OFFSET($BN$2,0,0,ROW()-1,60),ROW()-1,FALSE))</f>
        <v/>
      </c>
      <c r="AE66" t="str">
        <f ca="1">IF(AND(ISNUMBER($AE$271),$B$208=1),$AE$271,HLOOKUP(INDIRECT(ADDRESS(2,COLUMN())),OFFSET($BN$2,0,0,ROW()-1,60),ROW()-1,FALSE))</f>
        <v/>
      </c>
      <c r="AF66" t="str">
        <f ca="1">IF(AND(ISNUMBER($AF$271),$B$208=1),$AF$271,HLOOKUP(INDIRECT(ADDRESS(2,COLUMN())),OFFSET($BN$2,0,0,ROW()-1,60),ROW()-1,FALSE))</f>
        <v/>
      </c>
      <c r="AG66" t="str">
        <f ca="1">IF(AND(ISNUMBER($AG$271),$B$208=1),$AG$271,HLOOKUP(INDIRECT(ADDRESS(2,COLUMN())),OFFSET($BN$2,0,0,ROW()-1,60),ROW()-1,FALSE))</f>
        <v/>
      </c>
      <c r="AH66" t="str">
        <f ca="1">IF(AND(ISNUMBER($AH$271),$B$208=1),$AH$271,HLOOKUP(INDIRECT(ADDRESS(2,COLUMN())),OFFSET($BN$2,0,0,ROW()-1,60),ROW()-1,FALSE))</f>
        <v/>
      </c>
      <c r="AI66" t="str">
        <f ca="1">IF(AND(ISNUMBER($AI$271),$B$208=1),$AI$271,HLOOKUP(INDIRECT(ADDRESS(2,COLUMN())),OFFSET($BN$2,0,0,ROW()-1,60),ROW()-1,FALSE))</f>
        <v/>
      </c>
      <c r="AJ66" t="str">
        <f ca="1">IF(AND(ISNUMBER($AJ$271),$B$208=1),$AJ$271,HLOOKUP(INDIRECT(ADDRESS(2,COLUMN())),OFFSET($BN$2,0,0,ROW()-1,60),ROW()-1,FALSE))</f>
        <v/>
      </c>
      <c r="AK66" t="str">
        <f ca="1">IF(AND(ISNUMBER($AK$271),$B$208=1),$AK$271,HLOOKUP(INDIRECT(ADDRESS(2,COLUMN())),OFFSET($BN$2,0,0,ROW()-1,60),ROW()-1,FALSE))</f>
        <v/>
      </c>
      <c r="AL66" t="str">
        <f ca="1">IF(AND(ISNUMBER($AL$271),$B$208=1),$AL$271,HLOOKUP(INDIRECT(ADDRESS(2,COLUMN())),OFFSET($BN$2,0,0,ROW()-1,60),ROW()-1,FALSE))</f>
        <v/>
      </c>
      <c r="AM66" t="str">
        <f ca="1">IF(AND(ISNUMBER($AM$271),$B$208=1),$AM$271,HLOOKUP(INDIRECT(ADDRESS(2,COLUMN())),OFFSET($BN$2,0,0,ROW()-1,60),ROW()-1,FALSE))</f>
        <v/>
      </c>
      <c r="AN66" t="str">
        <f ca="1">IF(AND(ISNUMBER($AN$271),$B$208=1),$AN$271,HLOOKUP(INDIRECT(ADDRESS(2,COLUMN())),OFFSET($BN$2,0,0,ROW()-1,60),ROW()-1,FALSE))</f>
        <v/>
      </c>
      <c r="AO66" t="str">
        <f ca="1">IF(AND(ISNUMBER($AO$271),$B$208=1),$AO$271,HLOOKUP(INDIRECT(ADDRESS(2,COLUMN())),OFFSET($BN$2,0,0,ROW()-1,60),ROW()-1,FALSE))</f>
        <v/>
      </c>
      <c r="AP66">
        <f ca="1">IF(AND(ISNUMBER($AP$271),$B$208=1),$AP$271,HLOOKUP(INDIRECT(ADDRESS(2,COLUMN())),OFFSET($BN$2,0,0,ROW()-1,60),ROW()-1,FALSE))</f>
        <v>685.62527360000001</v>
      </c>
      <c r="AQ66" t="str">
        <f ca="1">IF(AND(ISNUMBER($AQ$271),$B$208=1),$AQ$271,HLOOKUP(INDIRECT(ADDRESS(2,COLUMN())),OFFSET($BN$2,0,0,ROW()-1,60),ROW()-1,FALSE))</f>
        <v/>
      </c>
      <c r="AR66" t="str">
        <f ca="1">IF(AND(ISNUMBER($AR$271),$B$208=1),$AR$271,HLOOKUP(INDIRECT(ADDRESS(2,COLUMN())),OFFSET($BN$2,0,0,ROW()-1,60),ROW()-1,FALSE))</f>
        <v/>
      </c>
      <c r="AS66" t="str">
        <f ca="1">IF(AND(ISNUMBER($AS$271),$B$208=1),$AS$271,HLOOKUP(INDIRECT(ADDRESS(2,COLUMN())),OFFSET($BN$2,0,0,ROW()-1,60),ROW()-1,FALSE))</f>
        <v/>
      </c>
      <c r="AT66" t="str">
        <f ca="1">IF(AND(ISNUMBER($AT$271),$B$208=1),$AT$271,HLOOKUP(INDIRECT(ADDRESS(2,COLUMN())),OFFSET($BN$2,0,0,ROW()-1,60),ROW()-1,FALSE))</f>
        <v/>
      </c>
      <c r="AU66" t="str">
        <f ca="1">IF(AND(ISNUMBER($AU$271),$B$208=1),$AU$271,HLOOKUP(INDIRECT(ADDRESS(2,COLUMN())),OFFSET($BN$2,0,0,ROW()-1,60),ROW()-1,FALSE))</f>
        <v/>
      </c>
      <c r="AV66" t="str">
        <f ca="1">IF(AND(ISNUMBER($AV$271),$B$208=1),$AV$271,HLOOKUP(INDIRECT(ADDRESS(2,COLUMN())),OFFSET($BN$2,0,0,ROW()-1,60),ROW()-1,FALSE))</f>
        <v/>
      </c>
      <c r="AW66" t="str">
        <f ca="1">IF(AND(ISNUMBER($AW$271),$B$208=1),$AW$271,HLOOKUP(INDIRECT(ADDRESS(2,COLUMN())),OFFSET($BN$2,0,0,ROW()-1,60),ROW()-1,FALSE))</f>
        <v/>
      </c>
      <c r="AX66" t="str">
        <f ca="1">IF(AND(ISNUMBER($AX$271),$B$208=1),$AX$271,HLOOKUP(INDIRECT(ADDRESS(2,COLUMN())),OFFSET($BN$2,0,0,ROW()-1,60),ROW()-1,FALSE))</f>
        <v/>
      </c>
      <c r="AY66" t="str">
        <f ca="1">IF(AND(ISNUMBER($AY$271),$B$208=1),$AY$271,HLOOKUP(INDIRECT(ADDRESS(2,COLUMN())),OFFSET($BN$2,0,0,ROW()-1,60),ROW()-1,FALSE))</f>
        <v/>
      </c>
      <c r="AZ66" t="str">
        <f ca="1">IF(AND(ISNUMBER($AZ$271),$B$208=1),$AZ$271,HLOOKUP(INDIRECT(ADDRESS(2,COLUMN())),OFFSET($BN$2,0,0,ROW()-1,60),ROW()-1,FALSE))</f>
        <v/>
      </c>
      <c r="BA66" t="str">
        <f ca="1">IF(AND(ISNUMBER($BA$271),$B$208=1),$BA$271,HLOOKUP(INDIRECT(ADDRESS(2,COLUMN())),OFFSET($BN$2,0,0,ROW()-1,60),ROW()-1,FALSE))</f>
        <v/>
      </c>
      <c r="BB66" t="str">
        <f ca="1">IF(AND(ISNUMBER($BB$271),$B$208=1),$BB$271,HLOOKUP(INDIRECT(ADDRESS(2,COLUMN())),OFFSET($BN$2,0,0,ROW()-1,60),ROW()-1,FALSE))</f>
        <v/>
      </c>
      <c r="BC66" t="str">
        <f ca="1">IF(AND(ISNUMBER($BC$271),$B$208=1),$BC$271,HLOOKUP(INDIRECT(ADDRESS(2,COLUMN())),OFFSET($BN$2,0,0,ROW()-1,60),ROW()-1,FALSE))</f>
        <v/>
      </c>
      <c r="BD66" t="str">
        <f ca="1">IF(AND(ISNUMBER($BD$271),$B$208=1),$BD$271,HLOOKUP(INDIRECT(ADDRESS(2,COLUMN())),OFFSET($BN$2,0,0,ROW()-1,60),ROW()-1,FALSE))</f>
        <v/>
      </c>
      <c r="BE66" t="str">
        <f ca="1">IF(AND(ISNUMBER($BE$271),$B$208=1),$BE$271,HLOOKUP(INDIRECT(ADDRESS(2,COLUMN())),OFFSET($BN$2,0,0,ROW()-1,60),ROW()-1,FALSE))</f>
        <v/>
      </c>
      <c r="BF66" t="str">
        <f ca="1">IF(AND(ISNUMBER($BF$271),$B$208=1),$BF$271,HLOOKUP(INDIRECT(ADDRESS(2,COLUMN())),OFFSET($BN$2,0,0,ROW()-1,60),ROW()-1,FALSE))</f>
        <v/>
      </c>
      <c r="BG66" t="str">
        <f ca="1">IF(AND(ISNUMBER($BG$271),$B$208=1),$BG$271,HLOOKUP(INDIRECT(ADDRESS(2,COLUMN())),OFFSET($BN$2,0,0,ROW()-1,60),ROW()-1,FALSE))</f>
        <v/>
      </c>
      <c r="BH66" t="str">
        <f ca="1">IF(AND(ISNUMBER($BH$271),$B$208=1),$BH$271,HLOOKUP(INDIRECT(ADDRESS(2,COLUMN())),OFFSET($BN$2,0,0,ROW()-1,60),ROW()-1,FALSE))</f>
        <v/>
      </c>
      <c r="BI66" t="str">
        <f ca="1">IF(AND(ISNUMBER($BI$271),$B$208=1),$BI$271,HLOOKUP(INDIRECT(ADDRESS(2,COLUMN())),OFFSET($BN$2,0,0,ROW()-1,60),ROW()-1,FALSE))</f>
        <v/>
      </c>
      <c r="BJ66" t="str">
        <f ca="1">IF(AND(ISNUMBER($BJ$271),$B$208=1),$BJ$271,HLOOKUP(INDIRECT(ADDRESS(2,COLUMN())),OFFSET($BN$2,0,0,ROW()-1,60),ROW()-1,FALSE))</f>
        <v/>
      </c>
      <c r="BK66" t="str">
        <f ca="1">IF(AND(ISNUMBER($BK$271),$B$208=1),$BK$271,HLOOKUP(INDIRECT(ADDRESS(2,COLUMN())),OFFSET($BN$2,0,0,ROW()-1,60),ROW()-1,FALSE))</f>
        <v/>
      </c>
      <c r="BL66" t="str">
        <f ca="1">IF(AND(ISNUMBER($BL$271),$B$208=1),$BL$271,HLOOKUP(INDIRECT(ADDRESS(2,COLUMN())),OFFSET($BN$2,0,0,ROW()-1,60),ROW()-1,FALSE))</f>
        <v/>
      </c>
      <c r="BM66" t="str">
        <f ca="1">IF(AND(ISNUMBER($BM$271),$B$208=1),$BM$271,HLOOKUP(INDIRECT(ADDRESS(2,COLUMN())),OFFSET($BN$2,0,0,ROW()-1,60),ROW()-1,FALSE))</f>
        <v/>
      </c>
      <c r="BN66" t="str">
        <f>""</f>
        <v/>
      </c>
      <c r="BO66" t="str">
        <f>""</f>
        <v/>
      </c>
      <c r="BP66" t="str">
        <f>""</f>
        <v/>
      </c>
      <c r="BQ66" t="str">
        <f>""</f>
        <v/>
      </c>
      <c r="BR66" t="str">
        <f>""</f>
        <v/>
      </c>
      <c r="BS66" t="str">
        <f>""</f>
        <v/>
      </c>
      <c r="BT66" t="str">
        <f>""</f>
        <v/>
      </c>
      <c r="BU66" t="str">
        <f>""</f>
        <v/>
      </c>
      <c r="BV66" t="str">
        <f>""</f>
        <v/>
      </c>
      <c r="BW66" t="str">
        <f>""</f>
        <v/>
      </c>
      <c r="BX66" t="str">
        <f>""</f>
        <v/>
      </c>
      <c r="BY66" t="str">
        <f>""</f>
        <v/>
      </c>
      <c r="BZ66" t="str">
        <f>""</f>
        <v/>
      </c>
      <c r="CA66" t="str">
        <f>""</f>
        <v/>
      </c>
      <c r="CB66" t="str">
        <f>""</f>
        <v/>
      </c>
      <c r="CC66" t="str">
        <f>""</f>
        <v/>
      </c>
      <c r="CD66" t="str">
        <f>""</f>
        <v/>
      </c>
      <c r="CE66" t="str">
        <f>""</f>
        <v/>
      </c>
      <c r="CF66" t="str">
        <f>""</f>
        <v/>
      </c>
      <c r="CG66" t="str">
        <f>""</f>
        <v/>
      </c>
      <c r="CH66" t="str">
        <f>""</f>
        <v/>
      </c>
      <c r="CI66" t="str">
        <f>""</f>
        <v/>
      </c>
      <c r="CJ66" t="str">
        <f>""</f>
        <v/>
      </c>
      <c r="CK66" t="str">
        <f>""</f>
        <v/>
      </c>
      <c r="CL66" t="str">
        <f>""</f>
        <v/>
      </c>
      <c r="CM66" t="str">
        <f>""</f>
        <v/>
      </c>
      <c r="CN66" t="str">
        <f>""</f>
        <v/>
      </c>
      <c r="CO66" t="str">
        <f>""</f>
        <v/>
      </c>
      <c r="CP66" t="str">
        <f>""</f>
        <v/>
      </c>
      <c r="CQ66" t="str">
        <f>""</f>
        <v/>
      </c>
      <c r="CR66" t="str">
        <f>""</f>
        <v/>
      </c>
      <c r="CS66" t="str">
        <f>""</f>
        <v/>
      </c>
      <c r="CT66" t="str">
        <f>""</f>
        <v/>
      </c>
      <c r="CU66" t="str">
        <f>""</f>
        <v/>
      </c>
      <c r="CV66" t="str">
        <f>""</f>
        <v/>
      </c>
      <c r="CW66" t="str">
        <f>""</f>
        <v/>
      </c>
      <c r="CX66">
        <f>685.6252736</f>
        <v>685.62527360000001</v>
      </c>
      <c r="CY66" t="str">
        <f>""</f>
        <v/>
      </c>
      <c r="CZ66" t="str">
        <f>""</f>
        <v/>
      </c>
      <c r="DA66" t="str">
        <f>""</f>
        <v/>
      </c>
      <c r="DB66" t="str">
        <f>""</f>
        <v/>
      </c>
      <c r="DC66" t="str">
        <f>""</f>
        <v/>
      </c>
      <c r="DD66" t="str">
        <f>""</f>
        <v/>
      </c>
      <c r="DE66" t="str">
        <f>""</f>
        <v/>
      </c>
      <c r="DF66" t="str">
        <f>""</f>
        <v/>
      </c>
      <c r="DG66" t="str">
        <f>""</f>
        <v/>
      </c>
      <c r="DH66" t="str">
        <f>""</f>
        <v/>
      </c>
      <c r="DI66" t="str">
        <f>""</f>
        <v/>
      </c>
      <c r="DJ66" t="str">
        <f>""</f>
        <v/>
      </c>
      <c r="DK66" t="str">
        <f>""</f>
        <v/>
      </c>
      <c r="DL66" t="str">
        <f>""</f>
        <v/>
      </c>
      <c r="DM66" t="str">
        <f>""</f>
        <v/>
      </c>
      <c r="DN66" t="str">
        <f>""</f>
        <v/>
      </c>
      <c r="DO66" t="str">
        <f>""</f>
        <v/>
      </c>
      <c r="DP66" t="str">
        <f>""</f>
        <v/>
      </c>
      <c r="DQ66" t="str">
        <f>""</f>
        <v/>
      </c>
      <c r="DR66" t="str">
        <f>""</f>
        <v/>
      </c>
      <c r="DS66" t="str">
        <f>""</f>
        <v/>
      </c>
      <c r="DT66" t="str">
        <f>""</f>
        <v/>
      </c>
      <c r="DU66" t="str">
        <f>""</f>
        <v/>
      </c>
    </row>
    <row r="67" spans="1:125" x14ac:dyDescent="0.25">
      <c r="A67" t="str">
        <f>"    Lloyds Banking Group PLC"</f>
        <v xml:space="preserve">    Lloyds Banking Group PLC</v>
      </c>
      <c r="B67" t="str">
        <f>"LLOY LN Equity"</f>
        <v>LLOY LN Equity</v>
      </c>
      <c r="C67" t="str">
        <f t="shared" si="3"/>
        <v>BM109</v>
      </c>
      <c r="D67" t="str">
        <f t="shared" si="4"/>
        <v>BS_TRADING_SECURITIES_DERIVS</v>
      </c>
      <c r="E67" t="str">
        <f t="shared" si="5"/>
        <v>Dynamic</v>
      </c>
      <c r="F67" t="str">
        <f ca="1">IF(AND(ISNUMBER($F$272),$B$208=1),$F$272,HLOOKUP(INDIRECT(ADDRESS(2,COLUMN())),OFFSET($BN$2,0,0,ROW()-1,60),ROW()-1,FALSE))</f>
        <v/>
      </c>
      <c r="G67" t="str">
        <f ca="1">IF(AND(ISNUMBER($G$272),$B$208=1),$G$272,HLOOKUP(INDIRECT(ADDRESS(2,COLUMN())),OFFSET($BN$2,0,0,ROW()-1,60),ROW()-1,FALSE))</f>
        <v/>
      </c>
      <c r="H67">
        <f ca="1">IF(AND(ISNUMBER($H$272),$B$208=1),$H$272,HLOOKUP(INDIRECT(ADDRESS(2,COLUMN())),OFFSET($BN$2,0,0,ROW()-1,60),ROW()-1,FALSE))</f>
        <v>22365.3449</v>
      </c>
      <c r="I67" t="str">
        <f ca="1">IF(AND(ISNUMBER($I$272),$B$208=1),$I$272,HLOOKUP(INDIRECT(ADDRESS(2,COLUMN())),OFFSET($BN$2,0,0,ROW()-1,60),ROW()-1,FALSE))</f>
        <v/>
      </c>
      <c r="J67" t="str">
        <f ca="1">IF(AND(ISNUMBER($J$272),$B$208=1),$J$272,HLOOKUP(INDIRECT(ADDRESS(2,COLUMN())),OFFSET($BN$2,0,0,ROW()-1,60),ROW()-1,FALSE))</f>
        <v/>
      </c>
      <c r="K67" t="str">
        <f ca="1">IF(AND(ISNUMBER($K$272),$B$208=1),$K$272,HLOOKUP(INDIRECT(ADDRESS(2,COLUMN())),OFFSET($BN$2,0,0,ROW()-1,60),ROW()-1,FALSE))</f>
        <v/>
      </c>
      <c r="L67">
        <f ca="1">IF(AND(ISNUMBER($L$272),$B$208=1),$L$272,HLOOKUP(INDIRECT(ADDRESS(2,COLUMN())),OFFSET($BN$2,0,0,ROW()-1,60),ROW()-1,FALSE))</f>
        <v>27530.757280000002</v>
      </c>
      <c r="M67" t="str">
        <f ca="1">IF(AND(ISNUMBER($M$272),$B$208=1),$M$272,HLOOKUP(INDIRECT(ADDRESS(2,COLUMN())),OFFSET($BN$2,0,0,ROW()-1,60),ROW()-1,FALSE))</f>
        <v/>
      </c>
      <c r="N67" t="str">
        <f ca="1">IF(AND(ISNUMBER($N$272),$B$208=1),$N$272,HLOOKUP(INDIRECT(ADDRESS(2,COLUMN())),OFFSET($BN$2,0,0,ROW()-1,60),ROW()-1,FALSE))</f>
        <v/>
      </c>
      <c r="O67" t="str">
        <f ca="1">IF(AND(ISNUMBER($O$272),$B$208=1),$O$272,HLOOKUP(INDIRECT(ADDRESS(2,COLUMN())),OFFSET($BN$2,0,0,ROW()-1,60),ROW()-1,FALSE))</f>
        <v/>
      </c>
      <c r="P67">
        <f ca="1">IF(AND(ISNUMBER($P$272),$B$208=1),$P$272,HLOOKUP(INDIRECT(ADDRESS(2,COLUMN())),OFFSET($BN$2,0,0,ROW()-1,60),ROW()-1,FALSE))</f>
        <v>34310.030429999999</v>
      </c>
      <c r="Q67" t="str">
        <f ca="1">IF(AND(ISNUMBER($Q$272),$B$208=1),$Q$272,HLOOKUP(INDIRECT(ADDRESS(2,COLUMN())),OFFSET($BN$2,0,0,ROW()-1,60),ROW()-1,FALSE))</f>
        <v/>
      </c>
      <c r="R67">
        <f ca="1">IF(AND(ISNUMBER($R$272),$B$208=1),$R$272,HLOOKUP(INDIRECT(ADDRESS(2,COLUMN())),OFFSET($BN$2,0,0,ROW()-1,60),ROW()-1,FALSE))</f>
        <v>26110.686369999999</v>
      </c>
      <c r="S67" t="str">
        <f ca="1">IF(AND(ISNUMBER($S$272),$B$208=1),$S$272,HLOOKUP(INDIRECT(ADDRESS(2,COLUMN())),OFFSET($BN$2,0,0,ROW()-1,60),ROW()-1,FALSE))</f>
        <v/>
      </c>
      <c r="T67">
        <f ca="1">IF(AND(ISNUMBER($T$272),$B$208=1),$T$272,HLOOKUP(INDIRECT(ADDRESS(2,COLUMN())),OFFSET($BN$2,0,0,ROW()-1,60),ROW()-1,FALSE))</f>
        <v>25635.226600000002</v>
      </c>
      <c r="U67" t="str">
        <f ca="1">IF(AND(ISNUMBER($U$272),$B$208=1),$U$272,HLOOKUP(INDIRECT(ADDRESS(2,COLUMN())),OFFSET($BN$2,0,0,ROW()-1,60),ROW()-1,FALSE))</f>
        <v/>
      </c>
      <c r="V67">
        <f ca="1">IF(AND(ISNUMBER($V$272),$B$208=1),$V$272,HLOOKUP(INDIRECT(ADDRESS(2,COLUMN())),OFFSET($BN$2,0,0,ROW()-1,60),ROW()-1,FALSE))</f>
        <v>32156.061099999999</v>
      </c>
      <c r="W67" t="str">
        <f ca="1">IF(AND(ISNUMBER($W$272),$B$208=1),$W$272,HLOOKUP(INDIRECT(ADDRESS(2,COLUMN())),OFFSET($BN$2,0,0,ROW()-1,60),ROW()-1,FALSE))</f>
        <v/>
      </c>
      <c r="X67">
        <f ca="1">IF(AND(ISNUMBER($X$272),$B$208=1),$X$272,HLOOKUP(INDIRECT(ADDRESS(2,COLUMN())),OFFSET($BN$2,0,0,ROW()-1,60),ROW()-1,FALSE))</f>
        <v>34582.585700000003</v>
      </c>
      <c r="Y67" t="str">
        <f ca="1">IF(AND(ISNUMBER($Y$272),$B$208=1),$Y$272,HLOOKUP(INDIRECT(ADDRESS(2,COLUMN())),OFFSET($BN$2,0,0,ROW()-1,60),ROW()-1,FALSE))</f>
        <v/>
      </c>
      <c r="Z67">
        <f ca="1">IF(AND(ISNUMBER($Z$272),$B$208=1),$Z$272,HLOOKUP(INDIRECT(ADDRESS(2,COLUMN())),OFFSET($BN$2,0,0,ROW()-1,60),ROW()-1,FALSE))</f>
        <v>29685.54448</v>
      </c>
      <c r="AA67" t="str">
        <f ca="1">IF(AND(ISNUMBER($AA$272),$B$208=1),$AA$272,HLOOKUP(INDIRECT(ADDRESS(2,COLUMN())),OFFSET($BN$2,0,0,ROW()-1,60),ROW()-1,FALSE))</f>
        <v/>
      </c>
      <c r="AB67">
        <f ca="1">IF(AND(ISNUMBER($AB$272),$B$208=1),$AB$272,HLOOKUP(INDIRECT(ADDRESS(2,COLUMN())),OFFSET($BN$2,0,0,ROW()-1,60),ROW()-1,FALSE))</f>
        <v>27494.4709</v>
      </c>
      <c r="AC67" t="str">
        <f ca="1">IF(AND(ISNUMBER($AC$272),$B$208=1),$AC$272,HLOOKUP(INDIRECT(ADDRESS(2,COLUMN())),OFFSET($BN$2,0,0,ROW()-1,60),ROW()-1,FALSE))</f>
        <v/>
      </c>
      <c r="AD67">
        <f ca="1">IF(AND(ISNUMBER($AD$272),$B$208=1),$AD$272,HLOOKUP(INDIRECT(ADDRESS(2,COLUMN())),OFFSET($BN$2,0,0,ROW()-1,60),ROW()-1,FALSE))</f>
        <v>24521.469789999999</v>
      </c>
      <c r="AE67" t="str">
        <f ca="1">IF(AND(ISNUMBER($AE$272),$B$208=1),$AE$272,HLOOKUP(INDIRECT(ADDRESS(2,COLUMN())),OFFSET($BN$2,0,0,ROW()-1,60),ROW()-1,FALSE))</f>
        <v/>
      </c>
      <c r="AF67">
        <f ca="1">IF(AND(ISNUMBER($AF$272),$B$208=1),$AF$272,HLOOKUP(INDIRECT(ADDRESS(2,COLUMN())),OFFSET($BN$2,0,0,ROW()-1,60),ROW()-1,FALSE))</f>
        <v>28022.984840000001</v>
      </c>
      <c r="AG67" t="str">
        <f ca="1">IF(AND(ISNUMBER($AG$272),$B$208=1),$AG$272,HLOOKUP(INDIRECT(ADDRESS(2,COLUMN())),OFFSET($BN$2,0,0,ROW()-1,60),ROW()-1,FALSE))</f>
        <v/>
      </c>
      <c r="AH67">
        <f ca="1">IF(AND(ISNUMBER($AH$272),$B$208=1),$AH$272,HLOOKUP(INDIRECT(ADDRESS(2,COLUMN())),OFFSET($BN$2,0,0,ROW()-1,60),ROW()-1,FALSE))</f>
        <v>26945.630679999998</v>
      </c>
      <c r="AI67" t="str">
        <f ca="1">IF(AND(ISNUMBER($AI$272),$B$208=1),$AI$272,HLOOKUP(INDIRECT(ADDRESS(2,COLUMN())),OFFSET($BN$2,0,0,ROW()-1,60),ROW()-1,FALSE))</f>
        <v/>
      </c>
      <c r="AJ67">
        <f ca="1">IF(AND(ISNUMBER($AJ$272),$B$208=1),$AJ$272,HLOOKUP(INDIRECT(ADDRESS(2,COLUMN())),OFFSET($BN$2,0,0,ROW()-1,60),ROW()-1,FALSE))</f>
        <v>31709.0658</v>
      </c>
      <c r="AK67" t="str">
        <f ca="1">IF(AND(ISNUMBER($AK$272),$B$208=1),$AK$272,HLOOKUP(INDIRECT(ADDRESS(2,COLUMN())),OFFSET($BN$2,0,0,ROW()-1,60),ROW()-1,FALSE))</f>
        <v/>
      </c>
      <c r="AL67" t="str">
        <f ca="1">IF(AND(ISNUMBER($AL$272),$B$208=1),$AL$272,HLOOKUP(INDIRECT(ADDRESS(2,COLUMN())),OFFSET($BN$2,0,0,ROW()-1,60),ROW()-1,FALSE))</f>
        <v/>
      </c>
      <c r="AM67" t="str">
        <f ca="1">IF(AND(ISNUMBER($AM$272),$B$208=1),$AM$272,HLOOKUP(INDIRECT(ADDRESS(2,COLUMN())),OFFSET($BN$2,0,0,ROW()-1,60),ROW()-1,FALSE))</f>
        <v/>
      </c>
      <c r="AN67" t="str">
        <f ca="1">IF(AND(ISNUMBER($AN$272),$B$208=1),$AN$272,HLOOKUP(INDIRECT(ADDRESS(2,COLUMN())),OFFSET($BN$2,0,0,ROW()-1,60),ROW()-1,FALSE))</f>
        <v/>
      </c>
      <c r="AO67" t="str">
        <f ca="1">IF(AND(ISNUMBER($AO$272),$B$208=1),$AO$272,HLOOKUP(INDIRECT(ADDRESS(2,COLUMN())),OFFSET($BN$2,0,0,ROW()-1,60),ROW()-1,FALSE))</f>
        <v/>
      </c>
      <c r="AP67">
        <f ca="1">IF(AND(ISNUMBER($AP$272),$B$208=1),$AP$272,HLOOKUP(INDIRECT(ADDRESS(2,COLUMN())),OFFSET($BN$2,0,0,ROW()-1,60),ROW()-1,FALSE))</f>
        <v>36314.30646</v>
      </c>
      <c r="AQ67" t="str">
        <f ca="1">IF(AND(ISNUMBER($AQ$272),$B$208=1),$AQ$272,HLOOKUP(INDIRECT(ADDRESS(2,COLUMN())),OFFSET($BN$2,0,0,ROW()-1,60),ROW()-1,FALSE))</f>
        <v/>
      </c>
      <c r="AR67" t="str">
        <f ca="1">IF(AND(ISNUMBER($AR$272),$B$208=1),$AR$272,HLOOKUP(INDIRECT(ADDRESS(2,COLUMN())),OFFSET($BN$2,0,0,ROW()-1,60),ROW()-1,FALSE))</f>
        <v/>
      </c>
      <c r="AS67" t="str">
        <f ca="1">IF(AND(ISNUMBER($AS$272),$B$208=1),$AS$272,HLOOKUP(INDIRECT(ADDRESS(2,COLUMN())),OFFSET($BN$2,0,0,ROW()-1,60),ROW()-1,FALSE))</f>
        <v/>
      </c>
      <c r="AT67">
        <f ca="1">IF(AND(ISNUMBER($AT$272),$B$208=1),$AT$272,HLOOKUP(INDIRECT(ADDRESS(2,COLUMN())),OFFSET($BN$2,0,0,ROW()-1,60),ROW()-1,FALSE))</f>
        <v>41070.743390000003</v>
      </c>
      <c r="AU67" t="str">
        <f ca="1">IF(AND(ISNUMBER($AU$272),$B$208=1),$AU$272,HLOOKUP(INDIRECT(ADDRESS(2,COLUMN())),OFFSET($BN$2,0,0,ROW()-1,60),ROW()-1,FALSE))</f>
        <v/>
      </c>
      <c r="AV67" t="str">
        <f ca="1">IF(AND(ISNUMBER($AV$272),$B$208=1),$AV$272,HLOOKUP(INDIRECT(ADDRESS(2,COLUMN())),OFFSET($BN$2,0,0,ROW()-1,60),ROW()-1,FALSE))</f>
        <v/>
      </c>
      <c r="AW67" t="str">
        <f ca="1">IF(AND(ISNUMBER($AW$272),$B$208=1),$AW$272,HLOOKUP(INDIRECT(ADDRESS(2,COLUMN())),OFFSET($BN$2,0,0,ROW()-1,60),ROW()-1,FALSE))</f>
        <v/>
      </c>
      <c r="AX67" t="str">
        <f ca="1">IF(AND(ISNUMBER($AX$272),$B$208=1),$AX$272,HLOOKUP(INDIRECT(ADDRESS(2,COLUMN())),OFFSET($BN$2,0,0,ROW()-1,60),ROW()-1,FALSE))</f>
        <v/>
      </c>
      <c r="AY67" t="str">
        <f ca="1">IF(AND(ISNUMBER($AY$272),$B$208=1),$AY$272,HLOOKUP(INDIRECT(ADDRESS(2,COLUMN())),OFFSET($BN$2,0,0,ROW()-1,60),ROW()-1,FALSE))</f>
        <v/>
      </c>
      <c r="AZ67" t="str">
        <f ca="1">IF(AND(ISNUMBER($AZ$272),$B$208=1),$AZ$272,HLOOKUP(INDIRECT(ADDRESS(2,COLUMN())),OFFSET($BN$2,0,0,ROW()-1,60),ROW()-1,FALSE))</f>
        <v/>
      </c>
      <c r="BA67" t="str">
        <f ca="1">IF(AND(ISNUMBER($BA$272),$B$208=1),$BA$272,HLOOKUP(INDIRECT(ADDRESS(2,COLUMN())),OFFSET($BN$2,0,0,ROW()-1,60),ROW()-1,FALSE))</f>
        <v/>
      </c>
      <c r="BB67" t="str">
        <f ca="1">IF(AND(ISNUMBER($BB$272),$B$208=1),$BB$272,HLOOKUP(INDIRECT(ADDRESS(2,COLUMN())),OFFSET($BN$2,0,0,ROW()-1,60),ROW()-1,FALSE))</f>
        <v/>
      </c>
      <c r="BC67" t="str">
        <f ca="1">IF(AND(ISNUMBER($BC$272),$B$208=1),$BC$272,HLOOKUP(INDIRECT(ADDRESS(2,COLUMN())),OFFSET($BN$2,0,0,ROW()-1,60),ROW()-1,FALSE))</f>
        <v/>
      </c>
      <c r="BD67">
        <f ca="1">IF(AND(ISNUMBER($BD$272),$B$208=1),$BD$272,HLOOKUP(INDIRECT(ADDRESS(2,COLUMN())),OFFSET($BN$2,0,0,ROW()-1,60),ROW()-1,FALSE))</f>
        <v>55869.371749999998</v>
      </c>
      <c r="BE67" t="str">
        <f ca="1">IF(AND(ISNUMBER($BE$272),$B$208=1),$BE$272,HLOOKUP(INDIRECT(ADDRESS(2,COLUMN())),OFFSET($BN$2,0,0,ROW()-1,60),ROW()-1,FALSE))</f>
        <v/>
      </c>
      <c r="BF67">
        <f ca="1">IF(AND(ISNUMBER($BF$272),$B$208=1),$BF$272,HLOOKUP(INDIRECT(ADDRESS(2,COLUMN())),OFFSET($BN$2,0,0,ROW()-1,60),ROW()-1,FALSE))</f>
        <v>63619.210420000003</v>
      </c>
      <c r="BG67" t="str">
        <f ca="1">IF(AND(ISNUMBER($BG$272),$B$208=1),$BG$272,HLOOKUP(INDIRECT(ADDRESS(2,COLUMN())),OFFSET($BN$2,0,0,ROW()-1,60),ROW()-1,FALSE))</f>
        <v/>
      </c>
      <c r="BH67">
        <f ca="1">IF(AND(ISNUMBER($BH$272),$B$208=1),$BH$272,HLOOKUP(INDIRECT(ADDRESS(2,COLUMN())),OFFSET($BN$2,0,0,ROW()-1,60),ROW()-1,FALSE))</f>
        <v>50112.208960000004</v>
      </c>
      <c r="BI67" t="str">
        <f ca="1">IF(AND(ISNUMBER($BI$272),$B$208=1),$BI$272,HLOOKUP(INDIRECT(ADDRESS(2,COLUMN())),OFFSET($BN$2,0,0,ROW()-1,60),ROW()-1,FALSE))</f>
        <v/>
      </c>
      <c r="BJ67">
        <f ca="1">IF(AND(ISNUMBER($BJ$272),$B$208=1),$BJ$272,HLOOKUP(INDIRECT(ADDRESS(2,COLUMN())),OFFSET($BN$2,0,0,ROW()-1,60),ROW()-1,FALSE))</f>
        <v>50590.847000000002</v>
      </c>
      <c r="BK67" t="str">
        <f ca="1">IF(AND(ISNUMBER($BK$272),$B$208=1),$BK$272,HLOOKUP(INDIRECT(ADDRESS(2,COLUMN())),OFFSET($BN$2,0,0,ROW()-1,60),ROW()-1,FALSE))</f>
        <v/>
      </c>
      <c r="BL67">
        <f ca="1">IF(AND(ISNUMBER($BL$272),$B$208=1),$BL$272,HLOOKUP(INDIRECT(ADDRESS(2,COLUMN())),OFFSET($BN$2,0,0,ROW()-1,60),ROW()-1,FALSE))</f>
        <v>64525.11447</v>
      </c>
      <c r="BM67" t="str">
        <f ca="1">IF(AND(ISNUMBER($BM$272),$B$208=1),$BM$272,HLOOKUP(INDIRECT(ADDRESS(2,COLUMN())),OFFSET($BN$2,0,0,ROW()-1,60),ROW()-1,FALSE))</f>
        <v/>
      </c>
      <c r="BN67" t="str">
        <f>""</f>
        <v/>
      </c>
      <c r="BO67" t="str">
        <f>""</f>
        <v/>
      </c>
      <c r="BP67">
        <f>22365.3449</f>
        <v>22365.3449</v>
      </c>
      <c r="BQ67" t="str">
        <f>""</f>
        <v/>
      </c>
      <c r="BR67" t="str">
        <f>""</f>
        <v/>
      </c>
      <c r="BS67" t="str">
        <f>""</f>
        <v/>
      </c>
      <c r="BT67">
        <f>27530.75728</f>
        <v>27530.757280000002</v>
      </c>
      <c r="BU67" t="str">
        <f>""</f>
        <v/>
      </c>
      <c r="BV67" t="str">
        <f>""</f>
        <v/>
      </c>
      <c r="BW67" t="str">
        <f>""</f>
        <v/>
      </c>
      <c r="BX67">
        <f>34310.03043</f>
        <v>34310.030429999999</v>
      </c>
      <c r="BY67" t="str">
        <f>""</f>
        <v/>
      </c>
      <c r="BZ67">
        <f>26110.68637</f>
        <v>26110.686369999999</v>
      </c>
      <c r="CA67" t="str">
        <f>""</f>
        <v/>
      </c>
      <c r="CB67">
        <f>25635.2266</f>
        <v>25635.226600000002</v>
      </c>
      <c r="CC67" t="str">
        <f>""</f>
        <v/>
      </c>
      <c r="CD67">
        <f>32156.0611</f>
        <v>32156.061099999999</v>
      </c>
      <c r="CE67" t="str">
        <f>""</f>
        <v/>
      </c>
      <c r="CF67">
        <f>34582.5857</f>
        <v>34582.585700000003</v>
      </c>
      <c r="CG67" t="str">
        <f>""</f>
        <v/>
      </c>
      <c r="CH67">
        <f>29685.54448</f>
        <v>29685.54448</v>
      </c>
      <c r="CI67" t="str">
        <f>""</f>
        <v/>
      </c>
      <c r="CJ67">
        <f>27494.4709</f>
        <v>27494.4709</v>
      </c>
      <c r="CK67" t="str">
        <f>""</f>
        <v/>
      </c>
      <c r="CL67">
        <f>24521.46979</f>
        <v>24521.469789999999</v>
      </c>
      <c r="CM67" t="str">
        <f>""</f>
        <v/>
      </c>
      <c r="CN67">
        <f>28022.98484</f>
        <v>28022.984840000001</v>
      </c>
      <c r="CO67" t="str">
        <f>""</f>
        <v/>
      </c>
      <c r="CP67">
        <f>26945.63068</f>
        <v>26945.630679999998</v>
      </c>
      <c r="CQ67" t="str">
        <f>""</f>
        <v/>
      </c>
      <c r="CR67">
        <f>31709.0658</f>
        <v>31709.0658</v>
      </c>
      <c r="CS67" t="str">
        <f>""</f>
        <v/>
      </c>
      <c r="CT67" t="str">
        <f>""</f>
        <v/>
      </c>
      <c r="CU67" t="str">
        <f>""</f>
        <v/>
      </c>
      <c r="CV67" t="str">
        <f>""</f>
        <v/>
      </c>
      <c r="CW67" t="str">
        <f>""</f>
        <v/>
      </c>
      <c r="CX67">
        <f>36314.30646</f>
        <v>36314.30646</v>
      </c>
      <c r="CY67" t="str">
        <f>""</f>
        <v/>
      </c>
      <c r="CZ67" t="str">
        <f>""</f>
        <v/>
      </c>
      <c r="DA67" t="str">
        <f>""</f>
        <v/>
      </c>
      <c r="DB67">
        <f>41070.74339</f>
        <v>41070.743390000003</v>
      </c>
      <c r="DC67" t="str">
        <f>""</f>
        <v/>
      </c>
      <c r="DD67" t="str">
        <f>""</f>
        <v/>
      </c>
      <c r="DE67" t="str">
        <f>""</f>
        <v/>
      </c>
      <c r="DF67" t="str">
        <f>""</f>
        <v/>
      </c>
      <c r="DG67" t="str">
        <f>""</f>
        <v/>
      </c>
      <c r="DH67" t="str">
        <f>""</f>
        <v/>
      </c>
      <c r="DI67" t="str">
        <f>""</f>
        <v/>
      </c>
      <c r="DJ67" t="str">
        <f>""</f>
        <v/>
      </c>
      <c r="DK67" t="str">
        <f>""</f>
        <v/>
      </c>
      <c r="DL67">
        <f>55869.37175</f>
        <v>55869.371749999998</v>
      </c>
      <c r="DM67" t="str">
        <f>""</f>
        <v/>
      </c>
      <c r="DN67">
        <f>63619.21042</f>
        <v>63619.210420000003</v>
      </c>
      <c r="DO67" t="str">
        <f>""</f>
        <v/>
      </c>
      <c r="DP67">
        <f>50112.20896</f>
        <v>50112.208960000004</v>
      </c>
      <c r="DQ67" t="str">
        <f>""</f>
        <v/>
      </c>
      <c r="DR67">
        <f>50590.847</f>
        <v>50590.847000000002</v>
      </c>
      <c r="DS67" t="str">
        <f>""</f>
        <v/>
      </c>
      <c r="DT67">
        <f>64525.11447</f>
        <v>64525.11447</v>
      </c>
      <c r="DU67" t="str">
        <f>""</f>
        <v/>
      </c>
    </row>
    <row r="68" spans="1:125" x14ac:dyDescent="0.25">
      <c r="A68" t="str">
        <f>"    Mediobanca Banca di Credito Finanziario SpA"</f>
        <v xml:space="preserve">    Mediobanca Banca di Credito Finanziario SpA</v>
      </c>
      <c r="B68" t="str">
        <f>"MB IM Equity"</f>
        <v>MB IM Equity</v>
      </c>
      <c r="C68" t="str">
        <f t="shared" si="3"/>
        <v>BM109</v>
      </c>
      <c r="D68" t="str">
        <f t="shared" si="4"/>
        <v>BS_TRADING_SECURITIES_DERIVS</v>
      </c>
      <c r="E68" t="str">
        <f t="shared" si="5"/>
        <v>Dynamic</v>
      </c>
      <c r="F68" t="str">
        <f ca="1">IF(AND(ISNUMBER($F$273),$B$208=1),$F$273,HLOOKUP(INDIRECT(ADDRESS(2,COLUMN())),OFFSET($BN$2,0,0,ROW()-1,60),ROW()-1,FALSE))</f>
        <v/>
      </c>
      <c r="G68" t="str">
        <f ca="1">IF(AND(ISNUMBER($G$273),$B$208=1),$G$273,HLOOKUP(INDIRECT(ADDRESS(2,COLUMN())),OFFSET($BN$2,0,0,ROW()-1,60),ROW()-1,FALSE))</f>
        <v/>
      </c>
      <c r="H68">
        <f ca="1">IF(AND(ISNUMBER($H$273),$B$208=1),$H$273,HLOOKUP(INDIRECT(ADDRESS(2,COLUMN())),OFFSET($BN$2,0,0,ROW()-1,60),ROW()-1,FALSE))</f>
        <v>2814.3249999999998</v>
      </c>
      <c r="I68" t="str">
        <f ca="1">IF(AND(ISNUMBER($I$273),$B$208=1),$I$273,HLOOKUP(INDIRECT(ADDRESS(2,COLUMN())),OFFSET($BN$2,0,0,ROW()-1,60),ROW()-1,FALSE))</f>
        <v/>
      </c>
      <c r="J68">
        <f ca="1">IF(AND(ISNUMBER($J$273),$B$208=1),$J$273,HLOOKUP(INDIRECT(ADDRESS(2,COLUMN())),OFFSET($BN$2,0,0,ROW()-1,60),ROW()-1,FALSE))</f>
        <v>2468.1080000000002</v>
      </c>
      <c r="K68" t="str">
        <f ca="1">IF(AND(ISNUMBER($K$273),$B$208=1),$K$273,HLOOKUP(INDIRECT(ADDRESS(2,COLUMN())),OFFSET($BN$2,0,0,ROW()-1,60),ROW()-1,FALSE))</f>
        <v/>
      </c>
      <c r="L68">
        <f ca="1">IF(AND(ISNUMBER($L$273),$B$208=1),$L$273,HLOOKUP(INDIRECT(ADDRESS(2,COLUMN())),OFFSET($BN$2,0,0,ROW()-1,60),ROW()-1,FALSE))</f>
        <v>2876.4389999999999</v>
      </c>
      <c r="M68" t="str">
        <f ca="1">IF(AND(ISNUMBER($M$273),$B$208=1),$M$273,HLOOKUP(INDIRECT(ADDRESS(2,COLUMN())),OFFSET($BN$2,0,0,ROW()-1,60),ROW()-1,FALSE))</f>
        <v/>
      </c>
      <c r="N68">
        <f ca="1">IF(AND(ISNUMBER($N$273),$B$208=1),$N$273,HLOOKUP(INDIRECT(ADDRESS(2,COLUMN())),OFFSET($BN$2,0,0,ROW()-1,60),ROW()-1,FALSE))</f>
        <v>3083.4769999999999</v>
      </c>
      <c r="O68" t="str">
        <f ca="1">IF(AND(ISNUMBER($O$273),$B$208=1),$O$273,HLOOKUP(INDIRECT(ADDRESS(2,COLUMN())),OFFSET($BN$2,0,0,ROW()-1,60),ROW()-1,FALSE))</f>
        <v/>
      </c>
      <c r="P68">
        <f ca="1">IF(AND(ISNUMBER($P$273),$B$208=1),$P$273,HLOOKUP(INDIRECT(ADDRESS(2,COLUMN())),OFFSET($BN$2,0,0,ROW()-1,60),ROW()-1,FALSE))</f>
        <v>3320.6039999999998</v>
      </c>
      <c r="Q68" t="str">
        <f ca="1">IF(AND(ISNUMBER($Q$273),$B$208=1),$Q$273,HLOOKUP(INDIRECT(ADDRESS(2,COLUMN())),OFFSET($BN$2,0,0,ROW()-1,60),ROW()-1,FALSE))</f>
        <v/>
      </c>
      <c r="R68">
        <f ca="1">IF(AND(ISNUMBER($R$273),$B$208=1),$R$273,HLOOKUP(INDIRECT(ADDRESS(2,COLUMN())),OFFSET($BN$2,0,0,ROW()-1,60),ROW()-1,FALSE))</f>
        <v>3908.384</v>
      </c>
      <c r="S68" t="str">
        <f ca="1">IF(AND(ISNUMBER($S$273),$B$208=1),$S$273,HLOOKUP(INDIRECT(ADDRESS(2,COLUMN())),OFFSET($BN$2,0,0,ROW()-1,60),ROW()-1,FALSE))</f>
        <v/>
      </c>
      <c r="T68">
        <f ca="1">IF(AND(ISNUMBER($T$273),$B$208=1),$T$273,HLOOKUP(INDIRECT(ADDRESS(2,COLUMN())),OFFSET($BN$2,0,0,ROW()-1,60),ROW()-1,FALSE))</f>
        <v>4004.2820000000002</v>
      </c>
      <c r="U68" t="str">
        <f ca="1">IF(AND(ISNUMBER($U$273),$B$208=1),$U$273,HLOOKUP(INDIRECT(ADDRESS(2,COLUMN())),OFFSET($BN$2,0,0,ROW()-1,60),ROW()-1,FALSE))</f>
        <v/>
      </c>
      <c r="V68">
        <f ca="1">IF(AND(ISNUMBER($V$273),$B$208=1),$V$273,HLOOKUP(INDIRECT(ADDRESS(2,COLUMN())),OFFSET($BN$2,0,0,ROW()-1,60),ROW()-1,FALSE))</f>
        <v>3811.0430000000001</v>
      </c>
      <c r="W68" t="str">
        <f ca="1">IF(AND(ISNUMBER($W$273),$B$208=1),$W$273,HLOOKUP(INDIRECT(ADDRESS(2,COLUMN())),OFFSET($BN$2,0,0,ROW()-1,60),ROW()-1,FALSE))</f>
        <v/>
      </c>
      <c r="X68">
        <f ca="1">IF(AND(ISNUMBER($X$273),$B$208=1),$X$273,HLOOKUP(INDIRECT(ADDRESS(2,COLUMN())),OFFSET($BN$2,0,0,ROW()-1,60),ROW()-1,FALSE))</f>
        <v>3279.8989999999999</v>
      </c>
      <c r="Y68" t="str">
        <f ca="1">IF(AND(ISNUMBER($Y$273),$B$208=1),$Y$273,HLOOKUP(INDIRECT(ADDRESS(2,COLUMN())),OFFSET($BN$2,0,0,ROW()-1,60),ROW()-1,FALSE))</f>
        <v/>
      </c>
      <c r="Z68">
        <f ca="1">IF(AND(ISNUMBER($Z$273),$B$208=1),$Z$273,HLOOKUP(INDIRECT(ADDRESS(2,COLUMN())),OFFSET($BN$2,0,0,ROW()-1,60),ROW()-1,FALSE))</f>
        <v>3194.6909999999998</v>
      </c>
      <c r="AA68" t="str">
        <f ca="1">IF(AND(ISNUMBER($AA$273),$B$208=1),$AA$273,HLOOKUP(INDIRECT(ADDRESS(2,COLUMN())),OFFSET($BN$2,0,0,ROW()-1,60),ROW()-1,FALSE))</f>
        <v/>
      </c>
      <c r="AB68">
        <f ca="1">IF(AND(ISNUMBER($AB$273),$B$208=1),$AB$273,HLOOKUP(INDIRECT(ADDRESS(2,COLUMN())),OFFSET($BN$2,0,0,ROW()-1,60),ROW()-1,FALSE))</f>
        <v>2774.6019999999999</v>
      </c>
      <c r="AC68" t="str">
        <f ca="1">IF(AND(ISNUMBER($AC$273),$B$208=1),$AC$273,HLOOKUP(INDIRECT(ADDRESS(2,COLUMN())),OFFSET($BN$2,0,0,ROW()-1,60),ROW()-1,FALSE))</f>
        <v/>
      </c>
      <c r="AD68">
        <f ca="1">IF(AND(ISNUMBER($AD$273),$B$208=1),$AD$273,HLOOKUP(INDIRECT(ADDRESS(2,COLUMN())),OFFSET($BN$2,0,0,ROW()-1,60),ROW()-1,FALSE))</f>
        <v>3346.2069999999999</v>
      </c>
      <c r="AE68" t="str">
        <f ca="1">IF(AND(ISNUMBER($AE$273),$B$208=1),$AE$273,HLOOKUP(INDIRECT(ADDRESS(2,COLUMN())),OFFSET($BN$2,0,0,ROW()-1,60),ROW()-1,FALSE))</f>
        <v/>
      </c>
      <c r="AF68">
        <f ca="1">IF(AND(ISNUMBER($AF$273),$B$208=1),$AF$273,HLOOKUP(INDIRECT(ADDRESS(2,COLUMN())),OFFSET($BN$2,0,0,ROW()-1,60),ROW()-1,FALSE))</f>
        <v>3563.2930000000001</v>
      </c>
      <c r="AG68" t="str">
        <f ca="1">IF(AND(ISNUMBER($AG$273),$B$208=1),$AG$273,HLOOKUP(INDIRECT(ADDRESS(2,COLUMN())),OFFSET($BN$2,0,0,ROW()-1,60),ROW()-1,FALSE))</f>
        <v/>
      </c>
      <c r="AH68">
        <f ca="1">IF(AND(ISNUMBER($AH$273),$B$208=1),$AH$273,HLOOKUP(INDIRECT(ADDRESS(2,COLUMN())),OFFSET($BN$2,0,0,ROW()-1,60),ROW()-1,FALSE))</f>
        <v>3563.7260000000001</v>
      </c>
      <c r="AI68" t="str">
        <f ca="1">IF(AND(ISNUMBER($AI$273),$B$208=1),$AI$273,HLOOKUP(INDIRECT(ADDRESS(2,COLUMN())),OFFSET($BN$2,0,0,ROW()-1,60),ROW()-1,FALSE))</f>
        <v/>
      </c>
      <c r="AJ68">
        <f ca="1">IF(AND(ISNUMBER($AJ$273),$B$208=1),$AJ$273,HLOOKUP(INDIRECT(ADDRESS(2,COLUMN())),OFFSET($BN$2,0,0,ROW()-1,60),ROW()-1,FALSE))</f>
        <v>3249.3690000000001</v>
      </c>
      <c r="AK68" t="str">
        <f ca="1">IF(AND(ISNUMBER($AK$273),$B$208=1),$AK$273,HLOOKUP(INDIRECT(ADDRESS(2,COLUMN())),OFFSET($BN$2,0,0,ROW()-1,60),ROW()-1,FALSE))</f>
        <v/>
      </c>
      <c r="AL68">
        <f ca="1">IF(AND(ISNUMBER($AL$273),$B$208=1),$AL$273,HLOOKUP(INDIRECT(ADDRESS(2,COLUMN())),OFFSET($BN$2,0,0,ROW()-1,60),ROW()-1,FALSE))</f>
        <v>4328.7870000000003</v>
      </c>
      <c r="AM68" t="str">
        <f ca="1">IF(AND(ISNUMBER($AM$273),$B$208=1),$AM$273,HLOOKUP(INDIRECT(ADDRESS(2,COLUMN())),OFFSET($BN$2,0,0,ROW()-1,60),ROW()-1,FALSE))</f>
        <v/>
      </c>
      <c r="AN68">
        <f ca="1">IF(AND(ISNUMBER($AN$273),$B$208=1),$AN$273,HLOOKUP(INDIRECT(ADDRESS(2,COLUMN())),OFFSET($BN$2,0,0,ROW()-1,60),ROW()-1,FALSE))</f>
        <v>5144.1279999999997</v>
      </c>
      <c r="AO68" t="str">
        <f ca="1">IF(AND(ISNUMBER($AO$273),$B$208=1),$AO$273,HLOOKUP(INDIRECT(ADDRESS(2,COLUMN())),OFFSET($BN$2,0,0,ROW()-1,60),ROW()-1,FALSE))</f>
        <v/>
      </c>
      <c r="AP68">
        <f ca="1">IF(AND(ISNUMBER($AP$273),$B$208=1),$AP$273,HLOOKUP(INDIRECT(ADDRESS(2,COLUMN())),OFFSET($BN$2,0,0,ROW()-1,60),ROW()-1,FALSE))</f>
        <v>5311.1270000000004</v>
      </c>
      <c r="AQ68" t="str">
        <f ca="1">IF(AND(ISNUMBER($AQ$273),$B$208=1),$AQ$273,HLOOKUP(INDIRECT(ADDRESS(2,COLUMN())),OFFSET($BN$2,0,0,ROW()-1,60),ROW()-1,FALSE))</f>
        <v/>
      </c>
      <c r="AR68">
        <f ca="1">IF(AND(ISNUMBER($AR$273),$B$208=1),$AR$273,HLOOKUP(INDIRECT(ADDRESS(2,COLUMN())),OFFSET($BN$2,0,0,ROW()-1,60),ROW()-1,FALSE))</f>
        <v>5698.5730000000003</v>
      </c>
      <c r="AS68" t="str">
        <f ca="1">IF(AND(ISNUMBER($AS$273),$B$208=1),$AS$273,HLOOKUP(INDIRECT(ADDRESS(2,COLUMN())),OFFSET($BN$2,0,0,ROW()-1,60),ROW()-1,FALSE))</f>
        <v/>
      </c>
      <c r="AT68" t="str">
        <f ca="1">IF(AND(ISNUMBER($AT$273),$B$208=1),$AT$273,HLOOKUP(INDIRECT(ADDRESS(2,COLUMN())),OFFSET($BN$2,0,0,ROW()-1,60),ROW()-1,FALSE))</f>
        <v/>
      </c>
      <c r="AU68" t="str">
        <f ca="1">IF(AND(ISNUMBER($AU$273),$B$208=1),$AU$273,HLOOKUP(INDIRECT(ADDRESS(2,COLUMN())),OFFSET($BN$2,0,0,ROW()-1,60),ROW()-1,FALSE))</f>
        <v/>
      </c>
      <c r="AV68">
        <f ca="1">IF(AND(ISNUMBER($AV$273),$B$208=1),$AV$273,HLOOKUP(INDIRECT(ADDRESS(2,COLUMN())),OFFSET($BN$2,0,0,ROW()-1,60),ROW()-1,FALSE))</f>
        <v>5941.5469999999996</v>
      </c>
      <c r="AW68" t="str">
        <f ca="1">IF(AND(ISNUMBER($AW$273),$B$208=1),$AW$273,HLOOKUP(INDIRECT(ADDRESS(2,COLUMN())),OFFSET($BN$2,0,0,ROW()-1,60),ROW()-1,FALSE))</f>
        <v/>
      </c>
      <c r="AX68" t="str">
        <f ca="1">IF(AND(ISNUMBER($AX$273),$B$208=1),$AX$273,HLOOKUP(INDIRECT(ADDRESS(2,COLUMN())),OFFSET($BN$2,0,0,ROW()-1,60),ROW()-1,FALSE))</f>
        <v/>
      </c>
      <c r="AY68" t="str">
        <f ca="1">IF(AND(ISNUMBER($AY$273),$B$208=1),$AY$273,HLOOKUP(INDIRECT(ADDRESS(2,COLUMN())),OFFSET($BN$2,0,0,ROW()-1,60),ROW()-1,FALSE))</f>
        <v/>
      </c>
      <c r="AZ68" t="str">
        <f ca="1">IF(AND(ISNUMBER($AZ$273),$B$208=1),$AZ$273,HLOOKUP(INDIRECT(ADDRESS(2,COLUMN())),OFFSET($BN$2,0,0,ROW()-1,60),ROW()-1,FALSE))</f>
        <v/>
      </c>
      <c r="BA68" t="str">
        <f ca="1">IF(AND(ISNUMBER($BA$273),$B$208=1),$BA$273,HLOOKUP(INDIRECT(ADDRESS(2,COLUMN())),OFFSET($BN$2,0,0,ROW()-1,60),ROW()-1,FALSE))</f>
        <v/>
      </c>
      <c r="BB68" t="str">
        <f ca="1">IF(AND(ISNUMBER($BB$273),$B$208=1),$BB$273,HLOOKUP(INDIRECT(ADDRESS(2,COLUMN())),OFFSET($BN$2,0,0,ROW()-1,60),ROW()-1,FALSE))</f>
        <v/>
      </c>
      <c r="BC68" t="str">
        <f ca="1">IF(AND(ISNUMBER($BC$273),$B$208=1),$BC$273,HLOOKUP(INDIRECT(ADDRESS(2,COLUMN())),OFFSET($BN$2,0,0,ROW()-1,60),ROW()-1,FALSE))</f>
        <v/>
      </c>
      <c r="BD68" t="str">
        <f ca="1">IF(AND(ISNUMBER($BD$273),$B$208=1),$BD$273,HLOOKUP(INDIRECT(ADDRESS(2,COLUMN())),OFFSET($BN$2,0,0,ROW()-1,60),ROW()-1,FALSE))</f>
        <v/>
      </c>
      <c r="BE68" t="str">
        <f ca="1">IF(AND(ISNUMBER($BE$273),$B$208=1),$BE$273,HLOOKUP(INDIRECT(ADDRESS(2,COLUMN())),OFFSET($BN$2,0,0,ROW()-1,60),ROW()-1,FALSE))</f>
        <v/>
      </c>
      <c r="BF68" t="str">
        <f ca="1">IF(AND(ISNUMBER($BF$273),$B$208=1),$BF$273,HLOOKUP(INDIRECT(ADDRESS(2,COLUMN())),OFFSET($BN$2,0,0,ROW()-1,60),ROW()-1,FALSE))</f>
        <v/>
      </c>
      <c r="BG68" t="str">
        <f ca="1">IF(AND(ISNUMBER($BG$273),$B$208=1),$BG$273,HLOOKUP(INDIRECT(ADDRESS(2,COLUMN())),OFFSET($BN$2,0,0,ROW()-1,60),ROW()-1,FALSE))</f>
        <v/>
      </c>
      <c r="BH68" t="str">
        <f ca="1">IF(AND(ISNUMBER($BH$273),$B$208=1),$BH$273,HLOOKUP(INDIRECT(ADDRESS(2,COLUMN())),OFFSET($BN$2,0,0,ROW()-1,60),ROW()-1,FALSE))</f>
        <v/>
      </c>
      <c r="BI68" t="str">
        <f ca="1">IF(AND(ISNUMBER($BI$273),$B$208=1),$BI$273,HLOOKUP(INDIRECT(ADDRESS(2,COLUMN())),OFFSET($BN$2,0,0,ROW()-1,60),ROW()-1,FALSE))</f>
        <v/>
      </c>
      <c r="BJ68" t="str">
        <f ca="1">IF(AND(ISNUMBER($BJ$273),$B$208=1),$BJ$273,HLOOKUP(INDIRECT(ADDRESS(2,COLUMN())),OFFSET($BN$2,0,0,ROW()-1,60),ROW()-1,FALSE))</f>
        <v/>
      </c>
      <c r="BK68" t="str">
        <f ca="1">IF(AND(ISNUMBER($BK$273),$B$208=1),$BK$273,HLOOKUP(INDIRECT(ADDRESS(2,COLUMN())),OFFSET($BN$2,0,0,ROW()-1,60),ROW()-1,FALSE))</f>
        <v/>
      </c>
      <c r="BL68" t="str">
        <f ca="1">IF(AND(ISNUMBER($BL$273),$B$208=1),$BL$273,HLOOKUP(INDIRECT(ADDRESS(2,COLUMN())),OFFSET($BN$2,0,0,ROW()-1,60),ROW()-1,FALSE))</f>
        <v/>
      </c>
      <c r="BM68" t="str">
        <f ca="1">IF(AND(ISNUMBER($BM$273),$B$208=1),$BM$273,HLOOKUP(INDIRECT(ADDRESS(2,COLUMN())),OFFSET($BN$2,0,0,ROW()-1,60),ROW()-1,FALSE))</f>
        <v/>
      </c>
      <c r="BN68" t="str">
        <f>""</f>
        <v/>
      </c>
      <c r="BO68" t="str">
        <f>""</f>
        <v/>
      </c>
      <c r="BP68">
        <f>2814.325</f>
        <v>2814.3249999999998</v>
      </c>
      <c r="BQ68" t="str">
        <f>""</f>
        <v/>
      </c>
      <c r="BR68">
        <f>2468.108</f>
        <v>2468.1080000000002</v>
      </c>
      <c r="BS68" t="str">
        <f>""</f>
        <v/>
      </c>
      <c r="BT68">
        <f>2876.439</f>
        <v>2876.4389999999999</v>
      </c>
      <c r="BU68" t="str">
        <f>""</f>
        <v/>
      </c>
      <c r="BV68">
        <f>3083.477</f>
        <v>3083.4769999999999</v>
      </c>
      <c r="BW68" t="str">
        <f>""</f>
        <v/>
      </c>
      <c r="BX68">
        <f>3320.604</f>
        <v>3320.6039999999998</v>
      </c>
      <c r="BY68" t="str">
        <f>""</f>
        <v/>
      </c>
      <c r="BZ68">
        <f>3908.384</f>
        <v>3908.384</v>
      </c>
      <c r="CA68" t="str">
        <f>""</f>
        <v/>
      </c>
      <c r="CB68">
        <f>4004.282</f>
        <v>4004.2820000000002</v>
      </c>
      <c r="CC68" t="str">
        <f>""</f>
        <v/>
      </c>
      <c r="CD68">
        <f>3811.043</f>
        <v>3811.0430000000001</v>
      </c>
      <c r="CE68" t="str">
        <f>""</f>
        <v/>
      </c>
      <c r="CF68">
        <f>3279.899</f>
        <v>3279.8989999999999</v>
      </c>
      <c r="CG68" t="str">
        <f>""</f>
        <v/>
      </c>
      <c r="CH68">
        <f>3194.691</f>
        <v>3194.6909999999998</v>
      </c>
      <c r="CI68" t="str">
        <f>""</f>
        <v/>
      </c>
      <c r="CJ68">
        <f>2774.602</f>
        <v>2774.6019999999999</v>
      </c>
      <c r="CK68" t="str">
        <f>""</f>
        <v/>
      </c>
      <c r="CL68">
        <f>3346.207</f>
        <v>3346.2069999999999</v>
      </c>
      <c r="CM68" t="str">
        <f>""</f>
        <v/>
      </c>
      <c r="CN68">
        <f>3563.293</f>
        <v>3563.2930000000001</v>
      </c>
      <c r="CO68" t="str">
        <f>""</f>
        <v/>
      </c>
      <c r="CP68">
        <f>3563.726</f>
        <v>3563.7260000000001</v>
      </c>
      <c r="CQ68" t="str">
        <f>""</f>
        <v/>
      </c>
      <c r="CR68">
        <f>3249.369</f>
        <v>3249.3690000000001</v>
      </c>
      <c r="CS68" t="str">
        <f>""</f>
        <v/>
      </c>
      <c r="CT68">
        <f>4328.787</f>
        <v>4328.7870000000003</v>
      </c>
      <c r="CU68" t="str">
        <f>""</f>
        <v/>
      </c>
      <c r="CV68">
        <f>5144.128</f>
        <v>5144.1279999999997</v>
      </c>
      <c r="CW68" t="str">
        <f>""</f>
        <v/>
      </c>
      <c r="CX68">
        <f>5311.127</f>
        <v>5311.1270000000004</v>
      </c>
      <c r="CY68" t="str">
        <f>""</f>
        <v/>
      </c>
      <c r="CZ68">
        <f>5698.573</f>
        <v>5698.5730000000003</v>
      </c>
      <c r="DA68" t="str">
        <f>""</f>
        <v/>
      </c>
      <c r="DB68" t="str">
        <f>""</f>
        <v/>
      </c>
      <c r="DC68" t="str">
        <f>""</f>
        <v/>
      </c>
      <c r="DD68">
        <f>5941.547</f>
        <v>5941.5469999999996</v>
      </c>
      <c r="DE68" t="str">
        <f>""</f>
        <v/>
      </c>
      <c r="DF68" t="str">
        <f>""</f>
        <v/>
      </c>
      <c r="DG68" t="str">
        <f>""</f>
        <v/>
      </c>
      <c r="DH68" t="str">
        <f>""</f>
        <v/>
      </c>
      <c r="DI68" t="str">
        <f>""</f>
        <v/>
      </c>
      <c r="DJ68" t="str">
        <f>""</f>
        <v/>
      </c>
      <c r="DK68" t="str">
        <f>""</f>
        <v/>
      </c>
      <c r="DL68" t="str">
        <f>""</f>
        <v/>
      </c>
      <c r="DM68" t="str">
        <f>""</f>
        <v/>
      </c>
      <c r="DN68" t="str">
        <f>""</f>
        <v/>
      </c>
      <c r="DO68" t="str">
        <f>""</f>
        <v/>
      </c>
      <c r="DP68" t="str">
        <f>""</f>
        <v/>
      </c>
      <c r="DQ68" t="str">
        <f>""</f>
        <v/>
      </c>
      <c r="DR68" t="str">
        <f>""</f>
        <v/>
      </c>
      <c r="DS68" t="str">
        <f>""</f>
        <v/>
      </c>
      <c r="DT68" t="str">
        <f>""</f>
        <v/>
      </c>
      <c r="DU68" t="str">
        <f>""</f>
        <v/>
      </c>
    </row>
    <row r="69" spans="1:125" x14ac:dyDescent="0.25">
      <c r="A69" t="str">
        <f>"    NatWest Group PLC"</f>
        <v xml:space="preserve">    NatWest Group PLC</v>
      </c>
      <c r="B69" t="str">
        <f>"NWG LN Equity"</f>
        <v>NWG LN Equity</v>
      </c>
      <c r="C69" t="str">
        <f t="shared" si="3"/>
        <v>BM109</v>
      </c>
      <c r="D69" t="str">
        <f t="shared" si="4"/>
        <v>BS_TRADING_SECURITIES_DERIVS</v>
      </c>
      <c r="E69" t="str">
        <f t="shared" si="5"/>
        <v>Dynamic</v>
      </c>
      <c r="F69">
        <f ca="1">IF(AND(ISNUMBER($F$274),$B$208=1),$F$274,HLOOKUP(INDIRECT(ADDRESS(2,COLUMN())),OFFSET($BN$2,0,0,ROW()-1,60),ROW()-1,FALSE))</f>
        <v>94846.334329999998</v>
      </c>
      <c r="G69" t="str">
        <f ca="1">IF(AND(ISNUMBER($G$274),$B$208=1),$G$274,HLOOKUP(INDIRECT(ADDRESS(2,COLUMN())),OFFSET($BN$2,0,0,ROW()-1,60),ROW()-1,FALSE))</f>
        <v/>
      </c>
      <c r="H69" t="str">
        <f ca="1">IF(AND(ISNUMBER($H$274),$B$208=1),$H$274,HLOOKUP(INDIRECT(ADDRESS(2,COLUMN())),OFFSET($BN$2,0,0,ROW()-1,60),ROW()-1,FALSE))</f>
        <v/>
      </c>
      <c r="I69" t="str">
        <f ca="1">IF(AND(ISNUMBER($I$274),$B$208=1),$I$274,HLOOKUP(INDIRECT(ADDRESS(2,COLUMN())),OFFSET($BN$2,0,0,ROW()-1,60),ROW()-1,FALSE))</f>
        <v/>
      </c>
      <c r="J69">
        <f ca="1">IF(AND(ISNUMBER($J$274),$B$208=1),$J$274,HLOOKUP(INDIRECT(ADDRESS(2,COLUMN())),OFFSET($BN$2,0,0,ROW()-1,60),ROW()-1,FALSE))</f>
        <v>91020.584959999993</v>
      </c>
      <c r="K69" t="str">
        <f ca="1">IF(AND(ISNUMBER($K$274),$B$208=1),$K$274,HLOOKUP(INDIRECT(ADDRESS(2,COLUMN())),OFFSET($BN$2,0,0,ROW()-1,60),ROW()-1,FALSE))</f>
        <v/>
      </c>
      <c r="L69" t="str">
        <f ca="1">IF(AND(ISNUMBER($L$274),$B$208=1),$L$274,HLOOKUP(INDIRECT(ADDRESS(2,COLUMN())),OFFSET($BN$2,0,0,ROW()-1,60),ROW()-1,FALSE))</f>
        <v/>
      </c>
      <c r="M69" t="str">
        <f ca="1">IF(AND(ISNUMBER($M$274),$B$208=1),$M$274,HLOOKUP(INDIRECT(ADDRESS(2,COLUMN())),OFFSET($BN$2,0,0,ROW()-1,60),ROW()-1,FALSE))</f>
        <v/>
      </c>
      <c r="N69">
        <f ca="1">IF(AND(ISNUMBER($N$274),$B$208=1),$N$274,HLOOKUP(INDIRECT(ADDRESS(2,COLUMN())),OFFSET($BN$2,0,0,ROW()-1,60),ROW()-1,FALSE))</f>
        <v>112435.3851</v>
      </c>
      <c r="O69" t="str">
        <f ca="1">IF(AND(ISNUMBER($O$274),$B$208=1),$O$274,HLOOKUP(INDIRECT(ADDRESS(2,COLUMN())),OFFSET($BN$2,0,0,ROW()-1,60),ROW()-1,FALSE))</f>
        <v/>
      </c>
      <c r="P69" t="str">
        <f ca="1">IF(AND(ISNUMBER($P$274),$B$208=1),$P$274,HLOOKUP(INDIRECT(ADDRESS(2,COLUMN())),OFFSET($BN$2,0,0,ROW()-1,60),ROW()-1,FALSE))</f>
        <v/>
      </c>
      <c r="Q69" t="str">
        <f ca="1">IF(AND(ISNUMBER($Q$274),$B$208=1),$Q$274,HLOOKUP(INDIRECT(ADDRESS(2,COLUMN())),OFFSET($BN$2,0,0,ROW()-1,60),ROW()-1,FALSE))</f>
        <v/>
      </c>
      <c r="R69">
        <f ca="1">IF(AND(ISNUMBER($R$274),$B$208=1),$R$274,HLOOKUP(INDIRECT(ADDRESS(2,COLUMN())),OFFSET($BN$2,0,0,ROW()-1,60),ROW()-1,FALSE))</f>
        <v>126171.7341</v>
      </c>
      <c r="S69" t="str">
        <f ca="1">IF(AND(ISNUMBER($S$274),$B$208=1),$S$274,HLOOKUP(INDIRECT(ADDRESS(2,COLUMN())),OFFSET($BN$2,0,0,ROW()-1,60),ROW()-1,FALSE))</f>
        <v/>
      </c>
      <c r="T69" t="str">
        <f ca="1">IF(AND(ISNUMBER($T$274),$B$208=1),$T$274,HLOOKUP(INDIRECT(ADDRESS(2,COLUMN())),OFFSET($BN$2,0,0,ROW()-1,60),ROW()-1,FALSE))</f>
        <v/>
      </c>
      <c r="U69" t="str">
        <f ca="1">IF(AND(ISNUMBER($U$274),$B$208=1),$U$274,HLOOKUP(INDIRECT(ADDRESS(2,COLUMN())),OFFSET($BN$2,0,0,ROW()-1,60),ROW()-1,FALSE))</f>
        <v/>
      </c>
      <c r="V69">
        <f ca="1">IF(AND(ISNUMBER($V$274),$B$208=1),$V$274,HLOOKUP(INDIRECT(ADDRESS(2,COLUMN())),OFFSET($BN$2,0,0,ROW()-1,60),ROW()-1,FALSE))</f>
        <v>185947.27799999999</v>
      </c>
      <c r="W69" t="str">
        <f ca="1">IF(AND(ISNUMBER($W$274),$B$208=1),$W$274,HLOOKUP(INDIRECT(ADDRESS(2,COLUMN())),OFFSET($BN$2,0,0,ROW()-1,60),ROW()-1,FALSE))</f>
        <v/>
      </c>
      <c r="X69" t="str">
        <f ca="1">IF(AND(ISNUMBER($X$274),$B$208=1),$X$274,HLOOKUP(INDIRECT(ADDRESS(2,COLUMN())),OFFSET($BN$2,0,0,ROW()-1,60),ROW()-1,FALSE))</f>
        <v/>
      </c>
      <c r="Y69" t="str">
        <f ca="1">IF(AND(ISNUMBER($Y$274),$B$208=1),$Y$274,HLOOKUP(INDIRECT(ADDRESS(2,COLUMN())),OFFSET($BN$2,0,0,ROW()-1,60),ROW()-1,FALSE))</f>
        <v/>
      </c>
      <c r="Z69">
        <f ca="1">IF(AND(ISNUMBER($Z$274),$B$208=1),$Z$274,HLOOKUP(INDIRECT(ADDRESS(2,COLUMN())),OFFSET($BN$2,0,0,ROW()-1,60),ROW()-1,FALSE))</f>
        <v>177204.97169999999</v>
      </c>
      <c r="AA69" t="str">
        <f ca="1">IF(AND(ISNUMBER($AA$274),$B$208=1),$AA$274,HLOOKUP(INDIRECT(ADDRESS(2,COLUMN())),OFFSET($BN$2,0,0,ROW()-1,60),ROW()-1,FALSE))</f>
        <v/>
      </c>
      <c r="AB69" t="str">
        <f ca="1">IF(AND(ISNUMBER($AB$274),$B$208=1),$AB$274,HLOOKUP(INDIRECT(ADDRESS(2,COLUMN())),OFFSET($BN$2,0,0,ROW()-1,60),ROW()-1,FALSE))</f>
        <v/>
      </c>
      <c r="AC69" t="str">
        <f ca="1">IF(AND(ISNUMBER($AC$274),$B$208=1),$AC$274,HLOOKUP(INDIRECT(ADDRESS(2,COLUMN())),OFFSET($BN$2,0,0,ROW()-1,60),ROW()-1,FALSE))</f>
        <v/>
      </c>
      <c r="AD69">
        <f ca="1">IF(AND(ISNUMBER($AD$274),$B$208=1),$AD$274,HLOOKUP(INDIRECT(ADDRESS(2,COLUMN())),OFFSET($BN$2,0,0,ROW()-1,60),ROW()-1,FALSE))</f>
        <v>148416.552</v>
      </c>
      <c r="AE69" t="str">
        <f ca="1">IF(AND(ISNUMBER($AE$274),$B$208=1),$AE$274,HLOOKUP(INDIRECT(ADDRESS(2,COLUMN())),OFFSET($BN$2,0,0,ROW()-1,60),ROW()-1,FALSE))</f>
        <v/>
      </c>
      <c r="AF69" t="str">
        <f ca="1">IF(AND(ISNUMBER($AF$274),$B$208=1),$AF$274,HLOOKUP(INDIRECT(ADDRESS(2,COLUMN())),OFFSET($BN$2,0,0,ROW()-1,60),ROW()-1,FALSE))</f>
        <v/>
      </c>
      <c r="AG69" t="str">
        <f ca="1">IF(AND(ISNUMBER($AG$274),$B$208=1),$AG$274,HLOOKUP(INDIRECT(ADDRESS(2,COLUMN())),OFFSET($BN$2,0,0,ROW()-1,60),ROW()-1,FALSE))</f>
        <v/>
      </c>
      <c r="AH69">
        <f ca="1">IF(AND(ISNUMBER($AH$274),$B$208=1),$AH$274,HLOOKUP(INDIRECT(ADDRESS(2,COLUMN())),OFFSET($BN$2,0,0,ROW()-1,60),ROW()-1,FALSE))</f>
        <v>177600.6508</v>
      </c>
      <c r="AI69" t="str">
        <f ca="1">IF(AND(ISNUMBER($AI$274),$B$208=1),$AI$274,HLOOKUP(INDIRECT(ADDRESS(2,COLUMN())),OFFSET($BN$2,0,0,ROW()-1,60),ROW()-1,FALSE))</f>
        <v/>
      </c>
      <c r="AJ69" t="str">
        <f ca="1">IF(AND(ISNUMBER($AJ$274),$B$208=1),$AJ$274,HLOOKUP(INDIRECT(ADDRESS(2,COLUMN())),OFFSET($BN$2,0,0,ROW()-1,60),ROW()-1,FALSE))</f>
        <v/>
      </c>
      <c r="AK69" t="str">
        <f ca="1">IF(AND(ISNUMBER($AK$274),$B$208=1),$AK$274,HLOOKUP(INDIRECT(ADDRESS(2,COLUMN())),OFFSET($BN$2,0,0,ROW()-1,60),ROW()-1,FALSE))</f>
        <v/>
      </c>
      <c r="AL69">
        <f ca="1">IF(AND(ISNUMBER($AL$274),$B$208=1),$AL$274,HLOOKUP(INDIRECT(ADDRESS(2,COLUMN())),OFFSET($BN$2,0,0,ROW()-1,60),ROW()-1,FALSE))</f>
        <v>283479.68520000001</v>
      </c>
      <c r="AM69" t="str">
        <f ca="1">IF(AND(ISNUMBER($AM$274),$B$208=1),$AM$274,HLOOKUP(INDIRECT(ADDRESS(2,COLUMN())),OFFSET($BN$2,0,0,ROW()-1,60),ROW()-1,FALSE))</f>
        <v/>
      </c>
      <c r="AN69" t="str">
        <f ca="1">IF(AND(ISNUMBER($AN$274),$B$208=1),$AN$274,HLOOKUP(INDIRECT(ADDRESS(2,COLUMN())),OFFSET($BN$2,0,0,ROW()-1,60),ROW()-1,FALSE))</f>
        <v/>
      </c>
      <c r="AO69" t="str">
        <f ca="1">IF(AND(ISNUMBER($AO$274),$B$208=1),$AO$274,HLOOKUP(INDIRECT(ADDRESS(2,COLUMN())),OFFSET($BN$2,0,0,ROW()-1,60),ROW()-1,FALSE))</f>
        <v/>
      </c>
      <c r="AP69">
        <f ca="1">IF(AND(ISNUMBER($AP$274),$B$208=1),$AP$274,HLOOKUP(INDIRECT(ADDRESS(2,COLUMN())),OFFSET($BN$2,0,0,ROW()-1,60),ROW()-1,FALSE))</f>
        <v>350775.23710000003</v>
      </c>
      <c r="AQ69" t="str">
        <f ca="1">IF(AND(ISNUMBER($AQ$274),$B$208=1),$AQ$274,HLOOKUP(INDIRECT(ADDRESS(2,COLUMN())),OFFSET($BN$2,0,0,ROW()-1,60),ROW()-1,FALSE))</f>
        <v/>
      </c>
      <c r="AR69" t="str">
        <f ca="1">IF(AND(ISNUMBER($AR$274),$B$208=1),$AR$274,HLOOKUP(INDIRECT(ADDRESS(2,COLUMN())),OFFSET($BN$2,0,0,ROW()-1,60),ROW()-1,FALSE))</f>
        <v/>
      </c>
      <c r="AS69" t="str">
        <f ca="1">IF(AND(ISNUMBER($AS$274),$B$208=1),$AS$274,HLOOKUP(INDIRECT(ADDRESS(2,COLUMN())),OFFSET($BN$2,0,0,ROW()-1,60),ROW()-1,FALSE))</f>
        <v/>
      </c>
      <c r="AT69">
        <f ca="1">IF(AND(ISNUMBER($AT$274),$B$208=1),$AT$274,HLOOKUP(INDIRECT(ADDRESS(2,COLUMN())),OFFSET($BN$2,0,0,ROW()-1,60),ROW()-1,FALSE))</f>
        <v>455.84082640000003</v>
      </c>
      <c r="AU69" t="str">
        <f ca="1">IF(AND(ISNUMBER($AU$274),$B$208=1),$AU$274,HLOOKUP(INDIRECT(ADDRESS(2,COLUMN())),OFFSET($BN$2,0,0,ROW()-1,60),ROW()-1,FALSE))</f>
        <v/>
      </c>
      <c r="AV69" t="str">
        <f ca="1">IF(AND(ISNUMBER($AV$274),$B$208=1),$AV$274,HLOOKUP(INDIRECT(ADDRESS(2,COLUMN())),OFFSET($BN$2,0,0,ROW()-1,60),ROW()-1,FALSE))</f>
        <v/>
      </c>
      <c r="AW69" t="str">
        <f ca="1">IF(AND(ISNUMBER($AW$274),$B$208=1),$AW$274,HLOOKUP(INDIRECT(ADDRESS(2,COLUMN())),OFFSET($BN$2,0,0,ROW()-1,60),ROW()-1,FALSE))</f>
        <v/>
      </c>
      <c r="AX69">
        <f ca="1">IF(AND(ISNUMBER($AX$274),$B$208=1),$AX$274,HLOOKUP(INDIRECT(ADDRESS(2,COLUMN())),OFFSET($BN$2,0,0,ROW()-1,60),ROW()-1,FALSE))</f>
        <v>346047.86959999998</v>
      </c>
      <c r="AY69" t="str">
        <f ca="1">IF(AND(ISNUMBER($AY$274),$B$208=1),$AY$274,HLOOKUP(INDIRECT(ADDRESS(2,COLUMN())),OFFSET($BN$2,0,0,ROW()-1,60),ROW()-1,FALSE))</f>
        <v/>
      </c>
      <c r="AZ69" t="str">
        <f ca="1">IF(AND(ISNUMBER($AZ$274),$B$208=1),$AZ$274,HLOOKUP(INDIRECT(ADDRESS(2,COLUMN())),OFFSET($BN$2,0,0,ROW()-1,60),ROW()-1,FALSE))</f>
        <v/>
      </c>
      <c r="BA69" t="str">
        <f ca="1">IF(AND(ISNUMBER($BA$274),$B$208=1),$BA$274,HLOOKUP(INDIRECT(ADDRESS(2,COLUMN())),OFFSET($BN$2,0,0,ROW()-1,60),ROW()-1,FALSE))</f>
        <v/>
      </c>
      <c r="BB69">
        <f ca="1">IF(AND(ISNUMBER($BB$274),$B$208=1),$BB$274,HLOOKUP(INDIRECT(ADDRESS(2,COLUMN())),OFFSET($BN$2,0,0,ROW()-1,60),ROW()-1,FALSE))</f>
        <v>543865.16070000001</v>
      </c>
      <c r="BC69" t="str">
        <f ca="1">IF(AND(ISNUMBER($BC$274),$B$208=1),$BC$274,HLOOKUP(INDIRECT(ADDRESS(2,COLUMN())),OFFSET($BN$2,0,0,ROW()-1,60),ROW()-1,FALSE))</f>
        <v/>
      </c>
      <c r="BD69" t="str">
        <f ca="1">IF(AND(ISNUMBER($BD$274),$B$208=1),$BD$274,HLOOKUP(INDIRECT(ADDRESS(2,COLUMN())),OFFSET($BN$2,0,0,ROW()-1,60),ROW()-1,FALSE))</f>
        <v/>
      </c>
      <c r="BE69">
        <f ca="1">IF(AND(ISNUMBER($BE$274),$B$208=1),$BE$274,HLOOKUP(INDIRECT(ADDRESS(2,COLUMN())),OFFSET($BN$2,0,0,ROW()-1,60),ROW()-1,FALSE))</f>
        <v>543773.16339999996</v>
      </c>
      <c r="BF69">
        <f ca="1">IF(AND(ISNUMBER($BF$274),$B$208=1),$BF$274,HLOOKUP(INDIRECT(ADDRESS(2,COLUMN())),OFFSET($BN$2,0,0,ROW()-1,60),ROW()-1,FALSE))</f>
        <v>633784.3798</v>
      </c>
      <c r="BG69" t="str">
        <f ca="1">IF(AND(ISNUMBER($BG$274),$B$208=1),$BG$274,HLOOKUP(INDIRECT(ADDRESS(2,COLUMN())),OFFSET($BN$2,0,0,ROW()-1,60),ROW()-1,FALSE))</f>
        <v/>
      </c>
      <c r="BH69" t="str">
        <f ca="1">IF(AND(ISNUMBER($BH$274),$B$208=1),$BH$274,HLOOKUP(INDIRECT(ADDRESS(2,COLUMN())),OFFSET($BN$2,0,0,ROW()-1,60),ROW()-1,FALSE))</f>
        <v/>
      </c>
      <c r="BI69" t="str">
        <f ca="1">IF(AND(ISNUMBER($BI$274),$B$208=1),$BI$274,HLOOKUP(INDIRECT(ADDRESS(2,COLUMN())),OFFSET($BN$2,0,0,ROW()-1,60),ROW()-1,FALSE))</f>
        <v/>
      </c>
      <c r="BJ69">
        <f ca="1">IF(AND(ISNUMBER($BJ$274),$B$208=1),$BJ$274,HLOOKUP(INDIRECT(ADDRESS(2,COLUMN())),OFFSET($BN$2,0,0,ROW()-1,60),ROW()-1,FALSE))</f>
        <v>498171.29340000002</v>
      </c>
      <c r="BK69">
        <f ca="1">IF(AND(ISNUMBER($BK$274),$B$208=1),$BK$274,HLOOKUP(INDIRECT(ADDRESS(2,COLUMN())),OFFSET($BN$2,0,0,ROW()-1,60),ROW()-1,FALSE))</f>
        <v>633744.86340000003</v>
      </c>
      <c r="BL69">
        <f ca="1">IF(AND(ISNUMBER($BL$274),$B$208=1),$BL$274,HLOOKUP(INDIRECT(ADDRESS(2,COLUMN())),OFFSET($BN$2,0,0,ROW()-1,60),ROW()-1,FALSE))</f>
        <v>638306.17390000005</v>
      </c>
      <c r="BM69" t="str">
        <f ca="1">IF(AND(ISNUMBER($BM$274),$B$208=1),$BM$274,HLOOKUP(INDIRECT(ADDRESS(2,COLUMN())),OFFSET($BN$2,0,0,ROW()-1,60),ROW()-1,FALSE))</f>
        <v/>
      </c>
      <c r="BN69">
        <f>94846.33433</f>
        <v>94846.334329999998</v>
      </c>
      <c r="BO69" t="str">
        <f>""</f>
        <v/>
      </c>
      <c r="BP69" t="str">
        <f>""</f>
        <v/>
      </c>
      <c r="BQ69" t="str">
        <f>""</f>
        <v/>
      </c>
      <c r="BR69">
        <f>91020.58496</f>
        <v>91020.584959999993</v>
      </c>
      <c r="BS69" t="str">
        <f>""</f>
        <v/>
      </c>
      <c r="BT69" t="str">
        <f>""</f>
        <v/>
      </c>
      <c r="BU69" t="str">
        <f>""</f>
        <v/>
      </c>
      <c r="BV69">
        <f>112435.3851</f>
        <v>112435.3851</v>
      </c>
      <c r="BW69" t="str">
        <f>""</f>
        <v/>
      </c>
      <c r="BX69" t="str">
        <f>""</f>
        <v/>
      </c>
      <c r="BY69" t="str">
        <f>""</f>
        <v/>
      </c>
      <c r="BZ69">
        <f>126171.7341</f>
        <v>126171.7341</v>
      </c>
      <c r="CA69" t="str">
        <f>""</f>
        <v/>
      </c>
      <c r="CB69" t="str">
        <f>""</f>
        <v/>
      </c>
      <c r="CC69" t="str">
        <f>""</f>
        <v/>
      </c>
      <c r="CD69">
        <f>185947.278</f>
        <v>185947.27799999999</v>
      </c>
      <c r="CE69" t="str">
        <f>""</f>
        <v/>
      </c>
      <c r="CF69" t="str">
        <f>""</f>
        <v/>
      </c>
      <c r="CG69" t="str">
        <f>""</f>
        <v/>
      </c>
      <c r="CH69">
        <f>177204.9717</f>
        <v>177204.97169999999</v>
      </c>
      <c r="CI69" t="str">
        <f>""</f>
        <v/>
      </c>
      <c r="CJ69" t="str">
        <f>""</f>
        <v/>
      </c>
      <c r="CK69" t="str">
        <f>""</f>
        <v/>
      </c>
      <c r="CL69">
        <f>148416.552</f>
        <v>148416.552</v>
      </c>
      <c r="CM69" t="str">
        <f>""</f>
        <v/>
      </c>
      <c r="CN69" t="str">
        <f>""</f>
        <v/>
      </c>
      <c r="CO69" t="str">
        <f>""</f>
        <v/>
      </c>
      <c r="CP69">
        <f>177600.6508</f>
        <v>177600.6508</v>
      </c>
      <c r="CQ69" t="str">
        <f>""</f>
        <v/>
      </c>
      <c r="CR69" t="str">
        <f>""</f>
        <v/>
      </c>
      <c r="CS69" t="str">
        <f>""</f>
        <v/>
      </c>
      <c r="CT69">
        <f>283479.6852</f>
        <v>283479.68520000001</v>
      </c>
      <c r="CU69" t="str">
        <f>""</f>
        <v/>
      </c>
      <c r="CV69" t="str">
        <f>""</f>
        <v/>
      </c>
      <c r="CW69" t="str">
        <f>""</f>
        <v/>
      </c>
      <c r="CX69">
        <f>350775.2371</f>
        <v>350775.23710000003</v>
      </c>
      <c r="CY69" t="str">
        <f>""</f>
        <v/>
      </c>
      <c r="CZ69" t="str">
        <f>""</f>
        <v/>
      </c>
      <c r="DA69" t="str">
        <f>""</f>
        <v/>
      </c>
      <c r="DB69">
        <f>455.8408264</f>
        <v>455.84082640000003</v>
      </c>
      <c r="DC69" t="str">
        <f>""</f>
        <v/>
      </c>
      <c r="DD69" t="str">
        <f>""</f>
        <v/>
      </c>
      <c r="DE69" t="str">
        <f>""</f>
        <v/>
      </c>
      <c r="DF69">
        <f>346047.8696</f>
        <v>346047.86959999998</v>
      </c>
      <c r="DG69" t="str">
        <f>""</f>
        <v/>
      </c>
      <c r="DH69" t="str">
        <f>""</f>
        <v/>
      </c>
      <c r="DI69" t="str">
        <f>""</f>
        <v/>
      </c>
      <c r="DJ69">
        <f>543865.1607</f>
        <v>543865.16070000001</v>
      </c>
      <c r="DK69" t="str">
        <f>""</f>
        <v/>
      </c>
      <c r="DL69" t="str">
        <f>""</f>
        <v/>
      </c>
      <c r="DM69">
        <f>543773.1634</f>
        <v>543773.16339999996</v>
      </c>
      <c r="DN69">
        <f>633784.3798</f>
        <v>633784.3798</v>
      </c>
      <c r="DO69" t="str">
        <f>""</f>
        <v/>
      </c>
      <c r="DP69" t="str">
        <f>""</f>
        <v/>
      </c>
      <c r="DQ69" t="str">
        <f>""</f>
        <v/>
      </c>
      <c r="DR69">
        <f>498171.2934</f>
        <v>498171.29340000002</v>
      </c>
      <c r="DS69">
        <f>633744.8634</f>
        <v>633744.86340000003</v>
      </c>
      <c r="DT69">
        <f>638306.1739</f>
        <v>638306.17390000005</v>
      </c>
      <c r="DU69" t="str">
        <f>""</f>
        <v/>
      </c>
    </row>
    <row r="70" spans="1:125" x14ac:dyDescent="0.25">
      <c r="A70" t="str">
        <f>"    Nordea Bank Abp"</f>
        <v xml:space="preserve">    Nordea Bank Abp</v>
      </c>
      <c r="B70" t="str">
        <f>"NDA FH Equity"</f>
        <v>NDA FH Equity</v>
      </c>
      <c r="C70" t="str">
        <f t="shared" si="3"/>
        <v>BM109</v>
      </c>
      <c r="D70" t="str">
        <f t="shared" si="4"/>
        <v>BS_TRADING_SECURITIES_DERIVS</v>
      </c>
      <c r="E70" t="str">
        <f t="shared" si="5"/>
        <v>Dynamic</v>
      </c>
      <c r="F70">
        <f ca="1">IF(AND(ISNUMBER($F$275),$B$208=1),$F$275,HLOOKUP(INDIRECT(ADDRESS(2,COLUMN())),OFFSET($BN$2,0,0,ROW()-1,60),ROW()-1,FALSE))</f>
        <v>20651</v>
      </c>
      <c r="G70" t="str">
        <f ca="1">IF(AND(ISNUMBER($G$275),$B$208=1),$G$275,HLOOKUP(INDIRECT(ADDRESS(2,COLUMN())),OFFSET($BN$2,0,0,ROW()-1,60),ROW()-1,FALSE))</f>
        <v/>
      </c>
      <c r="H70" t="str">
        <f ca="1">IF(AND(ISNUMBER($H$275),$B$208=1),$H$275,HLOOKUP(INDIRECT(ADDRESS(2,COLUMN())),OFFSET($BN$2,0,0,ROW()-1,60),ROW()-1,FALSE))</f>
        <v/>
      </c>
      <c r="I70" t="str">
        <f ca="1">IF(AND(ISNUMBER($I$275),$B$208=1),$I$275,HLOOKUP(INDIRECT(ADDRESS(2,COLUMN())),OFFSET($BN$2,0,0,ROW()-1,60),ROW()-1,FALSE))</f>
        <v/>
      </c>
      <c r="J70">
        <f ca="1">IF(AND(ISNUMBER($J$275),$B$208=1),$J$275,HLOOKUP(INDIRECT(ADDRESS(2,COLUMN())),OFFSET($BN$2,0,0,ROW()-1,60),ROW()-1,FALSE))</f>
        <v>20411</v>
      </c>
      <c r="K70" t="str">
        <f ca="1">IF(AND(ISNUMBER($K$275),$B$208=1),$K$275,HLOOKUP(INDIRECT(ADDRESS(2,COLUMN())),OFFSET($BN$2,0,0,ROW()-1,60),ROW()-1,FALSE))</f>
        <v/>
      </c>
      <c r="L70" t="str">
        <f ca="1">IF(AND(ISNUMBER($L$275),$B$208=1),$L$275,HLOOKUP(INDIRECT(ADDRESS(2,COLUMN())),OFFSET($BN$2,0,0,ROW()-1,60),ROW()-1,FALSE))</f>
        <v/>
      </c>
      <c r="M70" t="str">
        <f ca="1">IF(AND(ISNUMBER($M$275),$B$208=1),$M$275,HLOOKUP(INDIRECT(ADDRESS(2,COLUMN())),OFFSET($BN$2,0,0,ROW()-1,60),ROW()-1,FALSE))</f>
        <v/>
      </c>
      <c r="N70">
        <f ca="1">IF(AND(ISNUMBER($N$275),$B$208=1),$N$275,HLOOKUP(INDIRECT(ADDRESS(2,COLUMN())),OFFSET($BN$2,0,0,ROW()-1,60),ROW()-1,FALSE))</f>
        <v>29972</v>
      </c>
      <c r="O70" t="str">
        <f ca="1">IF(AND(ISNUMBER($O$275),$B$208=1),$O$275,HLOOKUP(INDIRECT(ADDRESS(2,COLUMN())),OFFSET($BN$2,0,0,ROW()-1,60),ROW()-1,FALSE))</f>
        <v/>
      </c>
      <c r="P70" t="str">
        <f ca="1">IF(AND(ISNUMBER($P$275),$B$208=1),$P$275,HLOOKUP(INDIRECT(ADDRESS(2,COLUMN())),OFFSET($BN$2,0,0,ROW()-1,60),ROW()-1,FALSE))</f>
        <v/>
      </c>
      <c r="Q70" t="str">
        <f ca="1">IF(AND(ISNUMBER($Q$275),$B$208=1),$Q$275,HLOOKUP(INDIRECT(ADDRESS(2,COLUMN())),OFFSET($BN$2,0,0,ROW()-1,60),ROW()-1,FALSE))</f>
        <v/>
      </c>
      <c r="R70">
        <f ca="1">IF(AND(ISNUMBER($R$275),$B$208=1),$R$275,HLOOKUP(INDIRECT(ADDRESS(2,COLUMN())),OFFSET($BN$2,0,0,ROW()-1,60),ROW()-1,FALSE))</f>
        <v>28139</v>
      </c>
      <c r="S70" t="str">
        <f ca="1">IF(AND(ISNUMBER($S$275),$B$208=1),$S$275,HLOOKUP(INDIRECT(ADDRESS(2,COLUMN())),OFFSET($BN$2,0,0,ROW()-1,60),ROW()-1,FALSE))</f>
        <v/>
      </c>
      <c r="T70" t="str">
        <f ca="1">IF(AND(ISNUMBER($T$275),$B$208=1),$T$275,HLOOKUP(INDIRECT(ADDRESS(2,COLUMN())),OFFSET($BN$2,0,0,ROW()-1,60),ROW()-1,FALSE))</f>
        <v/>
      </c>
      <c r="U70" t="str">
        <f ca="1">IF(AND(ISNUMBER($U$275),$B$208=1),$U$275,HLOOKUP(INDIRECT(ADDRESS(2,COLUMN())),OFFSET($BN$2,0,0,ROW()-1,60),ROW()-1,FALSE))</f>
        <v/>
      </c>
      <c r="V70">
        <f ca="1">IF(AND(ISNUMBER($V$275),$B$208=1),$V$275,HLOOKUP(INDIRECT(ADDRESS(2,COLUMN())),OFFSET($BN$2,0,0,ROW()-1,60),ROW()-1,FALSE))</f>
        <v>41323</v>
      </c>
      <c r="W70" t="str">
        <f ca="1">IF(AND(ISNUMBER($W$275),$B$208=1),$W$275,HLOOKUP(INDIRECT(ADDRESS(2,COLUMN())),OFFSET($BN$2,0,0,ROW()-1,60),ROW()-1,FALSE))</f>
        <v/>
      </c>
      <c r="X70" t="str">
        <f ca="1">IF(AND(ISNUMBER($X$275),$B$208=1),$X$275,HLOOKUP(INDIRECT(ADDRESS(2,COLUMN())),OFFSET($BN$2,0,0,ROW()-1,60),ROW()-1,FALSE))</f>
        <v/>
      </c>
      <c r="Y70" t="str">
        <f ca="1">IF(AND(ISNUMBER($Y$275),$B$208=1),$Y$275,HLOOKUP(INDIRECT(ADDRESS(2,COLUMN())),OFFSET($BN$2,0,0,ROW()-1,60),ROW()-1,FALSE))</f>
        <v/>
      </c>
      <c r="Z70">
        <f ca="1">IF(AND(ISNUMBER($Z$275),$B$208=1),$Z$275,HLOOKUP(INDIRECT(ADDRESS(2,COLUMN())),OFFSET($BN$2,0,0,ROW()-1,60),ROW()-1,FALSE))</f>
        <v>36784</v>
      </c>
      <c r="AA70" t="str">
        <f ca="1">IF(AND(ISNUMBER($AA$275),$B$208=1),$AA$275,HLOOKUP(INDIRECT(ADDRESS(2,COLUMN())),OFFSET($BN$2,0,0,ROW()-1,60),ROW()-1,FALSE))</f>
        <v/>
      </c>
      <c r="AB70" t="str">
        <f ca="1">IF(AND(ISNUMBER($AB$275),$B$208=1),$AB$275,HLOOKUP(INDIRECT(ADDRESS(2,COLUMN())),OFFSET($BN$2,0,0,ROW()-1,60),ROW()-1,FALSE))</f>
        <v/>
      </c>
      <c r="AC70" t="str">
        <f ca="1">IF(AND(ISNUMBER($AC$275),$B$208=1),$AC$275,HLOOKUP(INDIRECT(ADDRESS(2,COLUMN())),OFFSET($BN$2,0,0,ROW()-1,60),ROW()-1,FALSE))</f>
        <v/>
      </c>
      <c r="AD70">
        <f ca="1">IF(AND(ISNUMBER($AD$275),$B$208=1),$AD$275,HLOOKUP(INDIRECT(ADDRESS(2,COLUMN())),OFFSET($BN$2,0,0,ROW()-1,60),ROW()-1,FALSE))</f>
        <v>33915</v>
      </c>
      <c r="AE70" t="str">
        <f ca="1">IF(AND(ISNUMBER($AE$275),$B$208=1),$AE$275,HLOOKUP(INDIRECT(ADDRESS(2,COLUMN())),OFFSET($BN$2,0,0,ROW()-1,60),ROW()-1,FALSE))</f>
        <v/>
      </c>
      <c r="AF70" t="str">
        <f ca="1">IF(AND(ISNUMBER($AF$275),$B$208=1),$AF$275,HLOOKUP(INDIRECT(ADDRESS(2,COLUMN())),OFFSET($BN$2,0,0,ROW()-1,60),ROW()-1,FALSE))</f>
        <v/>
      </c>
      <c r="AG70" t="str">
        <f ca="1">IF(AND(ISNUMBER($AG$275),$B$208=1),$AG$275,HLOOKUP(INDIRECT(ADDRESS(2,COLUMN())),OFFSET($BN$2,0,0,ROW()-1,60),ROW()-1,FALSE))</f>
        <v/>
      </c>
      <c r="AH70">
        <f ca="1">IF(AND(ISNUMBER($AH$275),$B$208=1),$AH$275,HLOOKUP(INDIRECT(ADDRESS(2,COLUMN())),OFFSET($BN$2,0,0,ROW()-1,60),ROW()-1,FALSE))</f>
        <v>44415</v>
      </c>
      <c r="AI70" t="str">
        <f ca="1">IF(AND(ISNUMBER($AI$275),$B$208=1),$AI$275,HLOOKUP(INDIRECT(ADDRESS(2,COLUMN())),OFFSET($BN$2,0,0,ROW()-1,60),ROW()-1,FALSE))</f>
        <v/>
      </c>
      <c r="AJ70" t="str">
        <f ca="1">IF(AND(ISNUMBER($AJ$275),$B$208=1),$AJ$275,HLOOKUP(INDIRECT(ADDRESS(2,COLUMN())),OFFSET($BN$2,0,0,ROW()-1,60),ROW()-1,FALSE))</f>
        <v/>
      </c>
      <c r="AK70" t="str">
        <f ca="1">IF(AND(ISNUMBER($AK$275),$B$208=1),$AK$275,HLOOKUP(INDIRECT(ADDRESS(2,COLUMN())),OFFSET($BN$2,0,0,ROW()-1,60),ROW()-1,FALSE))</f>
        <v/>
      </c>
      <c r="AL70">
        <f ca="1">IF(AND(ISNUMBER($AL$275),$B$208=1),$AL$275,HLOOKUP(INDIRECT(ADDRESS(2,COLUMN())),OFFSET($BN$2,0,0,ROW()-1,60),ROW()-1,FALSE))</f>
        <v>67438</v>
      </c>
      <c r="AM70" t="str">
        <f ca="1">IF(AND(ISNUMBER($AM$275),$B$208=1),$AM$275,HLOOKUP(INDIRECT(ADDRESS(2,COLUMN())),OFFSET($BN$2,0,0,ROW()-1,60),ROW()-1,FALSE))</f>
        <v/>
      </c>
      <c r="AN70" t="str">
        <f ca="1">IF(AND(ISNUMBER($AN$275),$B$208=1),$AN$275,HLOOKUP(INDIRECT(ADDRESS(2,COLUMN())),OFFSET($BN$2,0,0,ROW()-1,60),ROW()-1,FALSE))</f>
        <v/>
      </c>
      <c r="AO70" t="str">
        <f ca="1">IF(AND(ISNUMBER($AO$275),$B$208=1),$AO$275,HLOOKUP(INDIRECT(ADDRESS(2,COLUMN())),OFFSET($BN$2,0,0,ROW()-1,60),ROW()-1,FALSE))</f>
        <v/>
      </c>
      <c r="AP70">
        <f ca="1">IF(AND(ISNUMBER($AP$275),$B$208=1),$AP$275,HLOOKUP(INDIRECT(ADDRESS(2,COLUMN())),OFFSET($BN$2,0,0,ROW()-1,60),ROW()-1,FALSE))</f>
        <v>77594</v>
      </c>
      <c r="AQ70" t="str">
        <f ca="1">IF(AND(ISNUMBER($AQ$275),$B$208=1),$AQ$275,HLOOKUP(INDIRECT(ADDRESS(2,COLUMN())),OFFSET($BN$2,0,0,ROW()-1,60),ROW()-1,FALSE))</f>
        <v/>
      </c>
      <c r="AR70" t="str">
        <f ca="1">IF(AND(ISNUMBER($AR$275),$B$208=1),$AR$275,HLOOKUP(INDIRECT(ADDRESS(2,COLUMN())),OFFSET($BN$2,0,0,ROW()-1,60),ROW()-1,FALSE))</f>
        <v/>
      </c>
      <c r="AS70" t="str">
        <f ca="1">IF(AND(ISNUMBER($AS$275),$B$208=1),$AS$275,HLOOKUP(INDIRECT(ADDRESS(2,COLUMN())),OFFSET($BN$2,0,0,ROW()-1,60),ROW()-1,FALSE))</f>
        <v/>
      </c>
      <c r="AT70">
        <f ca="1">IF(AND(ISNUMBER($AT$275),$B$208=1),$AT$275,HLOOKUP(INDIRECT(ADDRESS(2,COLUMN())),OFFSET($BN$2,0,0,ROW()-1,60),ROW()-1,FALSE))</f>
        <v>102279</v>
      </c>
      <c r="AU70" t="str">
        <f ca="1">IF(AND(ISNUMBER($AU$275),$B$208=1),$AU$275,HLOOKUP(INDIRECT(ADDRESS(2,COLUMN())),OFFSET($BN$2,0,0,ROW()-1,60),ROW()-1,FALSE))</f>
        <v/>
      </c>
      <c r="AV70" t="str">
        <f ca="1">IF(AND(ISNUMBER($AV$275),$B$208=1),$AV$275,HLOOKUP(INDIRECT(ADDRESS(2,COLUMN())),OFFSET($BN$2,0,0,ROW()-1,60),ROW()-1,FALSE))</f>
        <v/>
      </c>
      <c r="AW70" t="str">
        <f ca="1">IF(AND(ISNUMBER($AW$275),$B$208=1),$AW$275,HLOOKUP(INDIRECT(ADDRESS(2,COLUMN())),OFFSET($BN$2,0,0,ROW()-1,60),ROW()-1,FALSE))</f>
        <v/>
      </c>
      <c r="AX70">
        <f ca="1">IF(AND(ISNUMBER($AX$275),$B$208=1),$AX$275,HLOOKUP(INDIRECT(ADDRESS(2,COLUMN())),OFFSET($BN$2,0,0,ROW()-1,60),ROW()-1,FALSE))</f>
        <v>69003</v>
      </c>
      <c r="AY70">
        <f ca="1">IF(AND(ISNUMBER($AY$275),$B$208=1),$AY$275,HLOOKUP(INDIRECT(ADDRESS(2,COLUMN())),OFFSET($BN$2,0,0,ROW()-1,60),ROW()-1,FALSE))</f>
        <v>72427</v>
      </c>
      <c r="AZ70">
        <f ca="1">IF(AND(ISNUMBER($AZ$275),$B$208=1),$AZ$275,HLOOKUP(INDIRECT(ADDRESS(2,COLUMN())),OFFSET($BN$2,0,0,ROW()-1,60),ROW()-1,FALSE))</f>
        <v>76595</v>
      </c>
      <c r="BA70" t="str">
        <f ca="1">IF(AND(ISNUMBER($BA$275),$B$208=1),$BA$275,HLOOKUP(INDIRECT(ADDRESS(2,COLUMN())),OFFSET($BN$2,0,0,ROW()-1,60),ROW()-1,FALSE))</f>
        <v/>
      </c>
      <c r="BB70">
        <f ca="1">IF(AND(ISNUMBER($BB$275),$B$208=1),$BB$275,HLOOKUP(INDIRECT(ADDRESS(2,COLUMN())),OFFSET($BN$2,0,0,ROW()-1,60),ROW()-1,FALSE))</f>
        <v>115706</v>
      </c>
      <c r="BC70">
        <f ca="1">IF(AND(ISNUMBER($BC$275),$B$208=1),$BC$275,HLOOKUP(INDIRECT(ADDRESS(2,COLUMN())),OFFSET($BN$2,0,0,ROW()-1,60),ROW()-1,FALSE))</f>
        <v>147970</v>
      </c>
      <c r="BD70">
        <f ca="1">IF(AND(ISNUMBER($BD$275),$B$208=1),$BD$275,HLOOKUP(INDIRECT(ADDRESS(2,COLUMN())),OFFSET($BN$2,0,0,ROW()-1,60),ROW()-1,FALSE))</f>
        <v>155552</v>
      </c>
      <c r="BE70">
        <f ca="1">IF(AND(ISNUMBER($BE$275),$B$208=1),$BE$275,HLOOKUP(INDIRECT(ADDRESS(2,COLUMN())),OFFSET($BN$2,0,0,ROW()-1,60),ROW()-1,FALSE))</f>
        <v>163410</v>
      </c>
      <c r="BF70">
        <f ca="1">IF(AND(ISNUMBER($BF$275),$B$208=1),$BF$275,HLOOKUP(INDIRECT(ADDRESS(2,COLUMN())),OFFSET($BN$2,0,0,ROW()-1,60),ROW()-1,FALSE))</f>
        <v>169402</v>
      </c>
      <c r="BG70">
        <f ca="1">IF(AND(ISNUMBER($BG$275),$B$208=1),$BG$275,HLOOKUP(INDIRECT(ADDRESS(2,COLUMN())),OFFSET($BN$2,0,0,ROW()-1,60),ROW()-1,FALSE))</f>
        <v>155133</v>
      </c>
      <c r="BH70">
        <f ca="1">IF(AND(ISNUMBER($BH$275),$B$208=1),$BH$275,HLOOKUP(INDIRECT(ADDRESS(2,COLUMN())),OFFSET($BN$2,0,0,ROW()-1,60),ROW()-1,FALSE))</f>
        <v>81034</v>
      </c>
      <c r="BI70">
        <f ca="1">IF(AND(ISNUMBER($BI$275),$B$208=1),$BI$275,HLOOKUP(INDIRECT(ADDRESS(2,COLUMN())),OFFSET($BN$2,0,0,ROW()-1,60),ROW()-1,FALSE))</f>
        <v>81215</v>
      </c>
      <c r="BJ70">
        <f ca="1">IF(AND(ISNUMBER($BJ$275),$B$208=1),$BJ$275,HLOOKUP(INDIRECT(ADDRESS(2,COLUMN())),OFFSET($BN$2,0,0,ROW()-1,60),ROW()-1,FALSE))</f>
        <v>96099</v>
      </c>
      <c r="BK70">
        <f ca="1">IF(AND(ISNUMBER($BK$275),$B$208=1),$BK$275,HLOOKUP(INDIRECT(ADDRESS(2,COLUMN())),OFFSET($BN$2,0,0,ROW()-1,60),ROW()-1,FALSE))</f>
        <v>137318</v>
      </c>
      <c r="BL70">
        <f ca="1">IF(AND(ISNUMBER($BL$275),$B$208=1),$BL$275,HLOOKUP(INDIRECT(ADDRESS(2,COLUMN())),OFFSET($BN$2,0,0,ROW()-1,60),ROW()-1,FALSE))</f>
        <v>120250</v>
      </c>
      <c r="BM70" t="str">
        <f ca="1">IF(AND(ISNUMBER($BM$275),$B$208=1),$BM$275,HLOOKUP(INDIRECT(ADDRESS(2,COLUMN())),OFFSET($BN$2,0,0,ROW()-1,60),ROW()-1,FALSE))</f>
        <v/>
      </c>
      <c r="BN70">
        <f>20651</f>
        <v>20651</v>
      </c>
      <c r="BO70" t="str">
        <f>""</f>
        <v/>
      </c>
      <c r="BP70" t="str">
        <f>""</f>
        <v/>
      </c>
      <c r="BQ70" t="str">
        <f>""</f>
        <v/>
      </c>
      <c r="BR70">
        <f>20411</f>
        <v>20411</v>
      </c>
      <c r="BS70" t="str">
        <f>""</f>
        <v/>
      </c>
      <c r="BT70" t="str">
        <f>""</f>
        <v/>
      </c>
      <c r="BU70" t="str">
        <f>""</f>
        <v/>
      </c>
      <c r="BV70">
        <f>29972</f>
        <v>29972</v>
      </c>
      <c r="BW70" t="str">
        <f>""</f>
        <v/>
      </c>
      <c r="BX70" t="str">
        <f>""</f>
        <v/>
      </c>
      <c r="BY70" t="str">
        <f>""</f>
        <v/>
      </c>
      <c r="BZ70">
        <f>28139</f>
        <v>28139</v>
      </c>
      <c r="CA70" t="str">
        <f>""</f>
        <v/>
      </c>
      <c r="CB70" t="str">
        <f>""</f>
        <v/>
      </c>
      <c r="CC70" t="str">
        <f>""</f>
        <v/>
      </c>
      <c r="CD70">
        <f>41323</f>
        <v>41323</v>
      </c>
      <c r="CE70" t="str">
        <f>""</f>
        <v/>
      </c>
      <c r="CF70" t="str">
        <f>""</f>
        <v/>
      </c>
      <c r="CG70" t="str">
        <f>""</f>
        <v/>
      </c>
      <c r="CH70">
        <f>36784</f>
        <v>36784</v>
      </c>
      <c r="CI70" t="str">
        <f>""</f>
        <v/>
      </c>
      <c r="CJ70" t="str">
        <f>""</f>
        <v/>
      </c>
      <c r="CK70" t="str">
        <f>""</f>
        <v/>
      </c>
      <c r="CL70">
        <f>33915</f>
        <v>33915</v>
      </c>
      <c r="CM70" t="str">
        <f>""</f>
        <v/>
      </c>
      <c r="CN70" t="str">
        <f>""</f>
        <v/>
      </c>
      <c r="CO70" t="str">
        <f>""</f>
        <v/>
      </c>
      <c r="CP70">
        <f>44415</f>
        <v>44415</v>
      </c>
      <c r="CQ70" t="str">
        <f>""</f>
        <v/>
      </c>
      <c r="CR70" t="str">
        <f>""</f>
        <v/>
      </c>
      <c r="CS70" t="str">
        <f>""</f>
        <v/>
      </c>
      <c r="CT70">
        <f>67438</f>
        <v>67438</v>
      </c>
      <c r="CU70" t="str">
        <f>""</f>
        <v/>
      </c>
      <c r="CV70" t="str">
        <f>""</f>
        <v/>
      </c>
      <c r="CW70" t="str">
        <f>""</f>
        <v/>
      </c>
      <c r="CX70">
        <f>77594</f>
        <v>77594</v>
      </c>
      <c r="CY70" t="str">
        <f>""</f>
        <v/>
      </c>
      <c r="CZ70" t="str">
        <f>""</f>
        <v/>
      </c>
      <c r="DA70" t="str">
        <f>""</f>
        <v/>
      </c>
      <c r="DB70">
        <f>102279</f>
        <v>102279</v>
      </c>
      <c r="DC70" t="str">
        <f>""</f>
        <v/>
      </c>
      <c r="DD70" t="str">
        <f>""</f>
        <v/>
      </c>
      <c r="DE70" t="str">
        <f>""</f>
        <v/>
      </c>
      <c r="DF70">
        <f>69003</f>
        <v>69003</v>
      </c>
      <c r="DG70">
        <f>72427</f>
        <v>72427</v>
      </c>
      <c r="DH70">
        <f>76595</f>
        <v>76595</v>
      </c>
      <c r="DI70" t="str">
        <f>""</f>
        <v/>
      </c>
      <c r="DJ70">
        <f>115706</f>
        <v>115706</v>
      </c>
      <c r="DK70">
        <f>147970</f>
        <v>147970</v>
      </c>
      <c r="DL70">
        <f>155552</f>
        <v>155552</v>
      </c>
      <c r="DM70">
        <f>163410</f>
        <v>163410</v>
      </c>
      <c r="DN70">
        <f>169402</f>
        <v>169402</v>
      </c>
      <c r="DO70">
        <f>155133</f>
        <v>155133</v>
      </c>
      <c r="DP70">
        <f>81034</f>
        <v>81034</v>
      </c>
      <c r="DQ70">
        <f>81215</f>
        <v>81215</v>
      </c>
      <c r="DR70">
        <f>96099</f>
        <v>96099</v>
      </c>
      <c r="DS70">
        <f>137318</f>
        <v>137318</v>
      </c>
      <c r="DT70">
        <f>120250</f>
        <v>120250</v>
      </c>
      <c r="DU70" t="str">
        <f>""</f>
        <v/>
      </c>
    </row>
    <row r="71" spans="1:125" x14ac:dyDescent="0.25">
      <c r="A71" t="str">
        <f>"    Raiffeisen Bank International AG"</f>
        <v xml:space="preserve">    Raiffeisen Bank International AG</v>
      </c>
      <c r="B71" t="str">
        <f>"RBI AV Equity"</f>
        <v>RBI AV Equity</v>
      </c>
      <c r="C71" t="str">
        <f t="shared" si="3"/>
        <v>BM109</v>
      </c>
      <c r="D71" t="str">
        <f t="shared" si="4"/>
        <v>BS_TRADING_SECURITIES_DERIVS</v>
      </c>
      <c r="E71" t="str">
        <f t="shared" si="5"/>
        <v>Dynamic</v>
      </c>
      <c r="F71" t="str">
        <f ca="1">IF(AND(ISNUMBER($F$276),$B$208=1),$F$276,HLOOKUP(INDIRECT(ADDRESS(2,COLUMN())),OFFSET($BN$2,0,0,ROW()-1,60),ROW()-1,FALSE))</f>
        <v/>
      </c>
      <c r="G71" t="str">
        <f ca="1">IF(AND(ISNUMBER($G$276),$B$208=1),$G$276,HLOOKUP(INDIRECT(ADDRESS(2,COLUMN())),OFFSET($BN$2,0,0,ROW()-1,60),ROW()-1,FALSE))</f>
        <v/>
      </c>
      <c r="H71" t="str">
        <f ca="1">IF(AND(ISNUMBER($H$276),$B$208=1),$H$276,HLOOKUP(INDIRECT(ADDRESS(2,COLUMN())),OFFSET($BN$2,0,0,ROW()-1,60),ROW()-1,FALSE))</f>
        <v/>
      </c>
      <c r="I71" t="str">
        <f ca="1">IF(AND(ISNUMBER($I$276),$B$208=1),$I$276,HLOOKUP(INDIRECT(ADDRESS(2,COLUMN())),OFFSET($BN$2,0,0,ROW()-1,60),ROW()-1,FALSE))</f>
        <v/>
      </c>
      <c r="J71" t="str">
        <f ca="1">IF(AND(ISNUMBER($J$276),$B$208=1),$J$276,HLOOKUP(INDIRECT(ADDRESS(2,COLUMN())),OFFSET($BN$2,0,0,ROW()-1,60),ROW()-1,FALSE))</f>
        <v/>
      </c>
      <c r="K71" t="str">
        <f ca="1">IF(AND(ISNUMBER($K$276),$B$208=1),$K$276,HLOOKUP(INDIRECT(ADDRESS(2,COLUMN())),OFFSET($BN$2,0,0,ROW()-1,60),ROW()-1,FALSE))</f>
        <v/>
      </c>
      <c r="L71" t="str">
        <f ca="1">IF(AND(ISNUMBER($L$276),$B$208=1),$L$276,HLOOKUP(INDIRECT(ADDRESS(2,COLUMN())),OFFSET($BN$2,0,0,ROW()-1,60),ROW()-1,FALSE))</f>
        <v/>
      </c>
      <c r="M71" t="str">
        <f ca="1">IF(AND(ISNUMBER($M$276),$B$208=1),$M$276,HLOOKUP(INDIRECT(ADDRESS(2,COLUMN())),OFFSET($BN$2,0,0,ROW()-1,60),ROW()-1,FALSE))</f>
        <v/>
      </c>
      <c r="N71" t="str">
        <f ca="1">IF(AND(ISNUMBER($N$276),$B$208=1),$N$276,HLOOKUP(INDIRECT(ADDRESS(2,COLUMN())),OFFSET($BN$2,0,0,ROW()-1,60),ROW()-1,FALSE))</f>
        <v/>
      </c>
      <c r="O71" t="str">
        <f ca="1">IF(AND(ISNUMBER($O$276),$B$208=1),$O$276,HLOOKUP(INDIRECT(ADDRESS(2,COLUMN())),OFFSET($BN$2,0,0,ROW()-1,60),ROW()-1,FALSE))</f>
        <v/>
      </c>
      <c r="P71" t="str">
        <f ca="1">IF(AND(ISNUMBER($P$276),$B$208=1),$P$276,HLOOKUP(INDIRECT(ADDRESS(2,COLUMN())),OFFSET($BN$2,0,0,ROW()-1,60),ROW()-1,FALSE))</f>
        <v/>
      </c>
      <c r="Q71" t="str">
        <f ca="1">IF(AND(ISNUMBER($Q$276),$B$208=1),$Q$276,HLOOKUP(INDIRECT(ADDRESS(2,COLUMN())),OFFSET($BN$2,0,0,ROW()-1,60),ROW()-1,FALSE))</f>
        <v/>
      </c>
      <c r="R71" t="str">
        <f ca="1">IF(AND(ISNUMBER($R$276),$B$208=1),$R$276,HLOOKUP(INDIRECT(ADDRESS(2,COLUMN())),OFFSET($BN$2,0,0,ROW()-1,60),ROW()-1,FALSE))</f>
        <v/>
      </c>
      <c r="S71" t="str">
        <f ca="1">IF(AND(ISNUMBER($S$276),$B$208=1),$S$276,HLOOKUP(INDIRECT(ADDRESS(2,COLUMN())),OFFSET($BN$2,0,0,ROW()-1,60),ROW()-1,FALSE))</f>
        <v/>
      </c>
      <c r="T71" t="str">
        <f ca="1">IF(AND(ISNUMBER($T$276),$B$208=1),$T$276,HLOOKUP(INDIRECT(ADDRESS(2,COLUMN())),OFFSET($BN$2,0,0,ROW()-1,60),ROW()-1,FALSE))</f>
        <v/>
      </c>
      <c r="U71" t="str">
        <f ca="1">IF(AND(ISNUMBER($U$276),$B$208=1),$U$276,HLOOKUP(INDIRECT(ADDRESS(2,COLUMN())),OFFSET($BN$2,0,0,ROW()-1,60),ROW()-1,FALSE))</f>
        <v/>
      </c>
      <c r="V71" t="str">
        <f ca="1">IF(AND(ISNUMBER($V$276),$B$208=1),$V$276,HLOOKUP(INDIRECT(ADDRESS(2,COLUMN())),OFFSET($BN$2,0,0,ROW()-1,60),ROW()-1,FALSE))</f>
        <v/>
      </c>
      <c r="W71" t="str">
        <f ca="1">IF(AND(ISNUMBER($W$276),$B$208=1),$W$276,HLOOKUP(INDIRECT(ADDRESS(2,COLUMN())),OFFSET($BN$2,0,0,ROW()-1,60),ROW()-1,FALSE))</f>
        <v/>
      </c>
      <c r="X71" t="str">
        <f ca="1">IF(AND(ISNUMBER($X$276),$B$208=1),$X$276,HLOOKUP(INDIRECT(ADDRESS(2,COLUMN())),OFFSET($BN$2,0,0,ROW()-1,60),ROW()-1,FALSE))</f>
        <v/>
      </c>
      <c r="Y71" t="str">
        <f ca="1">IF(AND(ISNUMBER($Y$276),$B$208=1),$Y$276,HLOOKUP(INDIRECT(ADDRESS(2,COLUMN())),OFFSET($BN$2,0,0,ROW()-1,60),ROW()-1,FALSE))</f>
        <v/>
      </c>
      <c r="Z71" t="str">
        <f ca="1">IF(AND(ISNUMBER($Z$276),$B$208=1),$Z$276,HLOOKUP(INDIRECT(ADDRESS(2,COLUMN())),OFFSET($BN$2,0,0,ROW()-1,60),ROW()-1,FALSE))</f>
        <v/>
      </c>
      <c r="AA71">
        <f ca="1">IF(AND(ISNUMBER($AA$276),$B$208=1),$AA$276,HLOOKUP(INDIRECT(ADDRESS(2,COLUMN())),OFFSET($BN$2,0,0,ROW()-1,60),ROW()-1,FALSE))</f>
        <v>2282</v>
      </c>
      <c r="AB71">
        <f ca="1">IF(AND(ISNUMBER($AB$276),$B$208=1),$AB$276,HLOOKUP(INDIRECT(ADDRESS(2,COLUMN())),OFFSET($BN$2,0,0,ROW()-1,60),ROW()-1,FALSE))</f>
        <v>2018</v>
      </c>
      <c r="AC71">
        <f ca="1">IF(AND(ISNUMBER($AC$276),$B$208=1),$AC$276,HLOOKUP(INDIRECT(ADDRESS(2,COLUMN())),OFFSET($BN$2,0,0,ROW()-1,60),ROW()-1,FALSE))</f>
        <v>2033</v>
      </c>
      <c r="AD71" t="str">
        <f ca="1">IF(AND(ISNUMBER($AD$276),$B$208=1),$AD$276,HLOOKUP(INDIRECT(ADDRESS(2,COLUMN())),OFFSET($BN$2,0,0,ROW()-1,60),ROW()-1,FALSE))</f>
        <v/>
      </c>
      <c r="AE71">
        <f ca="1">IF(AND(ISNUMBER($AE$276),$B$208=1),$AE$276,HLOOKUP(INDIRECT(ADDRESS(2,COLUMN())),OFFSET($BN$2,0,0,ROW()-1,60),ROW()-1,FALSE))</f>
        <v>1850</v>
      </c>
      <c r="AF71">
        <f ca="1">IF(AND(ISNUMBER($AF$276),$B$208=1),$AF$276,HLOOKUP(INDIRECT(ADDRESS(2,COLUMN())),OFFSET($BN$2,0,0,ROW()-1,60),ROW()-1,FALSE))</f>
        <v>2028</v>
      </c>
      <c r="AG71">
        <f ca="1">IF(AND(ISNUMBER($AG$276),$B$208=1),$AG$276,HLOOKUP(INDIRECT(ADDRESS(2,COLUMN())),OFFSET($BN$2,0,0,ROW()-1,60),ROW()-1,FALSE))</f>
        <v>1994</v>
      </c>
      <c r="AH71" t="str">
        <f ca="1">IF(AND(ISNUMBER($AH$276),$B$208=1),$AH$276,HLOOKUP(INDIRECT(ADDRESS(2,COLUMN())),OFFSET($BN$2,0,0,ROW()-1,60),ROW()-1,FALSE))</f>
        <v/>
      </c>
      <c r="AI71">
        <f ca="1">IF(AND(ISNUMBER($AI$276),$B$208=1),$AI$276,HLOOKUP(INDIRECT(ADDRESS(2,COLUMN())),OFFSET($BN$2,0,0,ROW()-1,60),ROW()-1,FALSE))</f>
        <v>2122</v>
      </c>
      <c r="AJ71">
        <f ca="1">IF(AND(ISNUMBER($AJ$276),$B$208=1),$AJ$276,HLOOKUP(INDIRECT(ADDRESS(2,COLUMN())),OFFSET($BN$2,0,0,ROW()-1,60),ROW()-1,FALSE))</f>
        <v>2302</v>
      </c>
      <c r="AK71" t="str">
        <f ca="1">IF(AND(ISNUMBER($AK$276),$B$208=1),$AK$276,HLOOKUP(INDIRECT(ADDRESS(2,COLUMN())),OFFSET($BN$2,0,0,ROW()-1,60),ROW()-1,FALSE))</f>
        <v/>
      </c>
      <c r="AL71" t="str">
        <f ca="1">IF(AND(ISNUMBER($AL$276),$B$208=1),$AL$276,HLOOKUP(INDIRECT(ADDRESS(2,COLUMN())),OFFSET($BN$2,0,0,ROW()-1,60),ROW()-1,FALSE))</f>
        <v/>
      </c>
      <c r="AM71" t="str">
        <f ca="1">IF(AND(ISNUMBER($AM$276),$B$208=1),$AM$276,HLOOKUP(INDIRECT(ADDRESS(2,COLUMN())),OFFSET($BN$2,0,0,ROW()-1,60),ROW()-1,FALSE))</f>
        <v/>
      </c>
      <c r="AN71" t="str">
        <f ca="1">IF(AND(ISNUMBER($AN$276),$B$208=1),$AN$276,HLOOKUP(INDIRECT(ADDRESS(2,COLUMN())),OFFSET($BN$2,0,0,ROW()-1,60),ROW()-1,FALSE))</f>
        <v/>
      </c>
      <c r="AO71" t="str">
        <f ca="1">IF(AND(ISNUMBER($AO$276),$B$208=1),$AO$276,HLOOKUP(INDIRECT(ADDRESS(2,COLUMN())),OFFSET($BN$2,0,0,ROW()-1,60),ROW()-1,FALSE))</f>
        <v/>
      </c>
      <c r="AP71" t="str">
        <f ca="1">IF(AND(ISNUMBER($AP$276),$B$208=1),$AP$276,HLOOKUP(INDIRECT(ADDRESS(2,COLUMN())),OFFSET($BN$2,0,0,ROW()-1,60),ROW()-1,FALSE))</f>
        <v/>
      </c>
      <c r="AQ71" t="str">
        <f ca="1">IF(AND(ISNUMBER($AQ$276),$B$208=1),$AQ$276,HLOOKUP(INDIRECT(ADDRESS(2,COLUMN())),OFFSET($BN$2,0,0,ROW()-1,60),ROW()-1,FALSE))</f>
        <v/>
      </c>
      <c r="AR71" t="str">
        <f ca="1">IF(AND(ISNUMBER($AR$276),$B$208=1),$AR$276,HLOOKUP(INDIRECT(ADDRESS(2,COLUMN())),OFFSET($BN$2,0,0,ROW()-1,60),ROW()-1,FALSE))</f>
        <v/>
      </c>
      <c r="AS71" t="str">
        <f ca="1">IF(AND(ISNUMBER($AS$276),$B$208=1),$AS$276,HLOOKUP(INDIRECT(ADDRESS(2,COLUMN())),OFFSET($BN$2,0,0,ROW()-1,60),ROW()-1,FALSE))</f>
        <v/>
      </c>
      <c r="AT71" t="str">
        <f ca="1">IF(AND(ISNUMBER($AT$276),$B$208=1),$AT$276,HLOOKUP(INDIRECT(ADDRESS(2,COLUMN())),OFFSET($BN$2,0,0,ROW()-1,60),ROW()-1,FALSE))</f>
        <v/>
      </c>
      <c r="AU71" t="str">
        <f ca="1">IF(AND(ISNUMBER($AU$276),$B$208=1),$AU$276,HLOOKUP(INDIRECT(ADDRESS(2,COLUMN())),OFFSET($BN$2,0,0,ROW()-1,60),ROW()-1,FALSE))</f>
        <v/>
      </c>
      <c r="AV71" t="str">
        <f ca="1">IF(AND(ISNUMBER($AV$276),$B$208=1),$AV$276,HLOOKUP(INDIRECT(ADDRESS(2,COLUMN())),OFFSET($BN$2,0,0,ROW()-1,60),ROW()-1,FALSE))</f>
        <v/>
      </c>
      <c r="AW71" t="str">
        <f ca="1">IF(AND(ISNUMBER($AW$276),$B$208=1),$AW$276,HLOOKUP(INDIRECT(ADDRESS(2,COLUMN())),OFFSET($BN$2,0,0,ROW()-1,60),ROW()-1,FALSE))</f>
        <v/>
      </c>
      <c r="AX71" t="str">
        <f ca="1">IF(AND(ISNUMBER($AX$276),$B$208=1),$AX$276,HLOOKUP(INDIRECT(ADDRESS(2,COLUMN())),OFFSET($BN$2,0,0,ROW()-1,60),ROW()-1,FALSE))</f>
        <v/>
      </c>
      <c r="AY71" t="str">
        <f ca="1">IF(AND(ISNUMBER($AY$276),$B$208=1),$AY$276,HLOOKUP(INDIRECT(ADDRESS(2,COLUMN())),OFFSET($BN$2,0,0,ROW()-1,60),ROW()-1,FALSE))</f>
        <v/>
      </c>
      <c r="AZ71" t="str">
        <f ca="1">IF(AND(ISNUMBER($AZ$276),$B$208=1),$AZ$276,HLOOKUP(INDIRECT(ADDRESS(2,COLUMN())),OFFSET($BN$2,0,0,ROW()-1,60),ROW()-1,FALSE))</f>
        <v/>
      </c>
      <c r="BA71" t="str">
        <f ca="1">IF(AND(ISNUMBER($BA$276),$B$208=1),$BA$276,HLOOKUP(INDIRECT(ADDRESS(2,COLUMN())),OFFSET($BN$2,0,0,ROW()-1,60),ROW()-1,FALSE))</f>
        <v/>
      </c>
      <c r="BB71" t="str">
        <f ca="1">IF(AND(ISNUMBER($BB$276),$B$208=1),$BB$276,HLOOKUP(INDIRECT(ADDRESS(2,COLUMN())),OFFSET($BN$2,0,0,ROW()-1,60),ROW()-1,FALSE))</f>
        <v/>
      </c>
      <c r="BC71" t="str">
        <f ca="1">IF(AND(ISNUMBER($BC$276),$B$208=1),$BC$276,HLOOKUP(INDIRECT(ADDRESS(2,COLUMN())),OFFSET($BN$2,0,0,ROW()-1,60),ROW()-1,FALSE))</f>
        <v/>
      </c>
      <c r="BD71" t="str">
        <f ca="1">IF(AND(ISNUMBER($BD$276),$B$208=1),$BD$276,HLOOKUP(INDIRECT(ADDRESS(2,COLUMN())),OFFSET($BN$2,0,0,ROW()-1,60),ROW()-1,FALSE))</f>
        <v/>
      </c>
      <c r="BE71" t="str">
        <f ca="1">IF(AND(ISNUMBER($BE$276),$B$208=1),$BE$276,HLOOKUP(INDIRECT(ADDRESS(2,COLUMN())),OFFSET($BN$2,0,0,ROW()-1,60),ROW()-1,FALSE))</f>
        <v/>
      </c>
      <c r="BF71" t="str">
        <f ca="1">IF(AND(ISNUMBER($BF$276),$B$208=1),$BF$276,HLOOKUP(INDIRECT(ADDRESS(2,COLUMN())),OFFSET($BN$2,0,0,ROW()-1,60),ROW()-1,FALSE))</f>
        <v/>
      </c>
      <c r="BG71" t="str">
        <f ca="1">IF(AND(ISNUMBER($BG$276),$B$208=1),$BG$276,HLOOKUP(INDIRECT(ADDRESS(2,COLUMN())),OFFSET($BN$2,0,0,ROW()-1,60),ROW()-1,FALSE))</f>
        <v/>
      </c>
      <c r="BH71" t="str">
        <f ca="1">IF(AND(ISNUMBER($BH$276),$B$208=1),$BH$276,HLOOKUP(INDIRECT(ADDRESS(2,COLUMN())),OFFSET($BN$2,0,0,ROW()-1,60),ROW()-1,FALSE))</f>
        <v/>
      </c>
      <c r="BI71" t="str">
        <f ca="1">IF(AND(ISNUMBER($BI$276),$B$208=1),$BI$276,HLOOKUP(INDIRECT(ADDRESS(2,COLUMN())),OFFSET($BN$2,0,0,ROW()-1,60),ROW()-1,FALSE))</f>
        <v/>
      </c>
      <c r="BJ71" t="str">
        <f ca="1">IF(AND(ISNUMBER($BJ$276),$B$208=1),$BJ$276,HLOOKUP(INDIRECT(ADDRESS(2,COLUMN())),OFFSET($BN$2,0,0,ROW()-1,60),ROW()-1,FALSE))</f>
        <v/>
      </c>
      <c r="BK71" t="str">
        <f ca="1">IF(AND(ISNUMBER($BK$276),$B$208=1),$BK$276,HLOOKUP(INDIRECT(ADDRESS(2,COLUMN())),OFFSET($BN$2,0,0,ROW()-1,60),ROW()-1,FALSE))</f>
        <v/>
      </c>
      <c r="BL71" t="str">
        <f ca="1">IF(AND(ISNUMBER($BL$276),$B$208=1),$BL$276,HLOOKUP(INDIRECT(ADDRESS(2,COLUMN())),OFFSET($BN$2,0,0,ROW()-1,60),ROW()-1,FALSE))</f>
        <v/>
      </c>
      <c r="BM71" t="str">
        <f ca="1">IF(AND(ISNUMBER($BM$276),$B$208=1),$BM$276,HLOOKUP(INDIRECT(ADDRESS(2,COLUMN())),OFFSET($BN$2,0,0,ROW()-1,60),ROW()-1,FALSE))</f>
        <v/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  <c r="BT71" t="str">
        <f>""</f>
        <v/>
      </c>
      <c r="BU71" t="str">
        <f>""</f>
        <v/>
      </c>
      <c r="BV71" t="str">
        <f>""</f>
        <v/>
      </c>
      <c r="BW71" t="str">
        <f>""</f>
        <v/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  <c r="CH71" t="str">
        <f>""</f>
        <v/>
      </c>
      <c r="CI71">
        <f>2282</f>
        <v>2282</v>
      </c>
      <c r="CJ71">
        <f>2018</f>
        <v>2018</v>
      </c>
      <c r="CK71">
        <f>2033</f>
        <v>2033</v>
      </c>
      <c r="CL71" t="str">
        <f>""</f>
        <v/>
      </c>
      <c r="CM71">
        <f>1850</f>
        <v>1850</v>
      </c>
      <c r="CN71">
        <f>2028</f>
        <v>2028</v>
      </c>
      <c r="CO71">
        <f>1994</f>
        <v>1994</v>
      </c>
      <c r="CP71" t="str">
        <f>""</f>
        <v/>
      </c>
      <c r="CQ71">
        <f>2122</f>
        <v>2122</v>
      </c>
      <c r="CR71">
        <f>2302</f>
        <v>2302</v>
      </c>
      <c r="CS71" t="str">
        <f>""</f>
        <v/>
      </c>
      <c r="CT71" t="str">
        <f>""</f>
        <v/>
      </c>
      <c r="CU71" t="str">
        <f>""</f>
        <v/>
      </c>
      <c r="CV71" t="str">
        <f>""</f>
        <v/>
      </c>
      <c r="CW71" t="str">
        <f>""</f>
        <v/>
      </c>
      <c r="CX71" t="str">
        <f>""</f>
        <v/>
      </c>
      <c r="CY71" t="str">
        <f>""</f>
        <v/>
      </c>
      <c r="CZ71" t="str">
        <f>""</f>
        <v/>
      </c>
      <c r="DA71" t="str">
        <f>""</f>
        <v/>
      </c>
      <c r="DB71" t="str">
        <f>""</f>
        <v/>
      </c>
      <c r="DC71" t="str">
        <f>""</f>
        <v/>
      </c>
      <c r="DD71" t="str">
        <f>""</f>
        <v/>
      </c>
      <c r="DE71" t="str">
        <f>""</f>
        <v/>
      </c>
      <c r="DF71" t="str">
        <f>""</f>
        <v/>
      </c>
      <c r="DG71" t="str">
        <f>""</f>
        <v/>
      </c>
      <c r="DH71" t="str">
        <f>""</f>
        <v/>
      </c>
      <c r="DI71" t="str">
        <f>""</f>
        <v/>
      </c>
      <c r="DJ71" t="str">
        <f>""</f>
        <v/>
      </c>
      <c r="DK71" t="str">
        <f>""</f>
        <v/>
      </c>
      <c r="DL71" t="str">
        <f>""</f>
        <v/>
      </c>
      <c r="DM71" t="str">
        <f>""</f>
        <v/>
      </c>
      <c r="DN71" t="str">
        <f>""</f>
        <v/>
      </c>
      <c r="DO71" t="str">
        <f>""</f>
        <v/>
      </c>
      <c r="DP71" t="str">
        <f>""</f>
        <v/>
      </c>
      <c r="DQ71" t="str">
        <f>""</f>
        <v/>
      </c>
      <c r="DR71" t="str">
        <f>""</f>
        <v/>
      </c>
      <c r="DS71" t="str">
        <f>""</f>
        <v/>
      </c>
      <c r="DT71" t="str">
        <f>""</f>
        <v/>
      </c>
      <c r="DU71" t="str">
        <f>""</f>
        <v/>
      </c>
    </row>
    <row r="72" spans="1:125" x14ac:dyDescent="0.25">
      <c r="A72" t="str">
        <f>"    Skandinaviska Enskilda Banken AB"</f>
        <v xml:space="preserve">    Skandinaviska Enskilda Banken AB</v>
      </c>
      <c r="B72" t="str">
        <f>"SEBA SS Equity"</f>
        <v>SEBA SS Equity</v>
      </c>
      <c r="C72" t="str">
        <f t="shared" si="3"/>
        <v>BM109</v>
      </c>
      <c r="D72" t="str">
        <f t="shared" si="4"/>
        <v>BS_TRADING_SECURITIES_DERIVS</v>
      </c>
      <c r="E72" t="str">
        <f t="shared" si="5"/>
        <v>Dynamic</v>
      </c>
      <c r="F72" t="str">
        <f ca="1">IF(AND(ISNUMBER($F$277),$B$208=1),$F$277,HLOOKUP(INDIRECT(ADDRESS(2,COLUMN())),OFFSET($BN$2,0,0,ROW()-1,60),ROW()-1,FALSE))</f>
        <v/>
      </c>
      <c r="G72" t="str">
        <f ca="1">IF(AND(ISNUMBER($G$277),$B$208=1),$G$277,HLOOKUP(INDIRECT(ADDRESS(2,COLUMN())),OFFSET($BN$2,0,0,ROW()-1,60),ROW()-1,FALSE))</f>
        <v/>
      </c>
      <c r="H72" t="str">
        <f ca="1">IF(AND(ISNUMBER($H$277),$B$208=1),$H$277,HLOOKUP(INDIRECT(ADDRESS(2,COLUMN())),OFFSET($BN$2,0,0,ROW()-1,60),ROW()-1,FALSE))</f>
        <v/>
      </c>
      <c r="I72" t="str">
        <f ca="1">IF(AND(ISNUMBER($I$277),$B$208=1),$I$277,HLOOKUP(INDIRECT(ADDRESS(2,COLUMN())),OFFSET($BN$2,0,0,ROW()-1,60),ROW()-1,FALSE))</f>
        <v/>
      </c>
      <c r="J72" t="str">
        <f ca="1">IF(AND(ISNUMBER($J$277),$B$208=1),$J$277,HLOOKUP(INDIRECT(ADDRESS(2,COLUMN())),OFFSET($BN$2,0,0,ROW()-1,60),ROW()-1,FALSE))</f>
        <v/>
      </c>
      <c r="K72" t="str">
        <f ca="1">IF(AND(ISNUMBER($K$277),$B$208=1),$K$277,HLOOKUP(INDIRECT(ADDRESS(2,COLUMN())),OFFSET($BN$2,0,0,ROW()-1,60),ROW()-1,FALSE))</f>
        <v/>
      </c>
      <c r="L72" t="str">
        <f ca="1">IF(AND(ISNUMBER($L$277),$B$208=1),$L$277,HLOOKUP(INDIRECT(ADDRESS(2,COLUMN())),OFFSET($BN$2,0,0,ROW()-1,60),ROW()-1,FALSE))</f>
        <v/>
      </c>
      <c r="M72" t="str">
        <f ca="1">IF(AND(ISNUMBER($M$277),$B$208=1),$M$277,HLOOKUP(INDIRECT(ADDRESS(2,COLUMN())),OFFSET($BN$2,0,0,ROW()-1,60),ROW()-1,FALSE))</f>
        <v/>
      </c>
      <c r="N72" t="str">
        <f ca="1">IF(AND(ISNUMBER($N$277),$B$208=1),$N$277,HLOOKUP(INDIRECT(ADDRESS(2,COLUMN())),OFFSET($BN$2,0,0,ROW()-1,60),ROW()-1,FALSE))</f>
        <v/>
      </c>
      <c r="O72" t="str">
        <f ca="1">IF(AND(ISNUMBER($O$277),$B$208=1),$O$277,HLOOKUP(INDIRECT(ADDRESS(2,COLUMN())),OFFSET($BN$2,0,0,ROW()-1,60),ROW()-1,FALSE))</f>
        <v/>
      </c>
      <c r="P72" t="str">
        <f ca="1">IF(AND(ISNUMBER($P$277),$B$208=1),$P$277,HLOOKUP(INDIRECT(ADDRESS(2,COLUMN())),OFFSET($BN$2,0,0,ROW()-1,60),ROW()-1,FALSE))</f>
        <v/>
      </c>
      <c r="Q72" t="str">
        <f ca="1">IF(AND(ISNUMBER($Q$277),$B$208=1),$Q$277,HLOOKUP(INDIRECT(ADDRESS(2,COLUMN())),OFFSET($BN$2,0,0,ROW()-1,60),ROW()-1,FALSE))</f>
        <v/>
      </c>
      <c r="R72" t="str">
        <f ca="1">IF(AND(ISNUMBER($R$277),$B$208=1),$R$277,HLOOKUP(INDIRECT(ADDRESS(2,COLUMN())),OFFSET($BN$2,0,0,ROW()-1,60),ROW()-1,FALSE))</f>
        <v/>
      </c>
      <c r="S72" t="str">
        <f ca="1">IF(AND(ISNUMBER($S$277),$B$208=1),$S$277,HLOOKUP(INDIRECT(ADDRESS(2,COLUMN())),OFFSET($BN$2,0,0,ROW()-1,60),ROW()-1,FALSE))</f>
        <v/>
      </c>
      <c r="T72" t="str">
        <f ca="1">IF(AND(ISNUMBER($T$277),$B$208=1),$T$277,HLOOKUP(INDIRECT(ADDRESS(2,COLUMN())),OFFSET($BN$2,0,0,ROW()-1,60),ROW()-1,FALSE))</f>
        <v/>
      </c>
      <c r="U72" t="str">
        <f ca="1">IF(AND(ISNUMBER($U$277),$B$208=1),$U$277,HLOOKUP(INDIRECT(ADDRESS(2,COLUMN())),OFFSET($BN$2,0,0,ROW()-1,60),ROW()-1,FALSE))</f>
        <v/>
      </c>
      <c r="V72" t="str">
        <f ca="1">IF(AND(ISNUMBER($V$277),$B$208=1),$V$277,HLOOKUP(INDIRECT(ADDRESS(2,COLUMN())),OFFSET($BN$2,0,0,ROW()-1,60),ROW()-1,FALSE))</f>
        <v/>
      </c>
      <c r="W72" t="str">
        <f ca="1">IF(AND(ISNUMBER($W$277),$B$208=1),$W$277,HLOOKUP(INDIRECT(ADDRESS(2,COLUMN())),OFFSET($BN$2,0,0,ROW()-1,60),ROW()-1,FALSE))</f>
        <v/>
      </c>
      <c r="X72" t="str">
        <f ca="1">IF(AND(ISNUMBER($X$277),$B$208=1),$X$277,HLOOKUP(INDIRECT(ADDRESS(2,COLUMN())),OFFSET($BN$2,0,0,ROW()-1,60),ROW()-1,FALSE))</f>
        <v/>
      </c>
      <c r="Y72" t="str">
        <f ca="1">IF(AND(ISNUMBER($Y$277),$B$208=1),$Y$277,HLOOKUP(INDIRECT(ADDRESS(2,COLUMN())),OFFSET($BN$2,0,0,ROW()-1,60),ROW()-1,FALSE))</f>
        <v/>
      </c>
      <c r="Z72" t="str">
        <f ca="1">IF(AND(ISNUMBER($Z$277),$B$208=1),$Z$277,HLOOKUP(INDIRECT(ADDRESS(2,COLUMN())),OFFSET($BN$2,0,0,ROW()-1,60),ROW()-1,FALSE))</f>
        <v/>
      </c>
      <c r="AA72" t="str">
        <f ca="1">IF(AND(ISNUMBER($AA$277),$B$208=1),$AA$277,HLOOKUP(INDIRECT(ADDRESS(2,COLUMN())),OFFSET($BN$2,0,0,ROW()-1,60),ROW()-1,FALSE))</f>
        <v/>
      </c>
      <c r="AB72" t="str">
        <f ca="1">IF(AND(ISNUMBER($AB$277),$B$208=1),$AB$277,HLOOKUP(INDIRECT(ADDRESS(2,COLUMN())),OFFSET($BN$2,0,0,ROW()-1,60),ROW()-1,FALSE))</f>
        <v/>
      </c>
      <c r="AC72" t="str">
        <f ca="1">IF(AND(ISNUMBER($AC$277),$B$208=1),$AC$277,HLOOKUP(INDIRECT(ADDRESS(2,COLUMN())),OFFSET($BN$2,0,0,ROW()-1,60),ROW()-1,FALSE))</f>
        <v/>
      </c>
      <c r="AD72" t="str">
        <f ca="1">IF(AND(ISNUMBER($AD$277),$B$208=1),$AD$277,HLOOKUP(INDIRECT(ADDRESS(2,COLUMN())),OFFSET($BN$2,0,0,ROW()-1,60),ROW()-1,FALSE))</f>
        <v/>
      </c>
      <c r="AE72" t="str">
        <f ca="1">IF(AND(ISNUMBER($AE$277),$B$208=1),$AE$277,HLOOKUP(INDIRECT(ADDRESS(2,COLUMN())),OFFSET($BN$2,0,0,ROW()-1,60),ROW()-1,FALSE))</f>
        <v/>
      </c>
      <c r="AF72" t="str">
        <f ca="1">IF(AND(ISNUMBER($AF$277),$B$208=1),$AF$277,HLOOKUP(INDIRECT(ADDRESS(2,COLUMN())),OFFSET($BN$2,0,0,ROW()-1,60),ROW()-1,FALSE))</f>
        <v/>
      </c>
      <c r="AG72" t="str">
        <f ca="1">IF(AND(ISNUMBER($AG$277),$B$208=1),$AG$277,HLOOKUP(INDIRECT(ADDRESS(2,COLUMN())),OFFSET($BN$2,0,0,ROW()-1,60),ROW()-1,FALSE))</f>
        <v/>
      </c>
      <c r="AH72" t="str">
        <f ca="1">IF(AND(ISNUMBER($AH$277),$B$208=1),$AH$277,HLOOKUP(INDIRECT(ADDRESS(2,COLUMN())),OFFSET($BN$2,0,0,ROW()-1,60),ROW()-1,FALSE))</f>
        <v/>
      </c>
      <c r="AI72" t="str">
        <f ca="1">IF(AND(ISNUMBER($AI$277),$B$208=1),$AI$277,HLOOKUP(INDIRECT(ADDRESS(2,COLUMN())),OFFSET($BN$2,0,0,ROW()-1,60),ROW()-1,FALSE))</f>
        <v/>
      </c>
      <c r="AJ72" t="str">
        <f ca="1">IF(AND(ISNUMBER($AJ$277),$B$208=1),$AJ$277,HLOOKUP(INDIRECT(ADDRESS(2,COLUMN())),OFFSET($BN$2,0,0,ROW()-1,60),ROW()-1,FALSE))</f>
        <v/>
      </c>
      <c r="AK72" t="str">
        <f ca="1">IF(AND(ISNUMBER($AK$277),$B$208=1),$AK$277,HLOOKUP(INDIRECT(ADDRESS(2,COLUMN())),OFFSET($BN$2,0,0,ROW()-1,60),ROW()-1,FALSE))</f>
        <v/>
      </c>
      <c r="AL72">
        <f ca="1">IF(AND(ISNUMBER($AL$277),$B$208=1),$AL$277,HLOOKUP(INDIRECT(ADDRESS(2,COLUMN())),OFFSET($BN$2,0,0,ROW()-1,60),ROW()-1,FALSE))</f>
        <v>20688.49223</v>
      </c>
      <c r="AM72" t="str">
        <f ca="1">IF(AND(ISNUMBER($AM$277),$B$208=1),$AM$277,HLOOKUP(INDIRECT(ADDRESS(2,COLUMN())),OFFSET($BN$2,0,0,ROW()-1,60),ROW()-1,FALSE))</f>
        <v/>
      </c>
      <c r="AN72" t="str">
        <f ca="1">IF(AND(ISNUMBER($AN$277),$B$208=1),$AN$277,HLOOKUP(INDIRECT(ADDRESS(2,COLUMN())),OFFSET($BN$2,0,0,ROW()-1,60),ROW()-1,FALSE))</f>
        <v/>
      </c>
      <c r="AO72" t="str">
        <f ca="1">IF(AND(ISNUMBER($AO$277),$B$208=1),$AO$277,HLOOKUP(INDIRECT(ADDRESS(2,COLUMN())),OFFSET($BN$2,0,0,ROW()-1,60),ROW()-1,FALSE))</f>
        <v/>
      </c>
      <c r="AP72">
        <f ca="1">IF(AND(ISNUMBER($AP$277),$B$208=1),$AP$277,HLOOKUP(INDIRECT(ADDRESS(2,COLUMN())),OFFSET($BN$2,0,0,ROW()-1,60),ROW()-1,FALSE))</f>
        <v>21668.791020000001</v>
      </c>
      <c r="AQ72" t="str">
        <f ca="1">IF(AND(ISNUMBER($AQ$277),$B$208=1),$AQ$277,HLOOKUP(INDIRECT(ADDRESS(2,COLUMN())),OFFSET($BN$2,0,0,ROW()-1,60),ROW()-1,FALSE))</f>
        <v/>
      </c>
      <c r="AR72" t="str">
        <f ca="1">IF(AND(ISNUMBER($AR$277),$B$208=1),$AR$277,HLOOKUP(INDIRECT(ADDRESS(2,COLUMN())),OFFSET($BN$2,0,0,ROW()-1,60),ROW()-1,FALSE))</f>
        <v/>
      </c>
      <c r="AS72" t="str">
        <f ca="1">IF(AND(ISNUMBER($AS$277),$B$208=1),$AS$277,HLOOKUP(INDIRECT(ADDRESS(2,COLUMN())),OFFSET($BN$2,0,0,ROW()-1,60),ROW()-1,FALSE))</f>
        <v/>
      </c>
      <c r="AT72">
        <f ca="1">IF(AND(ISNUMBER($AT$277),$B$208=1),$AT$277,HLOOKUP(INDIRECT(ADDRESS(2,COLUMN())),OFFSET($BN$2,0,0,ROW()-1,60),ROW()-1,FALSE))</f>
        <v>26590.909090000001</v>
      </c>
      <c r="AU72" t="str">
        <f ca="1">IF(AND(ISNUMBER($AU$277),$B$208=1),$AU$277,HLOOKUP(INDIRECT(ADDRESS(2,COLUMN())),OFFSET($BN$2,0,0,ROW()-1,60),ROW()-1,FALSE))</f>
        <v/>
      </c>
      <c r="AV72" t="str">
        <f ca="1">IF(AND(ISNUMBER($AV$277),$B$208=1),$AV$277,HLOOKUP(INDIRECT(ADDRESS(2,COLUMN())),OFFSET($BN$2,0,0,ROW()-1,60),ROW()-1,FALSE))</f>
        <v/>
      </c>
      <c r="AW72" t="str">
        <f ca="1">IF(AND(ISNUMBER($AW$277),$B$208=1),$AW$277,HLOOKUP(INDIRECT(ADDRESS(2,COLUMN())),OFFSET($BN$2,0,0,ROW()-1,60),ROW()-1,FALSE))</f>
        <v/>
      </c>
      <c r="AX72">
        <f ca="1">IF(AND(ISNUMBER($AX$277),$B$208=1),$AX$277,HLOOKUP(INDIRECT(ADDRESS(2,COLUMN())),OFFSET($BN$2,0,0,ROW()-1,60),ROW()-1,FALSE))</f>
        <v>14660.28512</v>
      </c>
      <c r="AY72" t="str">
        <f ca="1">IF(AND(ISNUMBER($AY$277),$B$208=1),$AY$277,HLOOKUP(INDIRECT(ADDRESS(2,COLUMN())),OFFSET($BN$2,0,0,ROW()-1,60),ROW()-1,FALSE))</f>
        <v/>
      </c>
      <c r="AZ72" t="str">
        <f ca="1">IF(AND(ISNUMBER($AZ$277),$B$208=1),$AZ$277,HLOOKUP(INDIRECT(ADDRESS(2,COLUMN())),OFFSET($BN$2,0,0,ROW()-1,60),ROW()-1,FALSE))</f>
        <v/>
      </c>
      <c r="BA72" t="str">
        <f ca="1">IF(AND(ISNUMBER($BA$277),$B$208=1),$BA$277,HLOOKUP(INDIRECT(ADDRESS(2,COLUMN())),OFFSET($BN$2,0,0,ROW()-1,60),ROW()-1,FALSE))</f>
        <v/>
      </c>
      <c r="BB72">
        <f ca="1">IF(AND(ISNUMBER($BB$277),$B$208=1),$BB$277,HLOOKUP(INDIRECT(ADDRESS(2,COLUMN())),OFFSET($BN$2,0,0,ROW()-1,60),ROW()-1,FALSE))</f>
        <v>17788.786090000001</v>
      </c>
      <c r="BC72" t="str">
        <f ca="1">IF(AND(ISNUMBER($BC$277),$B$208=1),$BC$277,HLOOKUP(INDIRECT(ADDRESS(2,COLUMN())),OFFSET($BN$2,0,0,ROW()-1,60),ROW()-1,FALSE))</f>
        <v/>
      </c>
      <c r="BD72" t="str">
        <f ca="1">IF(AND(ISNUMBER($BD$277),$B$208=1),$BD$277,HLOOKUP(INDIRECT(ADDRESS(2,COLUMN())),OFFSET($BN$2,0,0,ROW()-1,60),ROW()-1,FALSE))</f>
        <v/>
      </c>
      <c r="BE72" t="str">
        <f ca="1">IF(AND(ISNUMBER($BE$277),$B$208=1),$BE$277,HLOOKUP(INDIRECT(ADDRESS(2,COLUMN())),OFFSET($BN$2,0,0,ROW()-1,60),ROW()-1,FALSE))</f>
        <v/>
      </c>
      <c r="BF72">
        <f ca="1">IF(AND(ISNUMBER($BF$277),$B$208=1),$BF$277,HLOOKUP(INDIRECT(ADDRESS(2,COLUMN())),OFFSET($BN$2,0,0,ROW()-1,60),ROW()-1,FALSE))</f>
        <v>16669.088619999999</v>
      </c>
      <c r="BG72" t="str">
        <f ca="1">IF(AND(ISNUMBER($BG$277),$B$208=1),$BG$277,HLOOKUP(INDIRECT(ADDRESS(2,COLUMN())),OFFSET($BN$2,0,0,ROW()-1,60),ROW()-1,FALSE))</f>
        <v/>
      </c>
      <c r="BH72" t="str">
        <f ca="1">IF(AND(ISNUMBER($BH$277),$B$208=1),$BH$277,HLOOKUP(INDIRECT(ADDRESS(2,COLUMN())),OFFSET($BN$2,0,0,ROW()-1,60),ROW()-1,FALSE))</f>
        <v/>
      </c>
      <c r="BI72" t="str">
        <f ca="1">IF(AND(ISNUMBER($BI$277),$B$208=1),$BI$277,HLOOKUP(INDIRECT(ADDRESS(2,COLUMN())),OFFSET($BN$2,0,0,ROW()-1,60),ROW()-1,FALSE))</f>
        <v/>
      </c>
      <c r="BJ72">
        <f ca="1">IF(AND(ISNUMBER($BJ$277),$B$208=1),$BJ$277,HLOOKUP(INDIRECT(ADDRESS(2,COLUMN())),OFFSET($BN$2,0,0,ROW()-1,60),ROW()-1,FALSE))</f>
        <v>12906.075279999999</v>
      </c>
      <c r="BK72" t="str">
        <f ca="1">IF(AND(ISNUMBER($BK$277),$B$208=1),$BK$277,HLOOKUP(INDIRECT(ADDRESS(2,COLUMN())),OFFSET($BN$2,0,0,ROW()-1,60),ROW()-1,FALSE))</f>
        <v/>
      </c>
      <c r="BL72" t="str">
        <f ca="1">IF(AND(ISNUMBER($BL$277),$B$208=1),$BL$277,HLOOKUP(INDIRECT(ADDRESS(2,COLUMN())),OFFSET($BN$2,0,0,ROW()-1,60),ROW()-1,FALSE))</f>
        <v/>
      </c>
      <c r="BM72" t="str">
        <f ca="1">IF(AND(ISNUMBER($BM$277),$B$208=1),$BM$277,HLOOKUP(INDIRECT(ADDRESS(2,COLUMN())),OFFSET($BN$2,0,0,ROW()-1,60),ROW()-1,FALSE))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  <c r="BT72" t="str">
        <f>""</f>
        <v/>
      </c>
      <c r="BU72" t="str">
        <f>""</f>
        <v/>
      </c>
      <c r="BV72" t="str">
        <f>""</f>
        <v/>
      </c>
      <c r="BW72" t="str">
        <f>""</f>
        <v/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  <c r="CH72" t="str">
        <f>""</f>
        <v/>
      </c>
      <c r="CI72" t="str">
        <f>""</f>
        <v/>
      </c>
      <c r="CJ72" t="str">
        <f>""</f>
        <v/>
      </c>
      <c r="CK72" t="str">
        <f>""</f>
        <v/>
      </c>
      <c r="CL72" t="str">
        <f>""</f>
        <v/>
      </c>
      <c r="CM72" t="str">
        <f>""</f>
        <v/>
      </c>
      <c r="CN72" t="str">
        <f>""</f>
        <v/>
      </c>
      <c r="CO72" t="str">
        <f>""</f>
        <v/>
      </c>
      <c r="CP72" t="str">
        <f>""</f>
        <v/>
      </c>
      <c r="CQ72" t="str">
        <f>""</f>
        <v/>
      </c>
      <c r="CR72" t="str">
        <f>""</f>
        <v/>
      </c>
      <c r="CS72" t="str">
        <f>""</f>
        <v/>
      </c>
      <c r="CT72">
        <f>20688.49223</f>
        <v>20688.49223</v>
      </c>
      <c r="CU72" t="str">
        <f>""</f>
        <v/>
      </c>
      <c r="CV72" t="str">
        <f>""</f>
        <v/>
      </c>
      <c r="CW72" t="str">
        <f>""</f>
        <v/>
      </c>
      <c r="CX72">
        <f>21668.79102</f>
        <v>21668.791020000001</v>
      </c>
      <c r="CY72" t="str">
        <f>""</f>
        <v/>
      </c>
      <c r="CZ72" t="str">
        <f>""</f>
        <v/>
      </c>
      <c r="DA72" t="str">
        <f>""</f>
        <v/>
      </c>
      <c r="DB72">
        <f>26590.90909</f>
        <v>26590.909090000001</v>
      </c>
      <c r="DC72" t="str">
        <f>""</f>
        <v/>
      </c>
      <c r="DD72" t="str">
        <f>""</f>
        <v/>
      </c>
      <c r="DE72" t="str">
        <f>""</f>
        <v/>
      </c>
      <c r="DF72">
        <f>14660.28512</f>
        <v>14660.28512</v>
      </c>
      <c r="DG72" t="str">
        <f>""</f>
        <v/>
      </c>
      <c r="DH72" t="str">
        <f>""</f>
        <v/>
      </c>
      <c r="DI72" t="str">
        <f>""</f>
        <v/>
      </c>
      <c r="DJ72">
        <f>17788.78609</f>
        <v>17788.786090000001</v>
      </c>
      <c r="DK72" t="str">
        <f>""</f>
        <v/>
      </c>
      <c r="DL72" t="str">
        <f>""</f>
        <v/>
      </c>
      <c r="DM72" t="str">
        <f>""</f>
        <v/>
      </c>
      <c r="DN72">
        <f>16669.08862</f>
        <v>16669.088619999999</v>
      </c>
      <c r="DO72" t="str">
        <f>""</f>
        <v/>
      </c>
      <c r="DP72" t="str">
        <f>""</f>
        <v/>
      </c>
      <c r="DQ72" t="str">
        <f>""</f>
        <v/>
      </c>
      <c r="DR72">
        <f>12906.07528</f>
        <v>12906.075279999999</v>
      </c>
      <c r="DS72" t="str">
        <f>""</f>
        <v/>
      </c>
      <c r="DT72" t="str">
        <f>""</f>
        <v/>
      </c>
      <c r="DU72" t="str">
        <f>""</f>
        <v/>
      </c>
    </row>
    <row r="73" spans="1:125" x14ac:dyDescent="0.25">
      <c r="A73" t="str">
        <f>"    Svenska Handelsbanken AB"</f>
        <v xml:space="preserve">    Svenska Handelsbanken AB</v>
      </c>
      <c r="B73" t="str">
        <f>"SHBA SS Equity"</f>
        <v>SHBA SS Equity</v>
      </c>
      <c r="C73" t="str">
        <f t="shared" si="3"/>
        <v>BM109</v>
      </c>
      <c r="D73" t="str">
        <f t="shared" si="4"/>
        <v>BS_TRADING_SECURITIES_DERIVS</v>
      </c>
      <c r="E73" t="str">
        <f t="shared" si="5"/>
        <v>Dynamic</v>
      </c>
      <c r="F73">
        <f ca="1">IF(AND(ISNUMBER($F$278),$B$208=1),$F$278,HLOOKUP(INDIRECT(ADDRESS(2,COLUMN())),OFFSET($BN$2,0,0,ROW()-1,60),ROW()-1,FALSE))</f>
        <v>4172.2302440000003</v>
      </c>
      <c r="G73">
        <f ca="1">IF(AND(ISNUMBER($G$278),$B$208=1),$G$278,HLOOKUP(INDIRECT(ADDRESS(2,COLUMN())),OFFSET($BN$2,0,0,ROW()-1,60),ROW()-1,FALSE))</f>
        <v>3304.1837780000001</v>
      </c>
      <c r="H73">
        <f ca="1">IF(AND(ISNUMBER($H$278),$B$208=1),$H$278,HLOOKUP(INDIRECT(ADDRESS(2,COLUMN())),OFFSET($BN$2,0,0,ROW()-1,60),ROW()-1,FALSE))</f>
        <v>3552.7770919999998</v>
      </c>
      <c r="I73">
        <f ca="1">IF(AND(ISNUMBER($I$278),$B$208=1),$I$278,HLOOKUP(INDIRECT(ADDRESS(2,COLUMN())),OFFSET($BN$2,0,0,ROW()-1,60),ROW()-1,FALSE))</f>
        <v>4154.276202</v>
      </c>
      <c r="J73">
        <f ca="1">IF(AND(ISNUMBER($J$278),$B$208=1),$J$278,HLOOKUP(INDIRECT(ADDRESS(2,COLUMN())),OFFSET($BN$2,0,0,ROW()-1,60),ROW()-1,FALSE))</f>
        <v>4112.0364950000003</v>
      </c>
      <c r="K73">
        <f ca="1">IF(AND(ISNUMBER($K$278),$B$208=1),$K$278,HLOOKUP(INDIRECT(ADDRESS(2,COLUMN())),OFFSET($BN$2,0,0,ROW()-1,60),ROW()-1,FALSE))</f>
        <v>6575.7573329999996</v>
      </c>
      <c r="L73">
        <f ca="1">IF(AND(ISNUMBER($L$278),$B$208=1),$L$278,HLOOKUP(INDIRECT(ADDRESS(2,COLUMN())),OFFSET($BN$2,0,0,ROW()-1,60),ROW()-1,FALSE))</f>
        <v>7129.0326960000002</v>
      </c>
      <c r="M73">
        <f ca="1">IF(AND(ISNUMBER($M$278),$B$208=1),$M$278,HLOOKUP(INDIRECT(ADDRESS(2,COLUMN())),OFFSET($BN$2,0,0,ROW()-1,60),ROW()-1,FALSE))</f>
        <v>6017.9610160000002</v>
      </c>
      <c r="N73">
        <f ca="1">IF(AND(ISNUMBER($N$278),$B$208=1),$N$278,HLOOKUP(INDIRECT(ADDRESS(2,COLUMN())),OFFSET($BN$2,0,0,ROW()-1,60),ROW()-1,FALSE))</f>
        <v>6705.3627919999999</v>
      </c>
      <c r="O73">
        <f ca="1">IF(AND(ISNUMBER($O$278),$B$208=1),$O$278,HLOOKUP(INDIRECT(ADDRESS(2,COLUMN())),OFFSET($BN$2,0,0,ROW()-1,60),ROW()-1,FALSE))</f>
        <v>9816.3816889999998</v>
      </c>
      <c r="P73">
        <f ca="1">IF(AND(ISNUMBER($P$278),$B$208=1),$P$278,HLOOKUP(INDIRECT(ADDRESS(2,COLUMN())),OFFSET($BN$2,0,0,ROW()-1,60),ROW()-1,FALSE))</f>
        <v>7734.8784859999996</v>
      </c>
      <c r="Q73">
        <f ca="1">IF(AND(ISNUMBER($Q$278),$B$208=1),$Q$278,HLOOKUP(INDIRECT(ADDRESS(2,COLUMN())),OFFSET($BN$2,0,0,ROW()-1,60),ROW()-1,FALSE))</f>
        <v>4448.1397610000004</v>
      </c>
      <c r="R73">
        <f ca="1">IF(AND(ISNUMBER($R$278),$B$208=1),$R$278,HLOOKUP(INDIRECT(ADDRESS(2,COLUMN())),OFFSET($BN$2,0,0,ROW()-1,60),ROW()-1,FALSE))</f>
        <v>2794.1691099999998</v>
      </c>
      <c r="S73">
        <f ca="1">IF(AND(ISNUMBER($S$278),$B$208=1),$S$278,HLOOKUP(INDIRECT(ADDRESS(2,COLUMN())),OFFSET($BN$2,0,0,ROW()-1,60),ROW()-1,FALSE))</f>
        <v>2540.5817040000002</v>
      </c>
      <c r="T73">
        <f ca="1">IF(AND(ISNUMBER($T$278),$B$208=1),$T$278,HLOOKUP(INDIRECT(ADDRESS(2,COLUMN())),OFFSET($BN$2,0,0,ROW()-1,60),ROW()-1,FALSE))</f>
        <v>2437.9858770000001</v>
      </c>
      <c r="U73">
        <f ca="1">IF(AND(ISNUMBER($U$278),$B$208=1),$U$278,HLOOKUP(INDIRECT(ADDRESS(2,COLUMN())),OFFSET($BN$2,0,0,ROW()-1,60),ROW()-1,FALSE))</f>
        <v>2932.6453940000001</v>
      </c>
      <c r="V73">
        <f ca="1">IF(AND(ISNUMBER($V$278),$B$208=1),$V$278,HLOOKUP(INDIRECT(ADDRESS(2,COLUMN())),OFFSET($BN$2,0,0,ROW()-1,60),ROW()-1,FALSE))</f>
        <v>2841.1220939999998</v>
      </c>
      <c r="W73">
        <f ca="1">IF(AND(ISNUMBER($W$278),$B$208=1),$W$278,HLOOKUP(INDIRECT(ADDRESS(2,COLUMN())),OFFSET($BN$2,0,0,ROW()-1,60),ROW()-1,FALSE))</f>
        <v>3413.3399319999999</v>
      </c>
      <c r="X73">
        <f ca="1">IF(AND(ISNUMBER($X$278),$B$208=1),$X$278,HLOOKUP(INDIRECT(ADDRESS(2,COLUMN())),OFFSET($BN$2,0,0,ROW()-1,60),ROW()-1,FALSE))</f>
        <v>3438.807503</v>
      </c>
      <c r="Y73">
        <f ca="1">IF(AND(ISNUMBER($Y$278),$B$208=1),$Y$278,HLOOKUP(INDIRECT(ADDRESS(2,COLUMN())),OFFSET($BN$2,0,0,ROW()-1,60),ROW()-1,FALSE))</f>
        <v>5299.3344829999996</v>
      </c>
      <c r="Z73">
        <f ca="1">IF(AND(ISNUMBER($Z$278),$B$208=1),$Z$278,HLOOKUP(INDIRECT(ADDRESS(2,COLUMN())),OFFSET($BN$2,0,0,ROW()-1,60),ROW()-1,FALSE))</f>
        <v>2546.2826230000001</v>
      </c>
      <c r="AA73">
        <f ca="1">IF(AND(ISNUMBER($AA$278),$B$208=1),$AA$278,HLOOKUP(INDIRECT(ADDRESS(2,COLUMN())),OFFSET($BN$2,0,0,ROW()-1,60),ROW()-1,FALSE))</f>
        <v>4088.3405200000002</v>
      </c>
      <c r="AB73">
        <f ca="1">IF(AND(ISNUMBER($AB$278),$B$208=1),$AB$278,HLOOKUP(INDIRECT(ADDRESS(2,COLUMN())),OFFSET($BN$2,0,0,ROW()-1,60),ROW()-1,FALSE))</f>
        <v>946.9750262</v>
      </c>
      <c r="AC73">
        <f ca="1">IF(AND(ISNUMBER($AC$278),$B$208=1),$AC$278,HLOOKUP(INDIRECT(ADDRESS(2,COLUMN())),OFFSET($BN$2,0,0,ROW()-1,60),ROW()-1,FALSE))</f>
        <v>1386.293862</v>
      </c>
      <c r="AD73">
        <f ca="1">IF(AND(ISNUMBER($AD$278),$B$208=1),$AD$278,HLOOKUP(INDIRECT(ADDRESS(2,COLUMN())),OFFSET($BN$2,0,0,ROW()-1,60),ROW()-1,FALSE))</f>
        <v>767.49712390000002</v>
      </c>
      <c r="AE73">
        <f ca="1">IF(AND(ISNUMBER($AE$278),$B$208=1),$AE$278,HLOOKUP(INDIRECT(ADDRESS(2,COLUMN())),OFFSET($BN$2,0,0,ROW()-1,60),ROW()-1,FALSE))</f>
        <v>2646.1672370000001</v>
      </c>
      <c r="AF73">
        <f ca="1">IF(AND(ISNUMBER($AF$278),$B$208=1),$AF$278,HLOOKUP(INDIRECT(ADDRESS(2,COLUMN())),OFFSET($BN$2,0,0,ROW()-1,60),ROW()-1,FALSE))</f>
        <v>1711.5442459999999</v>
      </c>
      <c r="AG73">
        <f ca="1">IF(AND(ISNUMBER($AG$278),$B$208=1),$AG$278,HLOOKUP(INDIRECT(ADDRESS(2,COLUMN())),OFFSET($BN$2,0,0,ROW()-1,60),ROW()-1,FALSE))</f>
        <v>1290.253035</v>
      </c>
      <c r="AH73">
        <f ca="1">IF(AND(ISNUMBER($AH$278),$B$208=1),$AH$278,HLOOKUP(INDIRECT(ADDRESS(2,COLUMN())),OFFSET($BN$2,0,0,ROW()-1,60),ROW()-1,FALSE))</f>
        <v>1059.667338</v>
      </c>
      <c r="AI73">
        <f ca="1">IF(AND(ISNUMBER($AI$278),$B$208=1),$AI$278,HLOOKUP(INDIRECT(ADDRESS(2,COLUMN())),OFFSET($BN$2,0,0,ROW()-1,60),ROW()-1,FALSE))</f>
        <v>1509.196911</v>
      </c>
      <c r="AJ73">
        <f ca="1">IF(AND(ISNUMBER($AJ$278),$B$208=1),$AJ$278,HLOOKUP(INDIRECT(ADDRESS(2,COLUMN())),OFFSET($BN$2,0,0,ROW()-1,60),ROW()-1,FALSE))</f>
        <v>1645.8654329999999</v>
      </c>
      <c r="AK73">
        <f ca="1">IF(AND(ISNUMBER($AK$278),$B$208=1),$AK$278,HLOOKUP(INDIRECT(ADDRESS(2,COLUMN())),OFFSET($BN$2,0,0,ROW()-1,60),ROW()-1,FALSE))</f>
        <v>1561.313474</v>
      </c>
      <c r="AL73">
        <f ca="1">IF(AND(ISNUMBER($AL$278),$B$208=1),$AL$278,HLOOKUP(INDIRECT(ADDRESS(2,COLUMN())),OFFSET($BN$2,0,0,ROW()-1,60),ROW()-1,FALSE))</f>
        <v>2059.9695040000001</v>
      </c>
      <c r="AM73">
        <f ca="1">IF(AND(ISNUMBER($AM$278),$B$208=1),$AM$278,HLOOKUP(INDIRECT(ADDRESS(2,COLUMN())),OFFSET($BN$2,0,0,ROW()-1,60),ROW()-1,FALSE))</f>
        <v>1835.836984</v>
      </c>
      <c r="AN73">
        <f ca="1">IF(AND(ISNUMBER($AN$278),$B$208=1),$AN$278,HLOOKUP(INDIRECT(ADDRESS(2,COLUMN())),OFFSET($BN$2,0,0,ROW()-1,60),ROW()-1,FALSE))</f>
        <v>3198.2599759999998</v>
      </c>
      <c r="AO73">
        <f ca="1">IF(AND(ISNUMBER($AO$278),$B$208=1),$AO$278,HLOOKUP(INDIRECT(ADDRESS(2,COLUMN())),OFFSET($BN$2,0,0,ROW()-1,60),ROW()-1,FALSE))</f>
        <v>5912.1622639999996</v>
      </c>
      <c r="AP73">
        <f ca="1">IF(AND(ISNUMBER($AP$278),$B$208=1),$AP$278,HLOOKUP(INDIRECT(ADDRESS(2,COLUMN())),OFFSET($BN$2,0,0,ROW()-1,60),ROW()-1,FALSE))</f>
        <v>3373.772586</v>
      </c>
      <c r="AQ73" t="str">
        <f ca="1">IF(AND(ISNUMBER($AQ$278),$B$208=1),$AQ$278,HLOOKUP(INDIRECT(ADDRESS(2,COLUMN())),OFFSET($BN$2,0,0,ROW()-1,60),ROW()-1,FALSE))</f>
        <v/>
      </c>
      <c r="AR73">
        <f ca="1">IF(AND(ISNUMBER($AR$278),$B$208=1),$AR$278,HLOOKUP(INDIRECT(ADDRESS(2,COLUMN())),OFFSET($BN$2,0,0,ROW()-1,60),ROW()-1,FALSE))</f>
        <v>4185.1262880000004</v>
      </c>
      <c r="AS73">
        <f ca="1">IF(AND(ISNUMBER($AS$278),$B$208=1),$AS$278,HLOOKUP(INDIRECT(ADDRESS(2,COLUMN())),OFFSET($BN$2,0,0,ROW()-1,60),ROW()-1,FALSE))</f>
        <v>9461.5409259999997</v>
      </c>
      <c r="AT73">
        <f ca="1">IF(AND(ISNUMBER($AT$278),$B$208=1),$AT$278,HLOOKUP(INDIRECT(ADDRESS(2,COLUMN())),OFFSET($BN$2,0,0,ROW()-1,60),ROW()-1,FALSE))</f>
        <v>6692.0957829999998</v>
      </c>
      <c r="AU73" t="str">
        <f ca="1">IF(AND(ISNUMBER($AU$278),$B$208=1),$AU$278,HLOOKUP(INDIRECT(ADDRESS(2,COLUMN())),OFFSET($BN$2,0,0,ROW()-1,60),ROW()-1,FALSE))</f>
        <v/>
      </c>
      <c r="AV73">
        <f ca="1">IF(AND(ISNUMBER($AV$278),$B$208=1),$AV$278,HLOOKUP(INDIRECT(ADDRESS(2,COLUMN())),OFFSET($BN$2,0,0,ROW()-1,60),ROW()-1,FALSE))</f>
        <v>5122.9730289999998</v>
      </c>
      <c r="AW73">
        <f ca="1">IF(AND(ISNUMBER($AW$278),$B$208=1),$AW$278,HLOOKUP(INDIRECT(ADDRESS(2,COLUMN())),OFFSET($BN$2,0,0,ROW()-1,60),ROW()-1,FALSE))</f>
        <v>5152.2354180000002</v>
      </c>
      <c r="AX73" t="str">
        <f ca="1">IF(AND(ISNUMBER($AX$278),$B$208=1),$AX$278,HLOOKUP(INDIRECT(ADDRESS(2,COLUMN())),OFFSET($BN$2,0,0,ROW()-1,60),ROW()-1,FALSE))</f>
        <v/>
      </c>
      <c r="AY73" t="str">
        <f ca="1">IF(AND(ISNUMBER($AY$278),$B$208=1),$AY$278,HLOOKUP(INDIRECT(ADDRESS(2,COLUMN())),OFFSET($BN$2,0,0,ROW()-1,60),ROW()-1,FALSE))</f>
        <v/>
      </c>
      <c r="AZ73" t="str">
        <f ca="1">IF(AND(ISNUMBER($AZ$278),$B$208=1),$AZ$278,HLOOKUP(INDIRECT(ADDRESS(2,COLUMN())),OFFSET($BN$2,0,0,ROW()-1,60),ROW()-1,FALSE))</f>
        <v/>
      </c>
      <c r="BA73" t="str">
        <f ca="1">IF(AND(ISNUMBER($BA$278),$B$208=1),$BA$278,HLOOKUP(INDIRECT(ADDRESS(2,COLUMN())),OFFSET($BN$2,0,0,ROW()-1,60),ROW()-1,FALSE))</f>
        <v/>
      </c>
      <c r="BB73">
        <f ca="1">IF(AND(ISNUMBER($BB$278),$B$208=1),$BB$278,HLOOKUP(INDIRECT(ADDRESS(2,COLUMN())),OFFSET($BN$2,0,0,ROW()-1,60),ROW()-1,FALSE))</f>
        <v>9711.5002750000003</v>
      </c>
      <c r="BC73" t="str">
        <f ca="1">IF(AND(ISNUMBER($BC$278),$B$208=1),$BC$278,HLOOKUP(INDIRECT(ADDRESS(2,COLUMN())),OFFSET($BN$2,0,0,ROW()-1,60),ROW()-1,FALSE))</f>
        <v/>
      </c>
      <c r="BD73" t="str">
        <f ca="1">IF(AND(ISNUMBER($BD$278),$B$208=1),$BD$278,HLOOKUP(INDIRECT(ADDRESS(2,COLUMN())),OFFSET($BN$2,0,0,ROW()-1,60),ROW()-1,FALSE))</f>
        <v/>
      </c>
      <c r="BE73">
        <f ca="1">IF(AND(ISNUMBER($BE$278),$B$208=1),$BE$278,HLOOKUP(INDIRECT(ADDRESS(2,COLUMN())),OFFSET($BN$2,0,0,ROW()-1,60),ROW()-1,FALSE))</f>
        <v>10300.49662</v>
      </c>
      <c r="BF73">
        <f ca="1">IF(AND(ISNUMBER($BF$278),$B$208=1),$BF$278,HLOOKUP(INDIRECT(ADDRESS(2,COLUMN())),OFFSET($BN$2,0,0,ROW()-1,60),ROW()-1,FALSE))</f>
        <v>13184.84073</v>
      </c>
      <c r="BG73" t="str">
        <f ca="1">IF(AND(ISNUMBER($BG$278),$B$208=1),$BG$278,HLOOKUP(INDIRECT(ADDRESS(2,COLUMN())),OFFSET($BN$2,0,0,ROW()-1,60),ROW()-1,FALSE))</f>
        <v/>
      </c>
      <c r="BH73">
        <f ca="1">IF(AND(ISNUMBER($BH$278),$B$208=1),$BH$278,HLOOKUP(INDIRECT(ADDRESS(2,COLUMN())),OFFSET($BN$2,0,0,ROW()-1,60),ROW()-1,FALSE))</f>
        <v>7824.5078290000001</v>
      </c>
      <c r="BI73">
        <f ca="1">IF(AND(ISNUMBER($BI$278),$B$208=1),$BI$278,HLOOKUP(INDIRECT(ADDRESS(2,COLUMN())),OFFSET($BN$2,0,0,ROW()-1,60),ROW()-1,FALSE))</f>
        <v>8650.8468009999997</v>
      </c>
      <c r="BJ73">
        <f ca="1">IF(AND(ISNUMBER($BJ$278),$B$208=1),$BJ$278,HLOOKUP(INDIRECT(ADDRESS(2,COLUMN())),OFFSET($BN$2,0,0,ROW()-1,60),ROW()-1,FALSE))</f>
        <v>9080.3553599999996</v>
      </c>
      <c r="BK73">
        <f ca="1">IF(AND(ISNUMBER($BK$278),$B$208=1),$BK$278,HLOOKUP(INDIRECT(ADDRESS(2,COLUMN())),OFFSET($BN$2,0,0,ROW()-1,60),ROW()-1,FALSE))</f>
        <v>12691.191709999999</v>
      </c>
      <c r="BL73">
        <f ca="1">IF(AND(ISNUMBER($BL$278),$B$208=1),$BL$278,HLOOKUP(INDIRECT(ADDRESS(2,COLUMN())),OFFSET($BN$2,0,0,ROW()-1,60),ROW()-1,FALSE))</f>
        <v>12112.62861</v>
      </c>
      <c r="BM73" t="str">
        <f ca="1">IF(AND(ISNUMBER($BM$278),$B$208=1),$BM$278,HLOOKUP(INDIRECT(ADDRESS(2,COLUMN())),OFFSET($BN$2,0,0,ROW()-1,60),ROW()-1,FALSE))</f>
        <v/>
      </c>
      <c r="BN73">
        <f>4172.230244</f>
        <v>4172.2302440000003</v>
      </c>
      <c r="BO73">
        <f>3304.183778</f>
        <v>3304.1837780000001</v>
      </c>
      <c r="BP73">
        <f>3552.777092</f>
        <v>3552.7770919999998</v>
      </c>
      <c r="BQ73">
        <f>4154.276202</f>
        <v>4154.276202</v>
      </c>
      <c r="BR73">
        <f>4112.036495</f>
        <v>4112.0364950000003</v>
      </c>
      <c r="BS73">
        <f>6575.757333</f>
        <v>6575.7573329999996</v>
      </c>
      <c r="BT73">
        <f>7129.032696</f>
        <v>7129.0326960000002</v>
      </c>
      <c r="BU73">
        <f>6017.961016</f>
        <v>6017.9610160000002</v>
      </c>
      <c r="BV73">
        <f>6705.362792</f>
        <v>6705.3627919999999</v>
      </c>
      <c r="BW73">
        <f>9816.381689</f>
        <v>9816.3816889999998</v>
      </c>
      <c r="BX73">
        <f>7734.878486</f>
        <v>7734.8784859999996</v>
      </c>
      <c r="BY73">
        <f>4448.139761</f>
        <v>4448.1397610000004</v>
      </c>
      <c r="BZ73">
        <f>2794.16911</f>
        <v>2794.1691099999998</v>
      </c>
      <c r="CA73">
        <f>2540.581704</f>
        <v>2540.5817040000002</v>
      </c>
      <c r="CB73">
        <f>2437.985877</f>
        <v>2437.9858770000001</v>
      </c>
      <c r="CC73">
        <f>2932.645394</f>
        <v>2932.6453940000001</v>
      </c>
      <c r="CD73">
        <f>2841.122094</f>
        <v>2841.1220939999998</v>
      </c>
      <c r="CE73">
        <f>3413.339932</f>
        <v>3413.3399319999999</v>
      </c>
      <c r="CF73">
        <f>3438.807503</f>
        <v>3438.807503</v>
      </c>
      <c r="CG73">
        <f>5299.334483</f>
        <v>5299.3344829999996</v>
      </c>
      <c r="CH73">
        <f>2546.282623</f>
        <v>2546.2826230000001</v>
      </c>
      <c r="CI73">
        <f>4088.34052</f>
        <v>4088.3405200000002</v>
      </c>
      <c r="CJ73">
        <f>946.9750262</f>
        <v>946.9750262</v>
      </c>
      <c r="CK73">
        <f>1386.293862</f>
        <v>1386.293862</v>
      </c>
      <c r="CL73">
        <f>767.4971239</f>
        <v>767.49712390000002</v>
      </c>
      <c r="CM73">
        <f>2646.167237</f>
        <v>2646.1672370000001</v>
      </c>
      <c r="CN73">
        <f>1711.544246</f>
        <v>1711.5442459999999</v>
      </c>
      <c r="CO73">
        <f>1290.253035</f>
        <v>1290.253035</v>
      </c>
      <c r="CP73">
        <f>1059.667338</f>
        <v>1059.667338</v>
      </c>
      <c r="CQ73">
        <f>1509.196911</f>
        <v>1509.196911</v>
      </c>
      <c r="CR73">
        <f>1645.865433</f>
        <v>1645.8654329999999</v>
      </c>
      <c r="CS73">
        <f>1561.313474</f>
        <v>1561.313474</v>
      </c>
      <c r="CT73">
        <f>2059.969504</f>
        <v>2059.9695040000001</v>
      </c>
      <c r="CU73">
        <f>1835.836984</f>
        <v>1835.836984</v>
      </c>
      <c r="CV73">
        <f>3198.259976</f>
        <v>3198.2599759999998</v>
      </c>
      <c r="CW73">
        <f>5912.162264</f>
        <v>5912.1622639999996</v>
      </c>
      <c r="CX73">
        <f>3373.772586</f>
        <v>3373.772586</v>
      </c>
      <c r="CY73" t="str">
        <f>""</f>
        <v/>
      </c>
      <c r="CZ73">
        <f>4185.126288</f>
        <v>4185.1262880000004</v>
      </c>
      <c r="DA73">
        <f>9461.540926</f>
        <v>9461.5409259999997</v>
      </c>
      <c r="DB73">
        <f>6692.095783</f>
        <v>6692.0957829999998</v>
      </c>
      <c r="DC73" t="str">
        <f>""</f>
        <v/>
      </c>
      <c r="DD73">
        <f>5122.973029</f>
        <v>5122.9730289999998</v>
      </c>
      <c r="DE73">
        <f>5152.235418</f>
        <v>5152.2354180000002</v>
      </c>
      <c r="DF73" t="str">
        <f>""</f>
        <v/>
      </c>
      <c r="DG73" t="str">
        <f>""</f>
        <v/>
      </c>
      <c r="DH73" t="str">
        <f>""</f>
        <v/>
      </c>
      <c r="DI73" t="str">
        <f>""</f>
        <v/>
      </c>
      <c r="DJ73">
        <f>9711.500275</f>
        <v>9711.5002750000003</v>
      </c>
      <c r="DK73" t="str">
        <f>""</f>
        <v/>
      </c>
      <c r="DL73" t="str">
        <f>""</f>
        <v/>
      </c>
      <c r="DM73">
        <f>10300.49662</f>
        <v>10300.49662</v>
      </c>
      <c r="DN73">
        <f>13184.84073</f>
        <v>13184.84073</v>
      </c>
      <c r="DO73" t="str">
        <f>""</f>
        <v/>
      </c>
      <c r="DP73">
        <f>7824.507829</f>
        <v>7824.5078290000001</v>
      </c>
      <c r="DQ73">
        <f>8650.846801</f>
        <v>8650.8468009999997</v>
      </c>
      <c r="DR73">
        <f>9080.35536</f>
        <v>9080.3553599999996</v>
      </c>
      <c r="DS73">
        <f>12691.19171</f>
        <v>12691.191709999999</v>
      </c>
      <c r="DT73">
        <f>12112.62861</f>
        <v>12112.62861</v>
      </c>
      <c r="DU73" t="str">
        <f>""</f>
        <v/>
      </c>
    </row>
    <row r="74" spans="1:125" x14ac:dyDescent="0.25">
      <c r="A74" t="str">
        <f>"    Swedbank AB"</f>
        <v xml:space="preserve">    Swedbank AB</v>
      </c>
      <c r="B74" t="str">
        <f>"SWEDA SS Equity"</f>
        <v>SWEDA SS Equity</v>
      </c>
      <c r="C74" t="str">
        <f t="shared" si="3"/>
        <v>BM109</v>
      </c>
      <c r="D74" t="str">
        <f t="shared" si="4"/>
        <v>BS_TRADING_SECURITIES_DERIVS</v>
      </c>
      <c r="E74" t="str">
        <f t="shared" si="5"/>
        <v>Dynamic</v>
      </c>
      <c r="F74" t="str">
        <f ca="1">IF(AND(ISNUMBER($F$279),$B$208=1),$F$279,HLOOKUP(INDIRECT(ADDRESS(2,COLUMN())),OFFSET($BN$2,0,0,ROW()-1,60),ROW()-1,FALSE))</f>
        <v/>
      </c>
      <c r="G74">
        <f ca="1">IF(AND(ISNUMBER($G$279),$B$208=1),$G$279,HLOOKUP(INDIRECT(ADDRESS(2,COLUMN())),OFFSET($BN$2,0,0,ROW()-1,60),ROW()-1,FALSE))</f>
        <v>692.31866319999995</v>
      </c>
      <c r="H74">
        <f ca="1">IF(AND(ISNUMBER($H$279),$B$208=1),$H$279,HLOOKUP(INDIRECT(ADDRESS(2,COLUMN())),OFFSET($BN$2,0,0,ROW()-1,60),ROW()-1,FALSE))</f>
        <v>1044.6392080000001</v>
      </c>
      <c r="I74">
        <f ca="1">IF(AND(ISNUMBER($I$279),$B$208=1),$I$279,HLOOKUP(INDIRECT(ADDRESS(2,COLUMN())),OFFSET($BN$2,0,0,ROW()-1,60),ROW()-1,FALSE))</f>
        <v>2568.4891790000001</v>
      </c>
      <c r="J74">
        <f ca="1">IF(AND(ISNUMBER($J$279),$B$208=1),$J$279,HLOOKUP(INDIRECT(ADDRESS(2,COLUMN())),OFFSET($BN$2,0,0,ROW()-1,60),ROW()-1,FALSE))</f>
        <v>2060.7904720000001</v>
      </c>
      <c r="K74">
        <f ca="1">IF(AND(ISNUMBER($K$279),$B$208=1),$K$279,HLOOKUP(INDIRECT(ADDRESS(2,COLUMN())),OFFSET($BN$2,0,0,ROW()-1,60),ROW()-1,FALSE))</f>
        <v>2560.4266269999998</v>
      </c>
      <c r="L74">
        <f ca="1">IF(AND(ISNUMBER($L$279),$B$208=1),$L$279,HLOOKUP(INDIRECT(ADDRESS(2,COLUMN())),OFFSET($BN$2,0,0,ROW()-1,60),ROW()-1,FALSE))</f>
        <v>2854.5190040000002</v>
      </c>
      <c r="M74">
        <f ca="1">IF(AND(ISNUMBER($M$279),$B$208=1),$M$279,HLOOKUP(INDIRECT(ADDRESS(2,COLUMN())),OFFSET($BN$2,0,0,ROW()-1,60),ROW()-1,FALSE))</f>
        <v>1566.4550180000001</v>
      </c>
      <c r="N74">
        <f ca="1">IF(AND(ISNUMBER($N$279),$B$208=1),$N$279,HLOOKUP(INDIRECT(ADDRESS(2,COLUMN())),OFFSET($BN$2,0,0,ROW()-1,60),ROW()-1,FALSE))</f>
        <v>2588.3430069999999</v>
      </c>
      <c r="O74">
        <f ca="1">IF(AND(ISNUMBER($O$279),$B$208=1),$O$279,HLOOKUP(INDIRECT(ADDRESS(2,COLUMN())),OFFSET($BN$2,0,0,ROW()-1,60),ROW()-1,FALSE))</f>
        <v>5910.5303009999998</v>
      </c>
      <c r="P74">
        <f ca="1">IF(AND(ISNUMBER($P$279),$B$208=1),$P$279,HLOOKUP(INDIRECT(ADDRESS(2,COLUMN())),OFFSET($BN$2,0,0,ROW()-1,60),ROW()-1,FALSE))</f>
        <v>4604.7611619999998</v>
      </c>
      <c r="Q74">
        <f ca="1">IF(AND(ISNUMBER($Q$279),$B$208=1),$Q$279,HLOOKUP(INDIRECT(ADDRESS(2,COLUMN())),OFFSET($BN$2,0,0,ROW()-1,60),ROW()-1,FALSE))</f>
        <v>2409.6661399999998</v>
      </c>
      <c r="R74">
        <f ca="1">IF(AND(ISNUMBER($R$279),$B$208=1),$R$279,HLOOKUP(INDIRECT(ADDRESS(2,COLUMN())),OFFSET($BN$2,0,0,ROW()-1,60),ROW()-1,FALSE))</f>
        <v>2951.0258789999998</v>
      </c>
      <c r="S74">
        <f ca="1">IF(AND(ISNUMBER($S$279),$B$208=1),$S$279,HLOOKUP(INDIRECT(ADDRESS(2,COLUMN())),OFFSET($BN$2,0,0,ROW()-1,60),ROW()-1,FALSE))</f>
        <v>2716.4400740000001</v>
      </c>
      <c r="T74">
        <f ca="1">IF(AND(ISNUMBER($T$279),$B$208=1),$T$279,HLOOKUP(INDIRECT(ADDRESS(2,COLUMN())),OFFSET($BN$2,0,0,ROW()-1,60),ROW()-1,FALSE))</f>
        <v>2446.9581229999999</v>
      </c>
      <c r="U74">
        <f ca="1">IF(AND(ISNUMBER($U$279),$B$208=1),$U$279,HLOOKUP(INDIRECT(ADDRESS(2,COLUMN())),OFFSET($BN$2,0,0,ROW()-1,60),ROW()-1,FALSE))</f>
        <v>3648.3511010000002</v>
      </c>
      <c r="V74">
        <f ca="1">IF(AND(ISNUMBER($V$279),$B$208=1),$V$279,HLOOKUP(INDIRECT(ADDRESS(2,COLUMN())),OFFSET($BN$2,0,0,ROW()-1,60),ROW()-1,FALSE))</f>
        <v>3689.6862209999999</v>
      </c>
      <c r="W74">
        <f ca="1">IF(AND(ISNUMBER($W$279),$B$208=1),$W$279,HLOOKUP(INDIRECT(ADDRESS(2,COLUMN())),OFFSET($BN$2,0,0,ROW()-1,60),ROW()-1,FALSE))</f>
        <v>3566.4818519999999</v>
      </c>
      <c r="X74">
        <f ca="1">IF(AND(ISNUMBER($X$279),$B$208=1),$X$279,HLOOKUP(INDIRECT(ADDRESS(2,COLUMN())),OFFSET($BN$2,0,0,ROW()-1,60),ROW()-1,FALSE))</f>
        <v>3493.2719299999999</v>
      </c>
      <c r="Y74">
        <f ca="1">IF(AND(ISNUMBER($Y$279),$B$208=1),$Y$279,HLOOKUP(INDIRECT(ADDRESS(2,COLUMN())),OFFSET($BN$2,0,0,ROW()-1,60),ROW()-1,FALSE))</f>
        <v>6077.1136450000004</v>
      </c>
      <c r="Z74">
        <f ca="1">IF(AND(ISNUMBER($Z$279),$B$208=1),$Z$279,HLOOKUP(INDIRECT(ADDRESS(2,COLUMN())),OFFSET($BN$2,0,0,ROW()-1,60),ROW()-1,FALSE))</f>
        <v>2906.785343</v>
      </c>
      <c r="AA74">
        <f ca="1">IF(AND(ISNUMBER($AA$279),$B$208=1),$AA$279,HLOOKUP(INDIRECT(ADDRESS(2,COLUMN())),OFFSET($BN$2,0,0,ROW()-1,60),ROW()-1,FALSE))</f>
        <v>3846.6757859999998</v>
      </c>
      <c r="AB74">
        <f ca="1">IF(AND(ISNUMBER($AB$279),$B$208=1),$AB$279,HLOOKUP(INDIRECT(ADDRESS(2,COLUMN())),OFFSET($BN$2,0,0,ROW()-1,60),ROW()-1,FALSE))</f>
        <v>2720.9673339999999</v>
      </c>
      <c r="AC74">
        <f ca="1">IF(AND(ISNUMBER($AC$279),$B$208=1),$AC$279,HLOOKUP(INDIRECT(ADDRESS(2,COLUMN())),OFFSET($BN$2,0,0,ROW()-1,60),ROW()-1,FALSE))</f>
        <v>3150.4497369999999</v>
      </c>
      <c r="AD74">
        <f ca="1">IF(AND(ISNUMBER($AD$279),$B$208=1),$AD$279,HLOOKUP(INDIRECT(ADDRESS(2,COLUMN())),OFFSET($BN$2,0,0,ROW()-1,60),ROW()-1,FALSE))</f>
        <v>2863.2638729999999</v>
      </c>
      <c r="AE74">
        <f ca="1">IF(AND(ISNUMBER($AE$279),$B$208=1),$AE$279,HLOOKUP(INDIRECT(ADDRESS(2,COLUMN())),OFFSET($BN$2,0,0,ROW()-1,60),ROW()-1,FALSE))</f>
        <v>6003.1119250000002</v>
      </c>
      <c r="AF74" t="str">
        <f ca="1">IF(AND(ISNUMBER($AF$279),$B$208=1),$AF$279,HLOOKUP(INDIRECT(ADDRESS(2,COLUMN())),OFFSET($BN$2,0,0,ROW()-1,60),ROW()-1,FALSE))</f>
        <v/>
      </c>
      <c r="AG74" t="str">
        <f ca="1">IF(AND(ISNUMBER($AG$279),$B$208=1),$AG$279,HLOOKUP(INDIRECT(ADDRESS(2,COLUMN())),OFFSET($BN$2,0,0,ROW()-1,60),ROW()-1,FALSE))</f>
        <v/>
      </c>
      <c r="AH74">
        <f ca="1">IF(AND(ISNUMBER($AH$279),$B$208=1),$AH$279,HLOOKUP(INDIRECT(ADDRESS(2,COLUMN())),OFFSET($BN$2,0,0,ROW()-1,60),ROW()-1,FALSE))</f>
        <v>4563.6882379999997</v>
      </c>
      <c r="AI74" t="str">
        <f ca="1">IF(AND(ISNUMBER($AI$279),$B$208=1),$AI$279,HLOOKUP(INDIRECT(ADDRESS(2,COLUMN())),OFFSET($BN$2,0,0,ROW()-1,60),ROW()-1,FALSE))</f>
        <v/>
      </c>
      <c r="AJ74">
        <f ca="1">IF(AND(ISNUMBER($AJ$279),$B$208=1),$AJ$279,HLOOKUP(INDIRECT(ADDRESS(2,COLUMN())),OFFSET($BN$2,0,0,ROW()-1,60),ROW()-1,FALSE))</f>
        <v>7800.5618430000004</v>
      </c>
      <c r="AK74">
        <f ca="1">IF(AND(ISNUMBER($AK$279),$B$208=1),$AK$279,HLOOKUP(INDIRECT(ADDRESS(2,COLUMN())),OFFSET($BN$2,0,0,ROW()-1,60),ROW()-1,FALSE))</f>
        <v>7683.1818489999996</v>
      </c>
      <c r="AL74">
        <f ca="1">IF(AND(ISNUMBER($AL$279),$B$208=1),$AL$279,HLOOKUP(INDIRECT(ADDRESS(2,COLUMN())),OFFSET($BN$2,0,0,ROW()-1,60),ROW()-1,FALSE))</f>
        <v>7399.2785670000003</v>
      </c>
      <c r="AM74">
        <f ca="1">IF(AND(ISNUMBER($AM$279),$B$208=1),$AM$279,HLOOKUP(INDIRECT(ADDRESS(2,COLUMN())),OFFSET($BN$2,0,0,ROW()-1,60),ROW()-1,FALSE))</f>
        <v>9813.1699000000008</v>
      </c>
      <c r="AN74">
        <f ca="1">IF(AND(ISNUMBER($AN$279),$B$208=1),$AN$279,HLOOKUP(INDIRECT(ADDRESS(2,COLUMN())),OFFSET($BN$2,0,0,ROW()-1,60),ROW()-1,FALSE))</f>
        <v>10663.813050000001</v>
      </c>
      <c r="AO74">
        <f ca="1">IF(AND(ISNUMBER($AO$279),$B$208=1),$AO$279,HLOOKUP(INDIRECT(ADDRESS(2,COLUMN())),OFFSET($BN$2,0,0,ROW()-1,60),ROW()-1,FALSE))</f>
        <v>10625.243899999999</v>
      </c>
      <c r="AP74">
        <f ca="1">IF(AND(ISNUMBER($AP$279),$B$208=1),$AP$279,HLOOKUP(INDIRECT(ADDRESS(2,COLUMN())),OFFSET($BN$2,0,0,ROW()-1,60),ROW()-1,FALSE))</f>
        <v>7390.6919989999997</v>
      </c>
      <c r="AQ74">
        <f ca="1">IF(AND(ISNUMBER($AQ$279),$B$208=1),$AQ$279,HLOOKUP(INDIRECT(ADDRESS(2,COLUMN())),OFFSET($BN$2,0,0,ROW()-1,60),ROW()-1,FALSE))</f>
        <v>10617.41296</v>
      </c>
      <c r="AR74">
        <f ca="1">IF(AND(ISNUMBER($AR$279),$B$208=1),$AR$279,HLOOKUP(INDIRECT(ADDRESS(2,COLUMN())),OFFSET($BN$2,0,0,ROW()-1,60),ROW()-1,FALSE))</f>
        <v>10338.502899999999</v>
      </c>
      <c r="AS74">
        <f ca="1">IF(AND(ISNUMBER($AS$279),$B$208=1),$AS$279,HLOOKUP(INDIRECT(ADDRESS(2,COLUMN())),OFFSET($BN$2,0,0,ROW()-1,60),ROW()-1,FALSE))</f>
        <v>14973.818370000001</v>
      </c>
      <c r="AT74">
        <f ca="1">IF(AND(ISNUMBER($AT$279),$B$208=1),$AT$279,HLOOKUP(INDIRECT(ADDRESS(2,COLUMN())),OFFSET($BN$2,0,0,ROW()-1,60),ROW()-1,FALSE))</f>
        <v>10590.80314</v>
      </c>
      <c r="AU74" t="str">
        <f ca="1">IF(AND(ISNUMBER($AU$279),$B$208=1),$AU$279,HLOOKUP(INDIRECT(ADDRESS(2,COLUMN())),OFFSET($BN$2,0,0,ROW()-1,60),ROW()-1,FALSE))</f>
        <v/>
      </c>
      <c r="AV74" t="str">
        <f ca="1">IF(AND(ISNUMBER($AV$279),$B$208=1),$AV$279,HLOOKUP(INDIRECT(ADDRESS(2,COLUMN())),OFFSET($BN$2,0,0,ROW()-1,60),ROW()-1,FALSE))</f>
        <v/>
      </c>
      <c r="AW74">
        <f ca="1">IF(AND(ISNUMBER($AW$279),$B$208=1),$AW$279,HLOOKUP(INDIRECT(ADDRESS(2,COLUMN())),OFFSET($BN$2,0,0,ROW()-1,60),ROW()-1,FALSE))</f>
        <v>7606.7218080000002</v>
      </c>
      <c r="AX74">
        <f ca="1">IF(AND(ISNUMBER($AX$279),$B$208=1),$AX$279,HLOOKUP(INDIRECT(ADDRESS(2,COLUMN())),OFFSET($BN$2,0,0,ROW()-1,60),ROW()-1,FALSE))</f>
        <v>5541.0009120000004</v>
      </c>
      <c r="AY74" t="str">
        <f ca="1">IF(AND(ISNUMBER($AY$279),$B$208=1),$AY$279,HLOOKUP(INDIRECT(ADDRESS(2,COLUMN())),OFFSET($BN$2,0,0,ROW()-1,60),ROW()-1,FALSE))</f>
        <v/>
      </c>
      <c r="AZ74" t="str">
        <f ca="1">IF(AND(ISNUMBER($AZ$279),$B$208=1),$AZ$279,HLOOKUP(INDIRECT(ADDRESS(2,COLUMN())),OFFSET($BN$2,0,0,ROW()-1,60),ROW()-1,FALSE))</f>
        <v/>
      </c>
      <c r="BA74" t="str">
        <f ca="1">IF(AND(ISNUMBER($BA$279),$B$208=1),$BA$279,HLOOKUP(INDIRECT(ADDRESS(2,COLUMN())),OFFSET($BN$2,0,0,ROW()-1,60),ROW()-1,FALSE))</f>
        <v/>
      </c>
      <c r="BB74" t="str">
        <f ca="1">IF(AND(ISNUMBER($BB$279),$B$208=1),$BB$279,HLOOKUP(INDIRECT(ADDRESS(2,COLUMN())),OFFSET($BN$2,0,0,ROW()-1,60),ROW()-1,FALSE))</f>
        <v/>
      </c>
      <c r="BC74" t="str">
        <f ca="1">IF(AND(ISNUMBER($BC$279),$B$208=1),$BC$279,HLOOKUP(INDIRECT(ADDRESS(2,COLUMN())),OFFSET($BN$2,0,0,ROW()-1,60),ROW()-1,FALSE))</f>
        <v/>
      </c>
      <c r="BD74" t="str">
        <f ca="1">IF(AND(ISNUMBER($BD$279),$B$208=1),$BD$279,HLOOKUP(INDIRECT(ADDRESS(2,COLUMN())),OFFSET($BN$2,0,0,ROW()-1,60),ROW()-1,FALSE))</f>
        <v/>
      </c>
      <c r="BE74" t="str">
        <f ca="1">IF(AND(ISNUMBER($BE$279),$B$208=1),$BE$279,HLOOKUP(INDIRECT(ADDRESS(2,COLUMN())),OFFSET($BN$2,0,0,ROW()-1,60),ROW()-1,FALSE))</f>
        <v/>
      </c>
      <c r="BF74" t="str">
        <f ca="1">IF(AND(ISNUMBER($BF$279),$B$208=1),$BF$279,HLOOKUP(INDIRECT(ADDRESS(2,COLUMN())),OFFSET($BN$2,0,0,ROW()-1,60),ROW()-1,FALSE))</f>
        <v/>
      </c>
      <c r="BG74" t="str">
        <f ca="1">IF(AND(ISNUMBER($BG$279),$B$208=1),$BG$279,HLOOKUP(INDIRECT(ADDRESS(2,COLUMN())),OFFSET($BN$2,0,0,ROW()-1,60),ROW()-1,FALSE))</f>
        <v/>
      </c>
      <c r="BH74">
        <f ca="1">IF(AND(ISNUMBER($BH$279),$B$208=1),$BH$279,HLOOKUP(INDIRECT(ADDRESS(2,COLUMN())),OFFSET($BN$2,0,0,ROW()-1,60),ROW()-1,FALSE))</f>
        <v>6639.7329069999996</v>
      </c>
      <c r="BI74" t="str">
        <f ca="1">IF(AND(ISNUMBER($BI$279),$B$208=1),$BI$279,HLOOKUP(INDIRECT(ADDRESS(2,COLUMN())),OFFSET($BN$2,0,0,ROW()-1,60),ROW()-1,FALSE))</f>
        <v/>
      </c>
      <c r="BJ74">
        <f ca="1">IF(AND(ISNUMBER($BJ$279),$B$208=1),$BJ$279,HLOOKUP(INDIRECT(ADDRESS(2,COLUMN())),OFFSET($BN$2,0,0,ROW()-1,60),ROW()-1,FALSE))</f>
        <v>7237.0276469999999</v>
      </c>
      <c r="BK74" t="str">
        <f ca="1">IF(AND(ISNUMBER($BK$279),$B$208=1),$BK$279,HLOOKUP(INDIRECT(ADDRESS(2,COLUMN())),OFFSET($BN$2,0,0,ROW()-1,60),ROW()-1,FALSE))</f>
        <v/>
      </c>
      <c r="BL74">
        <f ca="1">IF(AND(ISNUMBER($BL$279),$B$208=1),$BL$279,HLOOKUP(INDIRECT(ADDRESS(2,COLUMN())),OFFSET($BN$2,0,0,ROW()-1,60),ROW()-1,FALSE))</f>
        <v>8080.4762259999998</v>
      </c>
      <c r="BM74">
        <f ca="1">IF(AND(ISNUMBER($BM$279),$B$208=1),$BM$279,HLOOKUP(INDIRECT(ADDRESS(2,COLUMN())),OFFSET($BN$2,0,0,ROW()-1,60),ROW()-1,FALSE))</f>
        <v>7853.9689639999997</v>
      </c>
      <c r="BN74" t="str">
        <f>""</f>
        <v/>
      </c>
      <c r="BO74">
        <f>692.3186632</f>
        <v>692.31866319999995</v>
      </c>
      <c r="BP74">
        <f>1044.639208</f>
        <v>1044.6392080000001</v>
      </c>
      <c r="BQ74">
        <f>2568.489179</f>
        <v>2568.4891790000001</v>
      </c>
      <c r="BR74">
        <f>2060.790472</f>
        <v>2060.7904720000001</v>
      </c>
      <c r="BS74">
        <f>2560.426627</f>
        <v>2560.4266269999998</v>
      </c>
      <c r="BT74">
        <f>2854.519004</f>
        <v>2854.5190040000002</v>
      </c>
      <c r="BU74">
        <f>1566.455018</f>
        <v>1566.4550180000001</v>
      </c>
      <c r="BV74">
        <f>2588.343007</f>
        <v>2588.3430069999999</v>
      </c>
      <c r="BW74">
        <f>5910.530301</f>
        <v>5910.5303009999998</v>
      </c>
      <c r="BX74">
        <f>4604.761162</f>
        <v>4604.7611619999998</v>
      </c>
      <c r="BY74">
        <f>2409.66614</f>
        <v>2409.6661399999998</v>
      </c>
      <c r="BZ74">
        <f>2951.025879</f>
        <v>2951.0258789999998</v>
      </c>
      <c r="CA74">
        <f>2716.440074</f>
        <v>2716.4400740000001</v>
      </c>
      <c r="CB74">
        <f>2446.958123</f>
        <v>2446.9581229999999</v>
      </c>
      <c r="CC74">
        <f>3648.351101</f>
        <v>3648.3511010000002</v>
      </c>
      <c r="CD74">
        <f>3689.686221</f>
        <v>3689.6862209999999</v>
      </c>
      <c r="CE74">
        <f>3566.481852</f>
        <v>3566.4818519999999</v>
      </c>
      <c r="CF74">
        <f>3493.27193</f>
        <v>3493.2719299999999</v>
      </c>
      <c r="CG74">
        <f>6077.113645</f>
        <v>6077.1136450000004</v>
      </c>
      <c r="CH74">
        <f>2906.785343</f>
        <v>2906.785343</v>
      </c>
      <c r="CI74">
        <f>3846.675786</f>
        <v>3846.6757859999998</v>
      </c>
      <c r="CJ74">
        <f>2720.967334</f>
        <v>2720.9673339999999</v>
      </c>
      <c r="CK74">
        <f>3150.449737</f>
        <v>3150.4497369999999</v>
      </c>
      <c r="CL74">
        <f>2863.263873</f>
        <v>2863.2638729999999</v>
      </c>
      <c r="CM74">
        <f>6003.111925</f>
        <v>6003.1119250000002</v>
      </c>
      <c r="CN74" t="str">
        <f>""</f>
        <v/>
      </c>
      <c r="CO74" t="str">
        <f>""</f>
        <v/>
      </c>
      <c r="CP74">
        <f>4563.688238</f>
        <v>4563.6882379999997</v>
      </c>
      <c r="CQ74" t="str">
        <f>""</f>
        <v/>
      </c>
      <c r="CR74">
        <f>7800.561843</f>
        <v>7800.5618430000004</v>
      </c>
      <c r="CS74">
        <f>7683.181849</f>
        <v>7683.1818489999996</v>
      </c>
      <c r="CT74">
        <f>7399.278567</f>
        <v>7399.2785670000003</v>
      </c>
      <c r="CU74">
        <f>9813.1699</f>
        <v>9813.1699000000008</v>
      </c>
      <c r="CV74">
        <f>10663.81305</f>
        <v>10663.813050000001</v>
      </c>
      <c r="CW74">
        <f>10625.2439</f>
        <v>10625.243899999999</v>
      </c>
      <c r="CX74">
        <f>7390.691999</f>
        <v>7390.6919989999997</v>
      </c>
      <c r="CY74">
        <f>10617.41296</f>
        <v>10617.41296</v>
      </c>
      <c r="CZ74">
        <f>10338.5029</f>
        <v>10338.502899999999</v>
      </c>
      <c r="DA74">
        <f>14973.81837</f>
        <v>14973.818370000001</v>
      </c>
      <c r="DB74">
        <f>10590.80314</f>
        <v>10590.80314</v>
      </c>
      <c r="DC74" t="str">
        <f>""</f>
        <v/>
      </c>
      <c r="DD74" t="str">
        <f>""</f>
        <v/>
      </c>
      <c r="DE74">
        <f>7606.721808</f>
        <v>7606.7218080000002</v>
      </c>
      <c r="DF74">
        <f>5541.000912</f>
        <v>5541.0009120000004</v>
      </c>
      <c r="DG74" t="str">
        <f>""</f>
        <v/>
      </c>
      <c r="DH74" t="str">
        <f>""</f>
        <v/>
      </c>
      <c r="DI74" t="str">
        <f>""</f>
        <v/>
      </c>
      <c r="DJ74" t="str">
        <f>""</f>
        <v/>
      </c>
      <c r="DK74" t="str">
        <f>""</f>
        <v/>
      </c>
      <c r="DL74" t="str">
        <f>""</f>
        <v/>
      </c>
      <c r="DM74" t="str">
        <f>""</f>
        <v/>
      </c>
      <c r="DN74" t="str">
        <f>""</f>
        <v/>
      </c>
      <c r="DO74" t="str">
        <f>""</f>
        <v/>
      </c>
      <c r="DP74">
        <f>6639.732907</f>
        <v>6639.7329069999996</v>
      </c>
      <c r="DQ74" t="str">
        <f>""</f>
        <v/>
      </c>
      <c r="DR74">
        <f>7237.027647</f>
        <v>7237.0276469999999</v>
      </c>
      <c r="DS74" t="str">
        <f>""</f>
        <v/>
      </c>
      <c r="DT74">
        <f>8080.476226</f>
        <v>8080.4762259999998</v>
      </c>
      <c r="DU74">
        <f>7853.968964</f>
        <v>7853.9689639999997</v>
      </c>
    </row>
    <row r="75" spans="1:125" x14ac:dyDescent="0.25">
      <c r="A75" t="str">
        <f>"    Societe Generale SA"</f>
        <v xml:space="preserve">    Societe Generale SA</v>
      </c>
      <c r="B75" t="str">
        <f>"GLE FP Equity"</f>
        <v>GLE FP Equity</v>
      </c>
      <c r="C75" t="str">
        <f t="shared" si="3"/>
        <v>BM109</v>
      </c>
      <c r="D75" t="str">
        <f t="shared" si="4"/>
        <v>BS_TRADING_SECURITIES_DERIVS</v>
      </c>
      <c r="E75" t="str">
        <f t="shared" si="5"/>
        <v>Dynamic</v>
      </c>
      <c r="F75">
        <f ca="1">IF(AND(ISNUMBER($F$280),$B$208=1),$F$280,HLOOKUP(INDIRECT(ADDRESS(2,COLUMN())),OFFSET($BN$2,0,0,ROW()-1,60),ROW()-1,FALSE))</f>
        <v>96745</v>
      </c>
      <c r="G75" t="str">
        <f ca="1">IF(AND(ISNUMBER($G$280),$B$208=1),$G$280,HLOOKUP(INDIRECT(ADDRESS(2,COLUMN())),OFFSET($BN$2,0,0,ROW()-1,60),ROW()-1,FALSE))</f>
        <v/>
      </c>
      <c r="H75">
        <f ca="1">IF(AND(ISNUMBER($H$280),$B$208=1),$H$280,HLOOKUP(INDIRECT(ADDRESS(2,COLUMN())),OFFSET($BN$2,0,0,ROW()-1,60),ROW()-1,FALSE))</f>
        <v>91377</v>
      </c>
      <c r="I75" t="str">
        <f ca="1">IF(AND(ISNUMBER($I$280),$B$208=1),$I$280,HLOOKUP(INDIRECT(ADDRESS(2,COLUMN())),OFFSET($BN$2,0,0,ROW()-1,60),ROW()-1,FALSE))</f>
        <v/>
      </c>
      <c r="J75">
        <f ca="1">IF(AND(ISNUMBER($J$280),$B$208=1),$J$280,HLOOKUP(INDIRECT(ADDRESS(2,COLUMN())),OFFSET($BN$2,0,0,ROW()-1,60),ROW()-1,FALSE))</f>
        <v>83535</v>
      </c>
      <c r="K75" t="str">
        <f ca="1">IF(AND(ISNUMBER($K$280),$B$208=1),$K$280,HLOOKUP(INDIRECT(ADDRESS(2,COLUMN())),OFFSET($BN$2,0,0,ROW()-1,60),ROW()-1,FALSE))</f>
        <v/>
      </c>
      <c r="L75">
        <f ca="1">IF(AND(ISNUMBER($L$280),$B$208=1),$L$280,HLOOKUP(INDIRECT(ADDRESS(2,COLUMN())),OFFSET($BN$2,0,0,ROW()-1,60),ROW()-1,FALSE))</f>
        <v>75269</v>
      </c>
      <c r="M75" t="str">
        <f ca="1">IF(AND(ISNUMBER($M$280),$B$208=1),$M$280,HLOOKUP(INDIRECT(ADDRESS(2,COLUMN())),OFFSET($BN$2,0,0,ROW()-1,60),ROW()-1,FALSE))</f>
        <v/>
      </c>
      <c r="N75">
        <f ca="1">IF(AND(ISNUMBER($N$280),$B$208=1),$N$280,HLOOKUP(INDIRECT(ADDRESS(2,COLUMN())),OFFSET($BN$2,0,0,ROW()-1,60),ROW()-1,FALSE))</f>
        <v>76775</v>
      </c>
      <c r="O75" t="str">
        <f ca="1">IF(AND(ISNUMBER($O$280),$B$208=1),$O$280,HLOOKUP(INDIRECT(ADDRESS(2,COLUMN())),OFFSET($BN$2,0,0,ROW()-1,60),ROW()-1,FALSE))</f>
        <v/>
      </c>
      <c r="P75">
        <f ca="1">IF(AND(ISNUMBER($P$280),$B$208=1),$P$280,HLOOKUP(INDIRECT(ADDRESS(2,COLUMN())),OFFSET($BN$2,0,0,ROW()-1,60),ROW()-1,FALSE))</f>
        <v>110713</v>
      </c>
      <c r="Q75" t="str">
        <f ca="1">IF(AND(ISNUMBER($Q$280),$B$208=1),$Q$280,HLOOKUP(INDIRECT(ADDRESS(2,COLUMN())),OFFSET($BN$2,0,0,ROW()-1,60),ROW()-1,FALSE))</f>
        <v/>
      </c>
      <c r="R75">
        <f ca="1">IF(AND(ISNUMBER($R$280),$B$208=1),$R$280,HLOOKUP(INDIRECT(ADDRESS(2,COLUMN())),OFFSET($BN$2,0,0,ROW()-1,60),ROW()-1,FALSE))</f>
        <v>100355</v>
      </c>
      <c r="S75" t="str">
        <f ca="1">IF(AND(ISNUMBER($S$280),$B$208=1),$S$280,HLOOKUP(INDIRECT(ADDRESS(2,COLUMN())),OFFSET($BN$2,0,0,ROW()-1,60),ROW()-1,FALSE))</f>
        <v/>
      </c>
      <c r="T75">
        <f ca="1">IF(AND(ISNUMBER($T$280),$B$208=1),$T$280,HLOOKUP(INDIRECT(ADDRESS(2,COLUMN())),OFFSET($BN$2,0,0,ROW()-1,60),ROW()-1,FALSE))</f>
        <v>130816</v>
      </c>
      <c r="U75" t="str">
        <f ca="1">IF(AND(ISNUMBER($U$280),$B$208=1),$U$280,HLOOKUP(INDIRECT(ADDRESS(2,COLUMN())),OFFSET($BN$2,0,0,ROW()-1,60),ROW()-1,FALSE))</f>
        <v/>
      </c>
      <c r="V75">
        <f ca="1">IF(AND(ISNUMBER($V$280),$B$208=1),$V$280,HLOOKUP(INDIRECT(ADDRESS(2,COLUMN())),OFFSET($BN$2,0,0,ROW()-1,60),ROW()-1,FALSE))</f>
        <v>151536</v>
      </c>
      <c r="W75" t="str">
        <f ca="1">IF(AND(ISNUMBER($W$280),$B$208=1),$W$280,HLOOKUP(INDIRECT(ADDRESS(2,COLUMN())),OFFSET($BN$2,0,0,ROW()-1,60),ROW()-1,FALSE))</f>
        <v/>
      </c>
      <c r="X75">
        <f ca="1">IF(AND(ISNUMBER($X$280),$B$208=1),$X$280,HLOOKUP(INDIRECT(ADDRESS(2,COLUMN())),OFFSET($BN$2,0,0,ROW()-1,60),ROW()-1,FALSE))</f>
        <v>169488</v>
      </c>
      <c r="Y75" t="str">
        <f ca="1">IF(AND(ISNUMBER($Y$280),$B$208=1),$Y$280,HLOOKUP(INDIRECT(ADDRESS(2,COLUMN())),OFFSET($BN$2,0,0,ROW()-1,60),ROW()-1,FALSE))</f>
        <v/>
      </c>
      <c r="Z75">
        <f ca="1">IF(AND(ISNUMBER($Z$280),$B$208=1),$Z$280,HLOOKUP(INDIRECT(ADDRESS(2,COLUMN())),OFFSET($BN$2,0,0,ROW()-1,60),ROW()-1,FALSE))</f>
        <v>135849</v>
      </c>
      <c r="AA75" t="str">
        <f ca="1">IF(AND(ISNUMBER($AA$280),$B$208=1),$AA$280,HLOOKUP(INDIRECT(ADDRESS(2,COLUMN())),OFFSET($BN$2,0,0,ROW()-1,60),ROW()-1,FALSE))</f>
        <v/>
      </c>
      <c r="AB75">
        <f ca="1">IF(AND(ISNUMBER($AB$280),$B$208=1),$AB$280,HLOOKUP(INDIRECT(ADDRESS(2,COLUMN())),OFFSET($BN$2,0,0,ROW()-1,60),ROW()-1,FALSE))</f>
        <v>146007</v>
      </c>
      <c r="AC75" t="str">
        <f ca="1">IF(AND(ISNUMBER($AC$280),$B$208=1),$AC$280,HLOOKUP(INDIRECT(ADDRESS(2,COLUMN())),OFFSET($BN$2,0,0,ROW()-1,60),ROW()-1,FALSE))</f>
        <v/>
      </c>
      <c r="AD75">
        <f ca="1">IF(AND(ISNUMBER($AD$280),$B$208=1),$AD$280,HLOOKUP(INDIRECT(ADDRESS(2,COLUMN())),OFFSET($BN$2,0,0,ROW()-1,60),ROW()-1,FALSE))</f>
        <v>122983</v>
      </c>
      <c r="AE75" t="str">
        <f ca="1">IF(AND(ISNUMBER($AE$280),$B$208=1),$AE$280,HLOOKUP(INDIRECT(ADDRESS(2,COLUMN())),OFFSET($BN$2,0,0,ROW()-1,60),ROW()-1,FALSE))</f>
        <v/>
      </c>
      <c r="AF75">
        <f ca="1">IF(AND(ISNUMBER($AF$280),$B$208=1),$AF$280,HLOOKUP(INDIRECT(ADDRESS(2,COLUMN())),OFFSET($BN$2,0,0,ROW()-1,60),ROW()-1,FALSE))</f>
        <v>130006</v>
      </c>
      <c r="AG75" t="str">
        <f ca="1">IF(AND(ISNUMBER($AG$280),$B$208=1),$AG$280,HLOOKUP(INDIRECT(ADDRESS(2,COLUMN())),OFFSET($BN$2,0,0,ROW()-1,60),ROW()-1,FALSE))</f>
        <v/>
      </c>
      <c r="AH75">
        <f ca="1">IF(AND(ISNUMBER($AH$280),$B$208=1),$AH$280,HLOOKUP(INDIRECT(ADDRESS(2,COLUMN())),OFFSET($BN$2,0,0,ROW()-1,60),ROW()-1,FALSE))</f>
        <v>134450</v>
      </c>
      <c r="AI75" t="str">
        <f ca="1">IF(AND(ISNUMBER($AI$280),$B$208=1),$AI$280,HLOOKUP(INDIRECT(ADDRESS(2,COLUMN())),OFFSET($BN$2,0,0,ROW()-1,60),ROW()-1,FALSE))</f>
        <v/>
      </c>
      <c r="AJ75" t="str">
        <f ca="1">IF(AND(ISNUMBER($AJ$280),$B$208=1),$AJ$280,HLOOKUP(INDIRECT(ADDRESS(2,COLUMN())),OFFSET($BN$2,0,0,ROW()-1,60),ROW()-1,FALSE))</f>
        <v/>
      </c>
      <c r="AK75" t="str">
        <f ca="1">IF(AND(ISNUMBER($AK$280),$B$208=1),$AK$280,HLOOKUP(INDIRECT(ADDRESS(2,COLUMN())),OFFSET($BN$2,0,0,ROW()-1,60),ROW()-1,FALSE))</f>
        <v/>
      </c>
      <c r="AL75" t="str">
        <f ca="1">IF(AND(ISNUMBER($AL$280),$B$208=1),$AL$280,HLOOKUP(INDIRECT(ADDRESS(2,COLUMN())),OFFSET($BN$2,0,0,ROW()-1,60),ROW()-1,FALSE))</f>
        <v/>
      </c>
      <c r="AM75" t="str">
        <f ca="1">IF(AND(ISNUMBER($AM$280),$B$208=1),$AM$280,HLOOKUP(INDIRECT(ADDRESS(2,COLUMN())),OFFSET($BN$2,0,0,ROW()-1,60),ROW()-1,FALSE))</f>
        <v/>
      </c>
      <c r="AN75" t="str">
        <f ca="1">IF(AND(ISNUMBER($AN$280),$B$208=1),$AN$280,HLOOKUP(INDIRECT(ADDRESS(2,COLUMN())),OFFSET($BN$2,0,0,ROW()-1,60),ROW()-1,FALSE))</f>
        <v/>
      </c>
      <c r="AO75" t="str">
        <f ca="1">IF(AND(ISNUMBER($AO$280),$B$208=1),$AO$280,HLOOKUP(INDIRECT(ADDRESS(2,COLUMN())),OFFSET($BN$2,0,0,ROW()-1,60),ROW()-1,FALSE))</f>
        <v/>
      </c>
      <c r="AP75" t="str">
        <f ca="1">IF(AND(ISNUMBER($AP$280),$B$208=1),$AP$280,HLOOKUP(INDIRECT(ADDRESS(2,COLUMN())),OFFSET($BN$2,0,0,ROW()-1,60),ROW()-1,FALSE))</f>
        <v/>
      </c>
      <c r="AQ75" t="str">
        <f ca="1">IF(AND(ISNUMBER($AQ$280),$B$208=1),$AQ$280,HLOOKUP(INDIRECT(ADDRESS(2,COLUMN())),OFFSET($BN$2,0,0,ROW()-1,60),ROW()-1,FALSE))</f>
        <v/>
      </c>
      <c r="AR75" t="str">
        <f ca="1">IF(AND(ISNUMBER($AR$280),$B$208=1),$AR$280,HLOOKUP(INDIRECT(ADDRESS(2,COLUMN())),OFFSET($BN$2,0,0,ROW()-1,60),ROW()-1,FALSE))</f>
        <v/>
      </c>
      <c r="AS75" t="str">
        <f ca="1">IF(AND(ISNUMBER($AS$280),$B$208=1),$AS$280,HLOOKUP(INDIRECT(ADDRESS(2,COLUMN())),OFFSET($BN$2,0,0,ROW()-1,60),ROW()-1,FALSE))</f>
        <v/>
      </c>
      <c r="AT75">
        <f ca="1">IF(AND(ISNUMBER($AT$280),$B$208=1),$AT$280,HLOOKUP(INDIRECT(ADDRESS(2,COLUMN())),OFFSET($BN$2,0,0,ROW()-1,60),ROW()-1,FALSE))</f>
        <v>209779</v>
      </c>
      <c r="AU75" t="str">
        <f ca="1">IF(AND(ISNUMBER($AU$280),$B$208=1),$AU$280,HLOOKUP(INDIRECT(ADDRESS(2,COLUMN())),OFFSET($BN$2,0,0,ROW()-1,60),ROW()-1,FALSE))</f>
        <v/>
      </c>
      <c r="AV75">
        <f ca="1">IF(AND(ISNUMBER($AV$280),$B$208=1),$AV$280,HLOOKUP(INDIRECT(ADDRESS(2,COLUMN())),OFFSET($BN$2,0,0,ROW()-1,60),ROW()-1,FALSE))</f>
        <v>175884</v>
      </c>
      <c r="AW75" t="str">
        <f ca="1">IF(AND(ISNUMBER($AW$280),$B$208=1),$AW$280,HLOOKUP(INDIRECT(ADDRESS(2,COLUMN())),OFFSET($BN$2,0,0,ROW()-1,60),ROW()-1,FALSE))</f>
        <v/>
      </c>
      <c r="AX75">
        <f ca="1">IF(AND(ISNUMBER($AX$280),$B$208=1),$AX$280,HLOOKUP(INDIRECT(ADDRESS(2,COLUMN())),OFFSET($BN$2,0,0,ROW()-1,60),ROW()-1,FALSE))</f>
        <v>162072</v>
      </c>
      <c r="AY75" t="str">
        <f ca="1">IF(AND(ISNUMBER($AY$280),$B$208=1),$AY$280,HLOOKUP(INDIRECT(ADDRESS(2,COLUMN())),OFFSET($BN$2,0,0,ROW()-1,60),ROW()-1,FALSE))</f>
        <v/>
      </c>
      <c r="AZ75" t="str">
        <f ca="1">IF(AND(ISNUMBER($AZ$280),$B$208=1),$AZ$280,HLOOKUP(INDIRECT(ADDRESS(2,COLUMN())),OFFSET($BN$2,0,0,ROW()-1,60),ROW()-1,FALSE))</f>
        <v/>
      </c>
      <c r="BA75" t="str">
        <f ca="1">IF(AND(ISNUMBER($BA$280),$B$208=1),$BA$280,HLOOKUP(INDIRECT(ADDRESS(2,COLUMN())),OFFSET($BN$2,0,0,ROW()-1,60),ROW()-1,FALSE))</f>
        <v/>
      </c>
      <c r="BB75">
        <f ca="1">IF(AND(ISNUMBER($BB$280),$B$208=1),$BB$280,HLOOKUP(INDIRECT(ADDRESS(2,COLUMN())),OFFSET($BN$2,0,0,ROW()-1,60),ROW()-1,FALSE))</f>
        <v>218124</v>
      </c>
      <c r="BC75" t="str">
        <f ca="1">IF(AND(ISNUMBER($BC$280),$B$208=1),$BC$280,HLOOKUP(INDIRECT(ADDRESS(2,COLUMN())),OFFSET($BN$2,0,0,ROW()-1,60),ROW()-1,FALSE))</f>
        <v/>
      </c>
      <c r="BD75" t="str">
        <f ca="1">IF(AND(ISNUMBER($BD$280),$B$208=1),$BD$280,HLOOKUP(INDIRECT(ADDRESS(2,COLUMN())),OFFSET($BN$2,0,0,ROW()-1,60),ROW()-1,FALSE))</f>
        <v/>
      </c>
      <c r="BE75" t="str">
        <f ca="1">IF(AND(ISNUMBER($BE$280),$B$208=1),$BE$280,HLOOKUP(INDIRECT(ADDRESS(2,COLUMN())),OFFSET($BN$2,0,0,ROW()-1,60),ROW()-1,FALSE))</f>
        <v/>
      </c>
      <c r="BF75" t="str">
        <f ca="1">IF(AND(ISNUMBER($BF$280),$B$208=1),$BF$280,HLOOKUP(INDIRECT(ADDRESS(2,COLUMN())),OFFSET($BN$2,0,0,ROW()-1,60),ROW()-1,FALSE))</f>
        <v/>
      </c>
      <c r="BG75" t="str">
        <f ca="1">IF(AND(ISNUMBER($BG$280),$B$208=1),$BG$280,HLOOKUP(INDIRECT(ADDRESS(2,COLUMN())),OFFSET($BN$2,0,0,ROW()-1,60),ROW()-1,FALSE))</f>
        <v/>
      </c>
      <c r="BH75" t="str">
        <f ca="1">IF(AND(ISNUMBER($BH$280),$B$208=1),$BH$280,HLOOKUP(INDIRECT(ADDRESS(2,COLUMN())),OFFSET($BN$2,0,0,ROW()-1,60),ROW()-1,FALSE))</f>
        <v/>
      </c>
      <c r="BI75" t="str">
        <f ca="1">IF(AND(ISNUMBER($BI$280),$B$208=1),$BI$280,HLOOKUP(INDIRECT(ADDRESS(2,COLUMN())),OFFSET($BN$2,0,0,ROW()-1,60),ROW()-1,FALSE))</f>
        <v/>
      </c>
      <c r="BJ75" t="str">
        <f ca="1">IF(AND(ISNUMBER($BJ$280),$B$208=1),$BJ$280,HLOOKUP(INDIRECT(ADDRESS(2,COLUMN())),OFFSET($BN$2,0,0,ROW()-1,60),ROW()-1,FALSE))</f>
        <v/>
      </c>
      <c r="BK75" t="str">
        <f ca="1">IF(AND(ISNUMBER($BK$280),$B$208=1),$BK$280,HLOOKUP(INDIRECT(ADDRESS(2,COLUMN())),OFFSET($BN$2,0,0,ROW()-1,60),ROW()-1,FALSE))</f>
        <v/>
      </c>
      <c r="BL75" t="str">
        <f ca="1">IF(AND(ISNUMBER($BL$280),$B$208=1),$BL$280,HLOOKUP(INDIRECT(ADDRESS(2,COLUMN())),OFFSET($BN$2,0,0,ROW()-1,60),ROW()-1,FALSE))</f>
        <v/>
      </c>
      <c r="BM75" t="str">
        <f ca="1">IF(AND(ISNUMBER($BM$280),$B$208=1),$BM$280,HLOOKUP(INDIRECT(ADDRESS(2,COLUMN())),OFFSET($BN$2,0,0,ROW()-1,60),ROW()-1,FALSE))</f>
        <v/>
      </c>
      <c r="BN75">
        <f>96745</f>
        <v>96745</v>
      </c>
      <c r="BO75" t="str">
        <f>""</f>
        <v/>
      </c>
      <c r="BP75">
        <f>91377</f>
        <v>91377</v>
      </c>
      <c r="BQ75" t="str">
        <f>""</f>
        <v/>
      </c>
      <c r="BR75">
        <f>83535</f>
        <v>83535</v>
      </c>
      <c r="BS75" t="str">
        <f>""</f>
        <v/>
      </c>
      <c r="BT75">
        <f>75269</f>
        <v>75269</v>
      </c>
      <c r="BU75" t="str">
        <f>""</f>
        <v/>
      </c>
      <c r="BV75">
        <f>76775</f>
        <v>76775</v>
      </c>
      <c r="BW75" t="str">
        <f>""</f>
        <v/>
      </c>
      <c r="BX75">
        <f>110713</f>
        <v>110713</v>
      </c>
      <c r="BY75" t="str">
        <f>""</f>
        <v/>
      </c>
      <c r="BZ75">
        <f>100355</f>
        <v>100355</v>
      </c>
      <c r="CA75" t="str">
        <f>""</f>
        <v/>
      </c>
      <c r="CB75">
        <f>130816</f>
        <v>130816</v>
      </c>
      <c r="CC75" t="str">
        <f>""</f>
        <v/>
      </c>
      <c r="CD75">
        <f>151536</f>
        <v>151536</v>
      </c>
      <c r="CE75" t="str">
        <f>""</f>
        <v/>
      </c>
      <c r="CF75">
        <f>169488</f>
        <v>169488</v>
      </c>
      <c r="CG75" t="str">
        <f>""</f>
        <v/>
      </c>
      <c r="CH75">
        <f>135849</f>
        <v>135849</v>
      </c>
      <c r="CI75" t="str">
        <f>""</f>
        <v/>
      </c>
      <c r="CJ75">
        <f>146007</f>
        <v>146007</v>
      </c>
      <c r="CK75" t="str">
        <f>""</f>
        <v/>
      </c>
      <c r="CL75">
        <f>122983</f>
        <v>122983</v>
      </c>
      <c r="CM75" t="str">
        <f>""</f>
        <v/>
      </c>
      <c r="CN75">
        <f>130006</f>
        <v>130006</v>
      </c>
      <c r="CO75" t="str">
        <f>""</f>
        <v/>
      </c>
      <c r="CP75">
        <f>134450</f>
        <v>134450</v>
      </c>
      <c r="CQ75" t="str">
        <f>""</f>
        <v/>
      </c>
      <c r="CR75" t="str">
        <f>""</f>
        <v/>
      </c>
      <c r="CS75" t="str">
        <f>""</f>
        <v/>
      </c>
      <c r="CT75" t="str">
        <f>""</f>
        <v/>
      </c>
      <c r="CU75" t="str">
        <f>""</f>
        <v/>
      </c>
      <c r="CV75" t="str">
        <f>""</f>
        <v/>
      </c>
      <c r="CW75" t="str">
        <f>""</f>
        <v/>
      </c>
      <c r="CX75" t="str">
        <f>""</f>
        <v/>
      </c>
      <c r="CY75" t="str">
        <f>""</f>
        <v/>
      </c>
      <c r="CZ75" t="str">
        <f>""</f>
        <v/>
      </c>
      <c r="DA75" t="str">
        <f>""</f>
        <v/>
      </c>
      <c r="DB75">
        <f>209779</f>
        <v>209779</v>
      </c>
      <c r="DC75" t="str">
        <f>""</f>
        <v/>
      </c>
      <c r="DD75">
        <f>175884</f>
        <v>175884</v>
      </c>
      <c r="DE75" t="str">
        <f>""</f>
        <v/>
      </c>
      <c r="DF75">
        <f>162072</f>
        <v>162072</v>
      </c>
      <c r="DG75" t="str">
        <f>""</f>
        <v/>
      </c>
      <c r="DH75" t="str">
        <f>""</f>
        <v/>
      </c>
      <c r="DI75" t="str">
        <f>""</f>
        <v/>
      </c>
      <c r="DJ75">
        <f>218124</f>
        <v>218124</v>
      </c>
      <c r="DK75" t="str">
        <f>""</f>
        <v/>
      </c>
      <c r="DL75" t="str">
        <f>""</f>
        <v/>
      </c>
      <c r="DM75" t="str">
        <f>""</f>
        <v/>
      </c>
      <c r="DN75" t="str">
        <f>""</f>
        <v/>
      </c>
      <c r="DO75" t="str">
        <f>""</f>
        <v/>
      </c>
      <c r="DP75" t="str">
        <f>""</f>
        <v/>
      </c>
      <c r="DQ75" t="str">
        <f>""</f>
        <v/>
      </c>
      <c r="DR75" t="str">
        <f>""</f>
        <v/>
      </c>
      <c r="DS75" t="str">
        <f>""</f>
        <v/>
      </c>
      <c r="DT75" t="str">
        <f>""</f>
        <v/>
      </c>
      <c r="DU75" t="str">
        <f>""</f>
        <v/>
      </c>
    </row>
    <row r="76" spans="1:125" x14ac:dyDescent="0.25">
      <c r="A76" t="str">
        <f>"    Standard Chartered PLC"</f>
        <v xml:space="preserve">    Standard Chartered PLC</v>
      </c>
      <c r="B76" t="str">
        <f>"STAN LN Equity"</f>
        <v>STAN LN Equity</v>
      </c>
      <c r="C76" t="str">
        <f t="shared" si="3"/>
        <v>BM109</v>
      </c>
      <c r="D76" t="str">
        <f t="shared" si="4"/>
        <v>BS_TRADING_SECURITIES_DERIVS</v>
      </c>
      <c r="E76" t="str">
        <f t="shared" si="5"/>
        <v>Dynamic</v>
      </c>
      <c r="F76" t="str">
        <f ca="1">IF(AND(ISNUMBER($F$281),$B$208=1),$F$281,HLOOKUP(INDIRECT(ADDRESS(2,COLUMN())),OFFSET($BN$2,0,0,ROW()-1,60),ROW()-1,FALSE))</f>
        <v/>
      </c>
      <c r="G76" t="str">
        <f ca="1">IF(AND(ISNUMBER($G$281),$B$208=1),$G$281,HLOOKUP(INDIRECT(ADDRESS(2,COLUMN())),OFFSET($BN$2,0,0,ROW()-1,60),ROW()-1,FALSE))</f>
        <v/>
      </c>
      <c r="H76" t="str">
        <f ca="1">IF(AND(ISNUMBER($H$281),$B$208=1),$H$281,HLOOKUP(INDIRECT(ADDRESS(2,COLUMN())),OFFSET($BN$2,0,0,ROW()-1,60),ROW()-1,FALSE))</f>
        <v/>
      </c>
      <c r="I76" t="str">
        <f ca="1">IF(AND(ISNUMBER($I$281),$B$208=1),$I$281,HLOOKUP(INDIRECT(ADDRESS(2,COLUMN())),OFFSET($BN$2,0,0,ROW()-1,60),ROW()-1,FALSE))</f>
        <v/>
      </c>
      <c r="J76" t="str">
        <f ca="1">IF(AND(ISNUMBER($J$281),$B$208=1),$J$281,HLOOKUP(INDIRECT(ADDRESS(2,COLUMN())),OFFSET($BN$2,0,0,ROW()-1,60),ROW()-1,FALSE))</f>
        <v/>
      </c>
      <c r="K76" t="str">
        <f ca="1">IF(AND(ISNUMBER($K$281),$B$208=1),$K$281,HLOOKUP(INDIRECT(ADDRESS(2,COLUMN())),OFFSET($BN$2,0,0,ROW()-1,60),ROW()-1,FALSE))</f>
        <v/>
      </c>
      <c r="L76" t="str">
        <f ca="1">IF(AND(ISNUMBER($L$281),$B$208=1),$L$281,HLOOKUP(INDIRECT(ADDRESS(2,COLUMN())),OFFSET($BN$2,0,0,ROW()-1,60),ROW()-1,FALSE))</f>
        <v/>
      </c>
      <c r="M76" t="str">
        <f ca="1">IF(AND(ISNUMBER($M$281),$B$208=1),$M$281,HLOOKUP(INDIRECT(ADDRESS(2,COLUMN())),OFFSET($BN$2,0,0,ROW()-1,60),ROW()-1,FALSE))</f>
        <v/>
      </c>
      <c r="N76" t="str">
        <f ca="1">IF(AND(ISNUMBER($N$281),$B$208=1),$N$281,HLOOKUP(INDIRECT(ADDRESS(2,COLUMN())),OFFSET($BN$2,0,0,ROW()-1,60),ROW()-1,FALSE))</f>
        <v/>
      </c>
      <c r="O76" t="str">
        <f ca="1">IF(AND(ISNUMBER($O$281),$B$208=1),$O$281,HLOOKUP(INDIRECT(ADDRESS(2,COLUMN())),OFFSET($BN$2,0,0,ROW()-1,60),ROW()-1,FALSE))</f>
        <v/>
      </c>
      <c r="P76" t="str">
        <f ca="1">IF(AND(ISNUMBER($P$281),$B$208=1),$P$281,HLOOKUP(INDIRECT(ADDRESS(2,COLUMN())),OFFSET($BN$2,0,0,ROW()-1,60),ROW()-1,FALSE))</f>
        <v/>
      </c>
      <c r="Q76" t="str">
        <f ca="1">IF(AND(ISNUMBER($Q$281),$B$208=1),$Q$281,HLOOKUP(INDIRECT(ADDRESS(2,COLUMN())),OFFSET($BN$2,0,0,ROW()-1,60),ROW()-1,FALSE))</f>
        <v/>
      </c>
      <c r="R76" t="str">
        <f ca="1">IF(AND(ISNUMBER($R$281),$B$208=1),$R$281,HLOOKUP(INDIRECT(ADDRESS(2,COLUMN())),OFFSET($BN$2,0,0,ROW()-1,60),ROW()-1,FALSE))</f>
        <v/>
      </c>
      <c r="S76" t="str">
        <f ca="1">IF(AND(ISNUMBER($S$281),$B$208=1),$S$281,HLOOKUP(INDIRECT(ADDRESS(2,COLUMN())),OFFSET($BN$2,0,0,ROW()-1,60),ROW()-1,FALSE))</f>
        <v/>
      </c>
      <c r="T76" t="str">
        <f ca="1">IF(AND(ISNUMBER($T$281),$B$208=1),$T$281,HLOOKUP(INDIRECT(ADDRESS(2,COLUMN())),OFFSET($BN$2,0,0,ROW()-1,60),ROW()-1,FALSE))</f>
        <v/>
      </c>
      <c r="U76" t="str">
        <f ca="1">IF(AND(ISNUMBER($U$281),$B$208=1),$U$281,HLOOKUP(INDIRECT(ADDRESS(2,COLUMN())),OFFSET($BN$2,0,0,ROW()-1,60),ROW()-1,FALSE))</f>
        <v/>
      </c>
      <c r="V76" t="str">
        <f ca="1">IF(AND(ISNUMBER($V$281),$B$208=1),$V$281,HLOOKUP(INDIRECT(ADDRESS(2,COLUMN())),OFFSET($BN$2,0,0,ROW()-1,60),ROW()-1,FALSE))</f>
        <v/>
      </c>
      <c r="W76" t="str">
        <f ca="1">IF(AND(ISNUMBER($W$281),$B$208=1),$W$281,HLOOKUP(INDIRECT(ADDRESS(2,COLUMN())),OFFSET($BN$2,0,0,ROW()-1,60),ROW()-1,FALSE))</f>
        <v/>
      </c>
      <c r="X76" t="str">
        <f ca="1">IF(AND(ISNUMBER($X$281),$B$208=1),$X$281,HLOOKUP(INDIRECT(ADDRESS(2,COLUMN())),OFFSET($BN$2,0,0,ROW()-1,60),ROW()-1,FALSE))</f>
        <v/>
      </c>
      <c r="Y76" t="str">
        <f ca="1">IF(AND(ISNUMBER($Y$281),$B$208=1),$Y$281,HLOOKUP(INDIRECT(ADDRESS(2,COLUMN())),OFFSET($BN$2,0,0,ROW()-1,60),ROW()-1,FALSE))</f>
        <v/>
      </c>
      <c r="Z76" t="str">
        <f ca="1">IF(AND(ISNUMBER($Z$281),$B$208=1),$Z$281,HLOOKUP(INDIRECT(ADDRESS(2,COLUMN())),OFFSET($BN$2,0,0,ROW()-1,60),ROW()-1,FALSE))</f>
        <v/>
      </c>
      <c r="AA76" t="str">
        <f ca="1">IF(AND(ISNUMBER($AA$281),$B$208=1),$AA$281,HLOOKUP(INDIRECT(ADDRESS(2,COLUMN())),OFFSET($BN$2,0,0,ROW()-1,60),ROW()-1,FALSE))</f>
        <v/>
      </c>
      <c r="AB76" t="str">
        <f ca="1">IF(AND(ISNUMBER($AB$281),$B$208=1),$AB$281,HLOOKUP(INDIRECT(ADDRESS(2,COLUMN())),OFFSET($BN$2,0,0,ROW()-1,60),ROW()-1,FALSE))</f>
        <v/>
      </c>
      <c r="AC76" t="str">
        <f ca="1">IF(AND(ISNUMBER($AC$281),$B$208=1),$AC$281,HLOOKUP(INDIRECT(ADDRESS(2,COLUMN())),OFFSET($BN$2,0,0,ROW()-1,60),ROW()-1,FALSE))</f>
        <v/>
      </c>
      <c r="AD76" t="str">
        <f ca="1">IF(AND(ISNUMBER($AD$281),$B$208=1),$AD$281,HLOOKUP(INDIRECT(ADDRESS(2,COLUMN())),OFFSET($BN$2,0,0,ROW()-1,60),ROW()-1,FALSE))</f>
        <v/>
      </c>
      <c r="AE76" t="str">
        <f ca="1">IF(AND(ISNUMBER($AE$281),$B$208=1),$AE$281,HLOOKUP(INDIRECT(ADDRESS(2,COLUMN())),OFFSET($BN$2,0,0,ROW()-1,60),ROW()-1,FALSE))</f>
        <v/>
      </c>
      <c r="AF76" t="str">
        <f ca="1">IF(AND(ISNUMBER($AF$281),$B$208=1),$AF$281,HLOOKUP(INDIRECT(ADDRESS(2,COLUMN())),OFFSET($BN$2,0,0,ROW()-1,60),ROW()-1,FALSE))</f>
        <v/>
      </c>
      <c r="AG76" t="str">
        <f ca="1">IF(AND(ISNUMBER($AG$281),$B$208=1),$AG$281,HLOOKUP(INDIRECT(ADDRESS(2,COLUMN())),OFFSET($BN$2,0,0,ROW()-1,60),ROW()-1,FALSE))</f>
        <v/>
      </c>
      <c r="AH76" t="str">
        <f ca="1">IF(AND(ISNUMBER($AH$281),$B$208=1),$AH$281,HLOOKUP(INDIRECT(ADDRESS(2,COLUMN())),OFFSET($BN$2,0,0,ROW()-1,60),ROW()-1,FALSE))</f>
        <v/>
      </c>
      <c r="AI76" t="str">
        <f ca="1">IF(AND(ISNUMBER($AI$281),$B$208=1),$AI$281,HLOOKUP(INDIRECT(ADDRESS(2,COLUMN())),OFFSET($BN$2,0,0,ROW()-1,60),ROW()-1,FALSE))</f>
        <v/>
      </c>
      <c r="AJ76" t="str">
        <f ca="1">IF(AND(ISNUMBER($AJ$281),$B$208=1),$AJ$281,HLOOKUP(INDIRECT(ADDRESS(2,COLUMN())),OFFSET($BN$2,0,0,ROW()-1,60),ROW()-1,FALSE))</f>
        <v/>
      </c>
      <c r="AK76" t="str">
        <f ca="1">IF(AND(ISNUMBER($AK$281),$B$208=1),$AK$281,HLOOKUP(INDIRECT(ADDRESS(2,COLUMN())),OFFSET($BN$2,0,0,ROW()-1,60),ROW()-1,FALSE))</f>
        <v/>
      </c>
      <c r="AL76" t="str">
        <f ca="1">IF(AND(ISNUMBER($AL$281),$B$208=1),$AL$281,HLOOKUP(INDIRECT(ADDRESS(2,COLUMN())),OFFSET($BN$2,0,0,ROW()-1,60),ROW()-1,FALSE))</f>
        <v/>
      </c>
      <c r="AM76" t="str">
        <f ca="1">IF(AND(ISNUMBER($AM$281),$B$208=1),$AM$281,HLOOKUP(INDIRECT(ADDRESS(2,COLUMN())),OFFSET($BN$2,0,0,ROW()-1,60),ROW()-1,FALSE))</f>
        <v/>
      </c>
      <c r="AN76" t="str">
        <f ca="1">IF(AND(ISNUMBER($AN$281),$B$208=1),$AN$281,HLOOKUP(INDIRECT(ADDRESS(2,COLUMN())),OFFSET($BN$2,0,0,ROW()-1,60),ROW()-1,FALSE))</f>
        <v/>
      </c>
      <c r="AO76" t="str">
        <f ca="1">IF(AND(ISNUMBER($AO$281),$B$208=1),$AO$281,HLOOKUP(INDIRECT(ADDRESS(2,COLUMN())),OFFSET($BN$2,0,0,ROW()-1,60),ROW()-1,FALSE))</f>
        <v/>
      </c>
      <c r="AP76" t="str">
        <f ca="1">IF(AND(ISNUMBER($AP$281),$B$208=1),$AP$281,HLOOKUP(INDIRECT(ADDRESS(2,COLUMN())),OFFSET($BN$2,0,0,ROW()-1,60),ROW()-1,FALSE))</f>
        <v/>
      </c>
      <c r="AQ76" t="str">
        <f ca="1">IF(AND(ISNUMBER($AQ$281),$B$208=1),$AQ$281,HLOOKUP(INDIRECT(ADDRESS(2,COLUMN())),OFFSET($BN$2,0,0,ROW()-1,60),ROW()-1,FALSE))</f>
        <v/>
      </c>
      <c r="AR76" t="str">
        <f ca="1">IF(AND(ISNUMBER($AR$281),$B$208=1),$AR$281,HLOOKUP(INDIRECT(ADDRESS(2,COLUMN())),OFFSET($BN$2,0,0,ROW()-1,60),ROW()-1,FALSE))</f>
        <v/>
      </c>
      <c r="AS76" t="str">
        <f ca="1">IF(AND(ISNUMBER($AS$281),$B$208=1),$AS$281,HLOOKUP(INDIRECT(ADDRESS(2,COLUMN())),OFFSET($BN$2,0,0,ROW()-1,60),ROW()-1,FALSE))</f>
        <v/>
      </c>
      <c r="AT76" t="str">
        <f ca="1">IF(AND(ISNUMBER($AT$281),$B$208=1),$AT$281,HLOOKUP(INDIRECT(ADDRESS(2,COLUMN())),OFFSET($BN$2,0,0,ROW()-1,60),ROW()-1,FALSE))</f>
        <v/>
      </c>
      <c r="AU76" t="str">
        <f ca="1">IF(AND(ISNUMBER($AU$281),$B$208=1),$AU$281,HLOOKUP(INDIRECT(ADDRESS(2,COLUMN())),OFFSET($BN$2,0,0,ROW()-1,60),ROW()-1,FALSE))</f>
        <v/>
      </c>
      <c r="AV76" t="str">
        <f ca="1">IF(AND(ISNUMBER($AV$281),$B$208=1),$AV$281,HLOOKUP(INDIRECT(ADDRESS(2,COLUMN())),OFFSET($BN$2,0,0,ROW()-1,60),ROW()-1,FALSE))</f>
        <v/>
      </c>
      <c r="AW76" t="str">
        <f ca="1">IF(AND(ISNUMBER($AW$281),$B$208=1),$AW$281,HLOOKUP(INDIRECT(ADDRESS(2,COLUMN())),OFFSET($BN$2,0,0,ROW()-1,60),ROW()-1,FALSE))</f>
        <v/>
      </c>
      <c r="AX76" t="str">
        <f ca="1">IF(AND(ISNUMBER($AX$281),$B$208=1),$AX$281,HLOOKUP(INDIRECT(ADDRESS(2,COLUMN())),OFFSET($BN$2,0,0,ROW()-1,60),ROW()-1,FALSE))</f>
        <v/>
      </c>
      <c r="AY76" t="str">
        <f ca="1">IF(AND(ISNUMBER($AY$281),$B$208=1),$AY$281,HLOOKUP(INDIRECT(ADDRESS(2,COLUMN())),OFFSET($BN$2,0,0,ROW()-1,60),ROW()-1,FALSE))</f>
        <v/>
      </c>
      <c r="AZ76" t="str">
        <f ca="1">IF(AND(ISNUMBER($AZ$281),$B$208=1),$AZ$281,HLOOKUP(INDIRECT(ADDRESS(2,COLUMN())),OFFSET($BN$2,0,0,ROW()-1,60),ROW()-1,FALSE))</f>
        <v/>
      </c>
      <c r="BA76" t="str">
        <f ca="1">IF(AND(ISNUMBER($BA$281),$B$208=1),$BA$281,HLOOKUP(INDIRECT(ADDRESS(2,COLUMN())),OFFSET($BN$2,0,0,ROW()-1,60),ROW()-1,FALSE))</f>
        <v/>
      </c>
      <c r="BB76" t="str">
        <f ca="1">IF(AND(ISNUMBER($BB$281),$B$208=1),$BB$281,HLOOKUP(INDIRECT(ADDRESS(2,COLUMN())),OFFSET($BN$2,0,0,ROW()-1,60),ROW()-1,FALSE))</f>
        <v/>
      </c>
      <c r="BC76" t="str">
        <f ca="1">IF(AND(ISNUMBER($BC$281),$B$208=1),$BC$281,HLOOKUP(INDIRECT(ADDRESS(2,COLUMN())),OFFSET($BN$2,0,0,ROW()-1,60),ROW()-1,FALSE))</f>
        <v/>
      </c>
      <c r="BD76" t="str">
        <f ca="1">IF(AND(ISNUMBER($BD$281),$B$208=1),$BD$281,HLOOKUP(INDIRECT(ADDRESS(2,COLUMN())),OFFSET($BN$2,0,0,ROW()-1,60),ROW()-1,FALSE))</f>
        <v/>
      </c>
      <c r="BE76" t="str">
        <f ca="1">IF(AND(ISNUMBER($BE$281),$B$208=1),$BE$281,HLOOKUP(INDIRECT(ADDRESS(2,COLUMN())),OFFSET($BN$2,0,0,ROW()-1,60),ROW()-1,FALSE))</f>
        <v/>
      </c>
      <c r="BF76" t="str">
        <f ca="1">IF(AND(ISNUMBER($BF$281),$B$208=1),$BF$281,HLOOKUP(INDIRECT(ADDRESS(2,COLUMN())),OFFSET($BN$2,0,0,ROW()-1,60),ROW()-1,FALSE))</f>
        <v/>
      </c>
      <c r="BG76" t="str">
        <f ca="1">IF(AND(ISNUMBER($BG$281),$B$208=1),$BG$281,HLOOKUP(INDIRECT(ADDRESS(2,COLUMN())),OFFSET($BN$2,0,0,ROW()-1,60),ROW()-1,FALSE))</f>
        <v/>
      </c>
      <c r="BH76" t="str">
        <f ca="1">IF(AND(ISNUMBER($BH$281),$B$208=1),$BH$281,HLOOKUP(INDIRECT(ADDRESS(2,COLUMN())),OFFSET($BN$2,0,0,ROW()-1,60),ROW()-1,FALSE))</f>
        <v/>
      </c>
      <c r="BI76" t="str">
        <f ca="1">IF(AND(ISNUMBER($BI$281),$B$208=1),$BI$281,HLOOKUP(INDIRECT(ADDRESS(2,COLUMN())),OFFSET($BN$2,0,0,ROW()-1,60),ROW()-1,FALSE))</f>
        <v/>
      </c>
      <c r="BJ76" t="str">
        <f ca="1">IF(AND(ISNUMBER($BJ$281),$B$208=1),$BJ$281,HLOOKUP(INDIRECT(ADDRESS(2,COLUMN())),OFFSET($BN$2,0,0,ROW()-1,60),ROW()-1,FALSE))</f>
        <v/>
      </c>
      <c r="BK76" t="str">
        <f ca="1">IF(AND(ISNUMBER($BK$281),$B$208=1),$BK$281,HLOOKUP(INDIRECT(ADDRESS(2,COLUMN())),OFFSET($BN$2,0,0,ROW()-1,60),ROW()-1,FALSE))</f>
        <v/>
      </c>
      <c r="BL76" t="str">
        <f ca="1">IF(AND(ISNUMBER($BL$281),$B$208=1),$BL$281,HLOOKUP(INDIRECT(ADDRESS(2,COLUMN())),OFFSET($BN$2,0,0,ROW()-1,60),ROW()-1,FALSE))</f>
        <v/>
      </c>
      <c r="BM76" t="str">
        <f ca="1">IF(AND(ISNUMBER($BM$281),$B$208=1),$BM$281,HLOOKUP(INDIRECT(ADDRESS(2,COLUMN())),OFFSET($BN$2,0,0,ROW()-1,60),ROW()-1,FALSE))</f>
        <v/>
      </c>
      <c r="BN76" t="str">
        <f>""</f>
        <v/>
      </c>
      <c r="BO76" t="str">
        <f>""</f>
        <v/>
      </c>
      <c r="BP76" t="str">
        <f>""</f>
        <v/>
      </c>
      <c r="BQ76" t="str">
        <f>""</f>
        <v/>
      </c>
      <c r="BR76" t="str">
        <f>""</f>
        <v/>
      </c>
      <c r="BS76" t="str">
        <f>""</f>
        <v/>
      </c>
      <c r="BT76" t="str">
        <f>""</f>
        <v/>
      </c>
      <c r="BU76" t="str">
        <f>""</f>
        <v/>
      </c>
      <c r="BV76" t="str">
        <f>""</f>
        <v/>
      </c>
      <c r="BW76" t="str">
        <f>""</f>
        <v/>
      </c>
      <c r="BX76" t="str">
        <f>""</f>
        <v/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  <c r="CH76" t="str">
        <f>""</f>
        <v/>
      </c>
      <c r="CI76" t="str">
        <f>""</f>
        <v/>
      </c>
      <c r="CJ76" t="str">
        <f>""</f>
        <v/>
      </c>
      <c r="CK76" t="str">
        <f>""</f>
        <v/>
      </c>
      <c r="CL76" t="str">
        <f>""</f>
        <v/>
      </c>
      <c r="CM76" t="str">
        <f>""</f>
        <v/>
      </c>
      <c r="CN76" t="str">
        <f>""</f>
        <v/>
      </c>
      <c r="CO76" t="str">
        <f>""</f>
        <v/>
      </c>
      <c r="CP76" t="str">
        <f>""</f>
        <v/>
      </c>
      <c r="CQ76" t="str">
        <f>""</f>
        <v/>
      </c>
      <c r="CR76" t="str">
        <f>""</f>
        <v/>
      </c>
      <c r="CS76" t="str">
        <f>""</f>
        <v/>
      </c>
      <c r="CT76" t="str">
        <f>""</f>
        <v/>
      </c>
      <c r="CU76" t="str">
        <f>""</f>
        <v/>
      </c>
      <c r="CV76" t="str">
        <f>""</f>
        <v/>
      </c>
      <c r="CW76" t="str">
        <f>""</f>
        <v/>
      </c>
      <c r="CX76" t="str">
        <f>""</f>
        <v/>
      </c>
      <c r="CY76" t="str">
        <f>""</f>
        <v/>
      </c>
      <c r="CZ76" t="str">
        <f>""</f>
        <v/>
      </c>
      <c r="DA76" t="str">
        <f>""</f>
        <v/>
      </c>
      <c r="DB76" t="str">
        <f>""</f>
        <v/>
      </c>
      <c r="DC76" t="str">
        <f>""</f>
        <v/>
      </c>
      <c r="DD76" t="str">
        <f>""</f>
        <v/>
      </c>
      <c r="DE76" t="str">
        <f>""</f>
        <v/>
      </c>
      <c r="DF76" t="str">
        <f>""</f>
        <v/>
      </c>
      <c r="DG76" t="str">
        <f>""</f>
        <v/>
      </c>
      <c r="DH76" t="str">
        <f>""</f>
        <v/>
      </c>
      <c r="DI76" t="str">
        <f>""</f>
        <v/>
      </c>
      <c r="DJ76" t="str">
        <f>""</f>
        <v/>
      </c>
      <c r="DK76" t="str">
        <f>""</f>
        <v/>
      </c>
      <c r="DL76" t="str">
        <f>""</f>
        <v/>
      </c>
      <c r="DM76" t="str">
        <f>""</f>
        <v/>
      </c>
      <c r="DN76" t="str">
        <f>""</f>
        <v/>
      </c>
      <c r="DO76" t="str">
        <f>""</f>
        <v/>
      </c>
      <c r="DP76" t="str">
        <f>""</f>
        <v/>
      </c>
      <c r="DQ76" t="str">
        <f>""</f>
        <v/>
      </c>
      <c r="DR76" t="str">
        <f>""</f>
        <v/>
      </c>
      <c r="DS76" t="str">
        <f>""</f>
        <v/>
      </c>
      <c r="DT76" t="str">
        <f>""</f>
        <v/>
      </c>
      <c r="DU76" t="str">
        <f>""</f>
        <v/>
      </c>
    </row>
    <row r="77" spans="1:125" x14ac:dyDescent="0.25">
      <c r="A77" t="str">
        <f>"    UBS Group AG"</f>
        <v xml:space="preserve">    UBS Group AG</v>
      </c>
      <c r="B77" t="str">
        <f>"UBSG SW Equity"</f>
        <v>UBSG SW Equity</v>
      </c>
      <c r="C77" t="str">
        <f t="shared" si="3"/>
        <v>BM109</v>
      </c>
      <c r="D77" t="str">
        <f t="shared" si="4"/>
        <v>BS_TRADING_SECURITIES_DERIVS</v>
      </c>
      <c r="E77" t="str">
        <f t="shared" si="5"/>
        <v>Dynamic</v>
      </c>
      <c r="F77" t="str">
        <f ca="1">IF(AND(ISNUMBER($F$282),$B$208=1),$F$282,HLOOKUP(INDIRECT(ADDRESS(2,COLUMN())),OFFSET($BN$2,0,0,ROW()-1,60),ROW()-1,FALSE))</f>
        <v/>
      </c>
      <c r="G77" t="str">
        <f ca="1">IF(AND(ISNUMBER($G$282),$B$208=1),$G$282,HLOOKUP(INDIRECT(ADDRESS(2,COLUMN())),OFFSET($BN$2,0,0,ROW()-1,60),ROW()-1,FALSE))</f>
        <v/>
      </c>
      <c r="H77" t="str">
        <f ca="1">IF(AND(ISNUMBER($H$282),$B$208=1),$H$282,HLOOKUP(INDIRECT(ADDRESS(2,COLUMN())),OFFSET($BN$2,0,0,ROW()-1,60),ROW()-1,FALSE))</f>
        <v/>
      </c>
      <c r="I77" t="str">
        <f ca="1">IF(AND(ISNUMBER($I$282),$B$208=1),$I$282,HLOOKUP(INDIRECT(ADDRESS(2,COLUMN())),OFFSET($BN$2,0,0,ROW()-1,60),ROW()-1,FALSE))</f>
        <v/>
      </c>
      <c r="J77" t="str">
        <f ca="1">IF(AND(ISNUMBER($J$282),$B$208=1),$J$282,HLOOKUP(INDIRECT(ADDRESS(2,COLUMN())),OFFSET($BN$2,0,0,ROW()-1,60),ROW()-1,FALSE))</f>
        <v/>
      </c>
      <c r="K77" t="str">
        <f ca="1">IF(AND(ISNUMBER($K$282),$B$208=1),$K$282,HLOOKUP(INDIRECT(ADDRESS(2,COLUMN())),OFFSET($BN$2,0,0,ROW()-1,60),ROW()-1,FALSE))</f>
        <v/>
      </c>
      <c r="L77" t="str">
        <f ca="1">IF(AND(ISNUMBER($L$282),$B$208=1),$L$282,HLOOKUP(INDIRECT(ADDRESS(2,COLUMN())),OFFSET($BN$2,0,0,ROW()-1,60),ROW()-1,FALSE))</f>
        <v/>
      </c>
      <c r="M77" t="str">
        <f ca="1">IF(AND(ISNUMBER($M$282),$B$208=1),$M$282,HLOOKUP(INDIRECT(ADDRESS(2,COLUMN())),OFFSET($BN$2,0,0,ROW()-1,60),ROW()-1,FALSE))</f>
        <v/>
      </c>
      <c r="N77" t="str">
        <f ca="1">IF(AND(ISNUMBER($N$282),$B$208=1),$N$282,HLOOKUP(INDIRECT(ADDRESS(2,COLUMN())),OFFSET($BN$2,0,0,ROW()-1,60),ROW()-1,FALSE))</f>
        <v/>
      </c>
      <c r="O77" t="str">
        <f ca="1">IF(AND(ISNUMBER($O$282),$B$208=1),$O$282,HLOOKUP(INDIRECT(ADDRESS(2,COLUMN())),OFFSET($BN$2,0,0,ROW()-1,60),ROW()-1,FALSE))</f>
        <v/>
      </c>
      <c r="P77" t="str">
        <f ca="1">IF(AND(ISNUMBER($P$282),$B$208=1),$P$282,HLOOKUP(INDIRECT(ADDRESS(2,COLUMN())),OFFSET($BN$2,0,0,ROW()-1,60),ROW()-1,FALSE))</f>
        <v/>
      </c>
      <c r="Q77" t="str">
        <f ca="1">IF(AND(ISNUMBER($Q$282),$B$208=1),$Q$282,HLOOKUP(INDIRECT(ADDRESS(2,COLUMN())),OFFSET($BN$2,0,0,ROW()-1,60),ROW()-1,FALSE))</f>
        <v/>
      </c>
      <c r="R77" t="str">
        <f ca="1">IF(AND(ISNUMBER($R$282),$B$208=1),$R$282,HLOOKUP(INDIRECT(ADDRESS(2,COLUMN())),OFFSET($BN$2,0,0,ROW()-1,60),ROW()-1,FALSE))</f>
        <v/>
      </c>
      <c r="S77" t="str">
        <f ca="1">IF(AND(ISNUMBER($S$282),$B$208=1),$S$282,HLOOKUP(INDIRECT(ADDRESS(2,COLUMN())),OFFSET($BN$2,0,0,ROW()-1,60),ROW()-1,FALSE))</f>
        <v/>
      </c>
      <c r="T77" t="str">
        <f ca="1">IF(AND(ISNUMBER($T$282),$B$208=1),$T$282,HLOOKUP(INDIRECT(ADDRESS(2,COLUMN())),OFFSET($BN$2,0,0,ROW()-1,60),ROW()-1,FALSE))</f>
        <v/>
      </c>
      <c r="U77" t="str">
        <f ca="1">IF(AND(ISNUMBER($U$282),$B$208=1),$U$282,HLOOKUP(INDIRECT(ADDRESS(2,COLUMN())),OFFSET($BN$2,0,0,ROW()-1,60),ROW()-1,FALSE))</f>
        <v/>
      </c>
      <c r="V77" t="str">
        <f ca="1">IF(AND(ISNUMBER($V$282),$B$208=1),$V$282,HLOOKUP(INDIRECT(ADDRESS(2,COLUMN())),OFFSET($BN$2,0,0,ROW()-1,60),ROW()-1,FALSE))</f>
        <v/>
      </c>
      <c r="W77" t="str">
        <f ca="1">IF(AND(ISNUMBER($W$282),$B$208=1),$W$282,HLOOKUP(INDIRECT(ADDRESS(2,COLUMN())),OFFSET($BN$2,0,0,ROW()-1,60),ROW()-1,FALSE))</f>
        <v/>
      </c>
      <c r="X77" t="str">
        <f ca="1">IF(AND(ISNUMBER($X$282),$B$208=1),$X$282,HLOOKUP(INDIRECT(ADDRESS(2,COLUMN())),OFFSET($BN$2,0,0,ROW()-1,60),ROW()-1,FALSE))</f>
        <v/>
      </c>
      <c r="Y77" t="str">
        <f ca="1">IF(AND(ISNUMBER($Y$282),$B$208=1),$Y$282,HLOOKUP(INDIRECT(ADDRESS(2,COLUMN())),OFFSET($BN$2,0,0,ROW()-1,60),ROW()-1,FALSE))</f>
        <v/>
      </c>
      <c r="Z77" t="str">
        <f ca="1">IF(AND(ISNUMBER($Z$282),$B$208=1),$Z$282,HLOOKUP(INDIRECT(ADDRESS(2,COLUMN())),OFFSET($BN$2,0,0,ROW()-1,60),ROW()-1,FALSE))</f>
        <v/>
      </c>
      <c r="AA77" t="str">
        <f ca="1">IF(AND(ISNUMBER($AA$282),$B$208=1),$AA$282,HLOOKUP(INDIRECT(ADDRESS(2,COLUMN())),OFFSET($BN$2,0,0,ROW()-1,60),ROW()-1,FALSE))</f>
        <v/>
      </c>
      <c r="AB77" t="str">
        <f ca="1">IF(AND(ISNUMBER($AB$282),$B$208=1),$AB$282,HLOOKUP(INDIRECT(ADDRESS(2,COLUMN())),OFFSET($BN$2,0,0,ROW()-1,60),ROW()-1,FALSE))</f>
        <v/>
      </c>
      <c r="AC77" t="str">
        <f ca="1">IF(AND(ISNUMBER($AC$282),$B$208=1),$AC$282,HLOOKUP(INDIRECT(ADDRESS(2,COLUMN())),OFFSET($BN$2,0,0,ROW()-1,60),ROW()-1,FALSE))</f>
        <v/>
      </c>
      <c r="AD77" t="str">
        <f ca="1">IF(AND(ISNUMBER($AD$282),$B$208=1),$AD$282,HLOOKUP(INDIRECT(ADDRESS(2,COLUMN())),OFFSET($BN$2,0,0,ROW()-1,60),ROW()-1,FALSE))</f>
        <v/>
      </c>
      <c r="AE77" t="str">
        <f ca="1">IF(AND(ISNUMBER($AE$282),$B$208=1),$AE$282,HLOOKUP(INDIRECT(ADDRESS(2,COLUMN())),OFFSET($BN$2,0,0,ROW()-1,60),ROW()-1,FALSE))</f>
        <v/>
      </c>
      <c r="AF77" t="str">
        <f ca="1">IF(AND(ISNUMBER($AF$282),$B$208=1),$AF$282,HLOOKUP(INDIRECT(ADDRESS(2,COLUMN())),OFFSET($BN$2,0,0,ROW()-1,60),ROW()-1,FALSE))</f>
        <v/>
      </c>
      <c r="AG77" t="str">
        <f ca="1">IF(AND(ISNUMBER($AG$282),$B$208=1),$AG$282,HLOOKUP(INDIRECT(ADDRESS(2,COLUMN())),OFFSET($BN$2,0,0,ROW()-1,60),ROW()-1,FALSE))</f>
        <v/>
      </c>
      <c r="AH77" t="str">
        <f ca="1">IF(AND(ISNUMBER($AH$282),$B$208=1),$AH$282,HLOOKUP(INDIRECT(ADDRESS(2,COLUMN())),OFFSET($BN$2,0,0,ROW()-1,60),ROW()-1,FALSE))</f>
        <v/>
      </c>
      <c r="AI77" t="str">
        <f ca="1">IF(AND(ISNUMBER($AI$282),$B$208=1),$AI$282,HLOOKUP(INDIRECT(ADDRESS(2,COLUMN())),OFFSET($BN$2,0,0,ROW()-1,60),ROW()-1,FALSE))</f>
        <v/>
      </c>
      <c r="AJ77" t="str">
        <f ca="1">IF(AND(ISNUMBER($AJ$282),$B$208=1),$AJ$282,HLOOKUP(INDIRECT(ADDRESS(2,COLUMN())),OFFSET($BN$2,0,0,ROW()-1,60),ROW()-1,FALSE))</f>
        <v/>
      </c>
      <c r="AK77" t="str">
        <f ca="1">IF(AND(ISNUMBER($AK$282),$B$208=1),$AK$282,HLOOKUP(INDIRECT(ADDRESS(2,COLUMN())),OFFSET($BN$2,0,0,ROW()-1,60),ROW()-1,FALSE))</f>
        <v/>
      </c>
      <c r="AL77" t="str">
        <f ca="1">IF(AND(ISNUMBER($AL$282),$B$208=1),$AL$282,HLOOKUP(INDIRECT(ADDRESS(2,COLUMN())),OFFSET($BN$2,0,0,ROW()-1,60),ROW()-1,FALSE))</f>
        <v/>
      </c>
      <c r="AM77" t="str">
        <f ca="1">IF(AND(ISNUMBER($AM$282),$B$208=1),$AM$282,HLOOKUP(INDIRECT(ADDRESS(2,COLUMN())),OFFSET($BN$2,0,0,ROW()-1,60),ROW()-1,FALSE))</f>
        <v/>
      </c>
      <c r="AN77" t="str">
        <f ca="1">IF(AND(ISNUMBER($AN$282),$B$208=1),$AN$282,HLOOKUP(INDIRECT(ADDRESS(2,COLUMN())),OFFSET($BN$2,0,0,ROW()-1,60),ROW()-1,FALSE))</f>
        <v/>
      </c>
      <c r="AO77" t="str">
        <f ca="1">IF(AND(ISNUMBER($AO$282),$B$208=1),$AO$282,HLOOKUP(INDIRECT(ADDRESS(2,COLUMN())),OFFSET($BN$2,0,0,ROW()-1,60),ROW()-1,FALSE))</f>
        <v/>
      </c>
      <c r="AP77" t="str">
        <f ca="1">IF(AND(ISNUMBER($AP$282),$B$208=1),$AP$282,HLOOKUP(INDIRECT(ADDRESS(2,COLUMN())),OFFSET($BN$2,0,0,ROW()-1,60),ROW()-1,FALSE))</f>
        <v/>
      </c>
      <c r="AQ77" t="str">
        <f ca="1">IF(AND(ISNUMBER($AQ$282),$B$208=1),$AQ$282,HLOOKUP(INDIRECT(ADDRESS(2,COLUMN())),OFFSET($BN$2,0,0,ROW()-1,60),ROW()-1,FALSE))</f>
        <v/>
      </c>
      <c r="AR77" t="str">
        <f ca="1">IF(AND(ISNUMBER($AR$282),$B$208=1),$AR$282,HLOOKUP(INDIRECT(ADDRESS(2,COLUMN())),OFFSET($BN$2,0,0,ROW()-1,60),ROW()-1,FALSE))</f>
        <v/>
      </c>
      <c r="AS77" t="str">
        <f ca="1">IF(AND(ISNUMBER($AS$282),$B$208=1),$AS$282,HLOOKUP(INDIRECT(ADDRESS(2,COLUMN())),OFFSET($BN$2,0,0,ROW()-1,60),ROW()-1,FALSE))</f>
        <v/>
      </c>
      <c r="AT77" t="str">
        <f ca="1">IF(AND(ISNUMBER($AT$282),$B$208=1),$AT$282,HLOOKUP(INDIRECT(ADDRESS(2,COLUMN())),OFFSET($BN$2,0,0,ROW()-1,60),ROW()-1,FALSE))</f>
        <v/>
      </c>
      <c r="AU77" t="str">
        <f ca="1">IF(AND(ISNUMBER($AU$282),$B$208=1),$AU$282,HLOOKUP(INDIRECT(ADDRESS(2,COLUMN())),OFFSET($BN$2,0,0,ROW()-1,60),ROW()-1,FALSE))</f>
        <v/>
      </c>
      <c r="AV77" t="str">
        <f ca="1">IF(AND(ISNUMBER($AV$282),$B$208=1),$AV$282,HLOOKUP(INDIRECT(ADDRESS(2,COLUMN())),OFFSET($BN$2,0,0,ROW()-1,60),ROW()-1,FALSE))</f>
        <v/>
      </c>
      <c r="AW77" t="str">
        <f ca="1">IF(AND(ISNUMBER($AW$282),$B$208=1),$AW$282,HLOOKUP(INDIRECT(ADDRESS(2,COLUMN())),OFFSET($BN$2,0,0,ROW()-1,60),ROW()-1,FALSE))</f>
        <v/>
      </c>
      <c r="AX77" t="str">
        <f ca="1">IF(AND(ISNUMBER($AX$282),$B$208=1),$AX$282,HLOOKUP(INDIRECT(ADDRESS(2,COLUMN())),OFFSET($BN$2,0,0,ROW()-1,60),ROW()-1,FALSE))</f>
        <v/>
      </c>
      <c r="AY77" t="str">
        <f ca="1">IF(AND(ISNUMBER($AY$282),$B$208=1),$AY$282,HLOOKUP(INDIRECT(ADDRESS(2,COLUMN())),OFFSET($BN$2,0,0,ROW()-1,60),ROW()-1,FALSE))</f>
        <v/>
      </c>
      <c r="AZ77" t="str">
        <f ca="1">IF(AND(ISNUMBER($AZ$282),$B$208=1),$AZ$282,HLOOKUP(INDIRECT(ADDRESS(2,COLUMN())),OFFSET($BN$2,0,0,ROW()-1,60),ROW()-1,FALSE))</f>
        <v/>
      </c>
      <c r="BA77" t="str">
        <f ca="1">IF(AND(ISNUMBER($BA$282),$B$208=1),$BA$282,HLOOKUP(INDIRECT(ADDRESS(2,COLUMN())),OFFSET($BN$2,0,0,ROW()-1,60),ROW()-1,FALSE))</f>
        <v/>
      </c>
      <c r="BB77" t="str">
        <f ca="1">IF(AND(ISNUMBER($BB$282),$B$208=1),$BB$282,HLOOKUP(INDIRECT(ADDRESS(2,COLUMN())),OFFSET($BN$2,0,0,ROW()-1,60),ROW()-1,FALSE))</f>
        <v/>
      </c>
      <c r="BC77" t="str">
        <f ca="1">IF(AND(ISNUMBER($BC$282),$B$208=1),$BC$282,HLOOKUP(INDIRECT(ADDRESS(2,COLUMN())),OFFSET($BN$2,0,0,ROW()-1,60),ROW()-1,FALSE))</f>
        <v/>
      </c>
      <c r="BD77" t="str">
        <f ca="1">IF(AND(ISNUMBER($BD$282),$B$208=1),$BD$282,HLOOKUP(INDIRECT(ADDRESS(2,COLUMN())),OFFSET($BN$2,0,0,ROW()-1,60),ROW()-1,FALSE))</f>
        <v/>
      </c>
      <c r="BE77" t="str">
        <f ca="1">IF(AND(ISNUMBER($BE$282),$B$208=1),$BE$282,HLOOKUP(INDIRECT(ADDRESS(2,COLUMN())),OFFSET($BN$2,0,0,ROW()-1,60),ROW()-1,FALSE))</f>
        <v/>
      </c>
      <c r="BF77" t="str">
        <f ca="1">IF(AND(ISNUMBER($BF$282),$B$208=1),$BF$282,HLOOKUP(INDIRECT(ADDRESS(2,COLUMN())),OFFSET($BN$2,0,0,ROW()-1,60),ROW()-1,FALSE))</f>
        <v/>
      </c>
      <c r="BG77" t="str">
        <f ca="1">IF(AND(ISNUMBER($BG$282),$B$208=1),$BG$282,HLOOKUP(INDIRECT(ADDRESS(2,COLUMN())),OFFSET($BN$2,0,0,ROW()-1,60),ROW()-1,FALSE))</f>
        <v/>
      </c>
      <c r="BH77" t="str">
        <f ca="1">IF(AND(ISNUMBER($BH$282),$B$208=1),$BH$282,HLOOKUP(INDIRECT(ADDRESS(2,COLUMN())),OFFSET($BN$2,0,0,ROW()-1,60),ROW()-1,FALSE))</f>
        <v/>
      </c>
      <c r="BI77" t="str">
        <f ca="1">IF(AND(ISNUMBER($BI$282),$B$208=1),$BI$282,HLOOKUP(INDIRECT(ADDRESS(2,COLUMN())),OFFSET($BN$2,0,0,ROW()-1,60),ROW()-1,FALSE))</f>
        <v/>
      </c>
      <c r="BJ77">
        <f ca="1">IF(AND(ISNUMBER($BJ$282),$B$208=1),$BJ$282,HLOOKUP(INDIRECT(ADDRESS(2,COLUMN())),OFFSET($BN$2,0,0,ROW()-1,60),ROW()-1,FALSE))</f>
        <v>321366.52289999998</v>
      </c>
      <c r="BK77" t="str">
        <f ca="1">IF(AND(ISNUMBER($BK$282),$B$208=1),$BK$282,HLOOKUP(INDIRECT(ADDRESS(2,COLUMN())),OFFSET($BN$2,0,0,ROW()-1,60),ROW()-1,FALSE))</f>
        <v/>
      </c>
      <c r="BL77" t="str">
        <f ca="1">IF(AND(ISNUMBER($BL$282),$B$208=1),$BL$282,HLOOKUP(INDIRECT(ADDRESS(2,COLUMN())),OFFSET($BN$2,0,0,ROW()-1,60),ROW()-1,FALSE))</f>
        <v/>
      </c>
      <c r="BM77" t="str">
        <f ca="1">IF(AND(ISNUMBER($BM$282),$B$208=1),$BM$282,HLOOKUP(INDIRECT(ADDRESS(2,COLUMN())),OFFSET($BN$2,0,0,ROW()-1,60),ROW()-1,FALSE))</f>
        <v/>
      </c>
      <c r="BN77" t="str">
        <f>""</f>
        <v/>
      </c>
      <c r="BO77" t="str">
        <f>""</f>
        <v/>
      </c>
      <c r="BP77" t="str">
        <f>""</f>
        <v/>
      </c>
      <c r="BQ77" t="str">
        <f>""</f>
        <v/>
      </c>
      <c r="BR77" t="str">
        <f>""</f>
        <v/>
      </c>
      <c r="BS77" t="str">
        <f>""</f>
        <v/>
      </c>
      <c r="BT77" t="str">
        <f>""</f>
        <v/>
      </c>
      <c r="BU77" t="str">
        <f>""</f>
        <v/>
      </c>
      <c r="BV77" t="str">
        <f>""</f>
        <v/>
      </c>
      <c r="BW77" t="str">
        <f>""</f>
        <v/>
      </c>
      <c r="BX77" t="str">
        <f>""</f>
        <v/>
      </c>
      <c r="BY77" t="str">
        <f>""</f>
        <v/>
      </c>
      <c r="BZ77" t="str">
        <f>""</f>
        <v/>
      </c>
      <c r="CA77" t="str">
        <f>""</f>
        <v/>
      </c>
      <c r="CB77" t="str">
        <f>""</f>
        <v/>
      </c>
      <c r="CC77" t="str">
        <f>""</f>
        <v/>
      </c>
      <c r="CD77" t="str">
        <f>""</f>
        <v/>
      </c>
      <c r="CE77" t="str">
        <f>""</f>
        <v/>
      </c>
      <c r="CF77" t="str">
        <f>""</f>
        <v/>
      </c>
      <c r="CG77" t="str">
        <f>""</f>
        <v/>
      </c>
      <c r="CH77" t="str">
        <f>""</f>
        <v/>
      </c>
      <c r="CI77" t="str">
        <f>""</f>
        <v/>
      </c>
      <c r="CJ77" t="str">
        <f>""</f>
        <v/>
      </c>
      <c r="CK77" t="str">
        <f>""</f>
        <v/>
      </c>
      <c r="CL77" t="str">
        <f>""</f>
        <v/>
      </c>
      <c r="CM77" t="str">
        <f>""</f>
        <v/>
      </c>
      <c r="CN77" t="str">
        <f>""</f>
        <v/>
      </c>
      <c r="CO77" t="str">
        <f>""</f>
        <v/>
      </c>
      <c r="CP77" t="str">
        <f>""</f>
        <v/>
      </c>
      <c r="CQ77" t="str">
        <f>""</f>
        <v/>
      </c>
      <c r="CR77" t="str">
        <f>""</f>
        <v/>
      </c>
      <c r="CS77" t="str">
        <f>""</f>
        <v/>
      </c>
      <c r="CT77" t="str">
        <f>""</f>
        <v/>
      </c>
      <c r="CU77" t="str">
        <f>""</f>
        <v/>
      </c>
      <c r="CV77" t="str">
        <f>""</f>
        <v/>
      </c>
      <c r="CW77" t="str">
        <f>""</f>
        <v/>
      </c>
      <c r="CX77" t="str">
        <f>""</f>
        <v/>
      </c>
      <c r="CY77" t="str">
        <f>""</f>
        <v/>
      </c>
      <c r="CZ77" t="str">
        <f>""</f>
        <v/>
      </c>
      <c r="DA77" t="str">
        <f>""</f>
        <v/>
      </c>
      <c r="DB77" t="str">
        <f>""</f>
        <v/>
      </c>
      <c r="DC77" t="str">
        <f>""</f>
        <v/>
      </c>
      <c r="DD77" t="str">
        <f>""</f>
        <v/>
      </c>
      <c r="DE77" t="str">
        <f>""</f>
        <v/>
      </c>
      <c r="DF77" t="str">
        <f>""</f>
        <v/>
      </c>
      <c r="DG77" t="str">
        <f>""</f>
        <v/>
      </c>
      <c r="DH77" t="str">
        <f>""</f>
        <v/>
      </c>
      <c r="DI77" t="str">
        <f>""</f>
        <v/>
      </c>
      <c r="DJ77" t="str">
        <f>""</f>
        <v/>
      </c>
      <c r="DK77" t="str">
        <f>""</f>
        <v/>
      </c>
      <c r="DL77" t="str">
        <f>""</f>
        <v/>
      </c>
      <c r="DM77" t="str">
        <f>""</f>
        <v/>
      </c>
      <c r="DN77" t="str">
        <f>""</f>
        <v/>
      </c>
      <c r="DO77" t="str">
        <f>""</f>
        <v/>
      </c>
      <c r="DP77" t="str">
        <f>""</f>
        <v/>
      </c>
      <c r="DQ77" t="str">
        <f>""</f>
        <v/>
      </c>
      <c r="DR77">
        <f>321366.5229</f>
        <v>321366.52289999998</v>
      </c>
      <c r="DS77" t="str">
        <f>""</f>
        <v/>
      </c>
      <c r="DT77" t="str">
        <f>""</f>
        <v/>
      </c>
      <c r="DU77" t="str">
        <f>""</f>
        <v/>
      </c>
    </row>
    <row r="78" spans="1:125" x14ac:dyDescent="0.25">
      <c r="A78" t="str">
        <f>"    UniCredit SpA"</f>
        <v xml:space="preserve">    UniCredit SpA</v>
      </c>
      <c r="B78" t="str">
        <f>"UCG IM Equity"</f>
        <v>UCG IM Equity</v>
      </c>
      <c r="C78" t="str">
        <f t="shared" si="3"/>
        <v>BM109</v>
      </c>
      <c r="D78" t="str">
        <f t="shared" si="4"/>
        <v>BS_TRADING_SECURITIES_DERIVS</v>
      </c>
      <c r="E78" t="str">
        <f t="shared" si="5"/>
        <v>Dynamic</v>
      </c>
      <c r="F78">
        <f ca="1">IF(AND(ISNUMBER($F$283),$B$208=1),$F$283,HLOOKUP(INDIRECT(ADDRESS(2,COLUMN())),OFFSET($BN$2,0,0,ROW()-1,60),ROW()-1,FALSE))</f>
        <v>29519</v>
      </c>
      <c r="G78" t="str">
        <f ca="1">IF(AND(ISNUMBER($G$283),$B$208=1),$G$283,HLOOKUP(INDIRECT(ADDRESS(2,COLUMN())),OFFSET($BN$2,0,0,ROW()-1,60),ROW()-1,FALSE))</f>
        <v/>
      </c>
      <c r="H78">
        <f ca="1">IF(AND(ISNUMBER($H$283),$B$208=1),$H$283,HLOOKUP(INDIRECT(ADDRESS(2,COLUMN())),OFFSET($BN$2,0,0,ROW()-1,60),ROW()-1,FALSE))</f>
        <v>28433</v>
      </c>
      <c r="I78" t="str">
        <f ca="1">IF(AND(ISNUMBER($I$283),$B$208=1),$I$283,HLOOKUP(INDIRECT(ADDRESS(2,COLUMN())),OFFSET($BN$2,0,0,ROW()-1,60),ROW()-1,FALSE))</f>
        <v/>
      </c>
      <c r="J78">
        <f ca="1">IF(AND(ISNUMBER($J$283),$B$208=1),$J$283,HLOOKUP(INDIRECT(ADDRESS(2,COLUMN())),OFFSET($BN$2,0,0,ROW()-1,60),ROW()-1,FALSE))</f>
        <v>29309</v>
      </c>
      <c r="K78" t="str">
        <f ca="1">IF(AND(ISNUMBER($K$283),$B$208=1),$K$283,HLOOKUP(INDIRECT(ADDRESS(2,COLUMN())),OFFSET($BN$2,0,0,ROW()-1,60),ROW()-1,FALSE))</f>
        <v/>
      </c>
      <c r="L78">
        <f ca="1">IF(AND(ISNUMBER($L$283),$B$208=1),$L$283,HLOOKUP(INDIRECT(ADDRESS(2,COLUMN())),OFFSET($BN$2,0,0,ROW()-1,60),ROW()-1,FALSE))</f>
        <v>33214</v>
      </c>
      <c r="M78" t="str">
        <f ca="1">IF(AND(ISNUMBER($M$283),$B$208=1),$M$283,HLOOKUP(INDIRECT(ADDRESS(2,COLUMN())),OFFSET($BN$2,0,0,ROW()-1,60),ROW()-1,FALSE))</f>
        <v/>
      </c>
      <c r="N78">
        <f ca="1">IF(AND(ISNUMBER($N$283),$B$208=1),$N$283,HLOOKUP(INDIRECT(ADDRESS(2,COLUMN())),OFFSET($BN$2,0,0,ROW()-1,60),ROW()-1,FALSE))</f>
        <v>39643</v>
      </c>
      <c r="O78" t="str">
        <f ca="1">IF(AND(ISNUMBER($O$283),$B$208=1),$O$283,HLOOKUP(INDIRECT(ADDRESS(2,COLUMN())),OFFSET($BN$2,0,0,ROW()-1,60),ROW()-1,FALSE))</f>
        <v/>
      </c>
      <c r="P78">
        <f ca="1">IF(AND(ISNUMBER($P$283),$B$208=1),$P$283,HLOOKUP(INDIRECT(ADDRESS(2,COLUMN())),OFFSET($BN$2,0,0,ROW()-1,60),ROW()-1,FALSE))</f>
        <v>41702</v>
      </c>
      <c r="Q78" t="str">
        <f ca="1">IF(AND(ISNUMBER($Q$283),$B$208=1),$Q$283,HLOOKUP(INDIRECT(ADDRESS(2,COLUMN())),OFFSET($BN$2,0,0,ROW()-1,60),ROW()-1,FALSE))</f>
        <v/>
      </c>
      <c r="R78">
        <f ca="1">IF(AND(ISNUMBER($R$283),$B$208=1),$R$283,HLOOKUP(INDIRECT(ADDRESS(2,COLUMN())),OFFSET($BN$2,0,0,ROW()-1,60),ROW()-1,FALSE))</f>
        <v>40824</v>
      </c>
      <c r="S78" t="str">
        <f ca="1">IF(AND(ISNUMBER($S$283),$B$208=1),$S$283,HLOOKUP(INDIRECT(ADDRESS(2,COLUMN())),OFFSET($BN$2,0,0,ROW()-1,60),ROW()-1,FALSE))</f>
        <v/>
      </c>
      <c r="T78">
        <f ca="1">IF(AND(ISNUMBER($T$283),$B$208=1),$T$283,HLOOKUP(INDIRECT(ADDRESS(2,COLUMN())),OFFSET($BN$2,0,0,ROW()-1,60),ROW()-1,FALSE))</f>
        <v>39102</v>
      </c>
      <c r="U78" t="str">
        <f ca="1">IF(AND(ISNUMBER($U$283),$B$208=1),$U$283,HLOOKUP(INDIRECT(ADDRESS(2,COLUMN())),OFFSET($BN$2,0,0,ROW()-1,60),ROW()-1,FALSE))</f>
        <v/>
      </c>
      <c r="V78">
        <f ca="1">IF(AND(ISNUMBER($V$283),$B$208=1),$V$283,HLOOKUP(INDIRECT(ADDRESS(2,COLUMN())),OFFSET($BN$2,0,0,ROW()-1,60),ROW()-1,FALSE))</f>
        <v>45162</v>
      </c>
      <c r="W78" t="str">
        <f ca="1">IF(AND(ISNUMBER($W$283),$B$208=1),$W$283,HLOOKUP(INDIRECT(ADDRESS(2,COLUMN())),OFFSET($BN$2,0,0,ROW()-1,60),ROW()-1,FALSE))</f>
        <v/>
      </c>
      <c r="X78">
        <f ca="1">IF(AND(ISNUMBER($X$283),$B$208=1),$X$283,HLOOKUP(INDIRECT(ADDRESS(2,COLUMN())),OFFSET($BN$2,0,0,ROW()-1,60),ROW()-1,FALSE))</f>
        <v>43119</v>
      </c>
      <c r="Y78" t="str">
        <f ca="1">IF(AND(ISNUMBER($Y$283),$B$208=1),$Y$283,HLOOKUP(INDIRECT(ADDRESS(2,COLUMN())),OFFSET($BN$2,0,0,ROW()-1,60),ROW()-1,FALSE))</f>
        <v/>
      </c>
      <c r="Z78">
        <f ca="1">IF(AND(ISNUMBER($Z$283),$B$208=1),$Z$283,HLOOKUP(INDIRECT(ADDRESS(2,COLUMN())),OFFSET($BN$2,0,0,ROW()-1,60),ROW()-1,FALSE))</f>
        <v>34351</v>
      </c>
      <c r="AA78" t="str">
        <f ca="1">IF(AND(ISNUMBER($AA$283),$B$208=1),$AA$283,HLOOKUP(INDIRECT(ADDRESS(2,COLUMN())),OFFSET($BN$2,0,0,ROW()-1,60),ROW()-1,FALSE))</f>
        <v/>
      </c>
      <c r="AB78">
        <f ca="1">IF(AND(ISNUMBER($AB$283),$B$208=1),$AB$283,HLOOKUP(INDIRECT(ADDRESS(2,COLUMN())),OFFSET($BN$2,0,0,ROW()-1,60),ROW()-1,FALSE))</f>
        <v>35686</v>
      </c>
      <c r="AC78" t="str">
        <f ca="1">IF(AND(ISNUMBER($AC$283),$B$208=1),$AC$283,HLOOKUP(INDIRECT(ADDRESS(2,COLUMN())),OFFSET($BN$2,0,0,ROW()-1,60),ROW()-1,FALSE))</f>
        <v/>
      </c>
      <c r="AD78">
        <f ca="1">IF(AND(ISNUMBER($AD$283),$B$208=1),$AD$283,HLOOKUP(INDIRECT(ADDRESS(2,COLUMN())),OFFSET($BN$2,0,0,ROW()-1,60),ROW()-1,FALSE))</f>
        <v>32152</v>
      </c>
      <c r="AE78" t="str">
        <f ca="1">IF(AND(ISNUMBER($AE$283),$B$208=1),$AE$283,HLOOKUP(INDIRECT(ADDRESS(2,COLUMN())),OFFSET($BN$2,0,0,ROW()-1,60),ROW()-1,FALSE))</f>
        <v/>
      </c>
      <c r="AF78">
        <f ca="1">IF(AND(ISNUMBER($AF$283),$B$208=1),$AF$283,HLOOKUP(INDIRECT(ADDRESS(2,COLUMN())),OFFSET($BN$2,0,0,ROW()-1,60),ROW()-1,FALSE))</f>
        <v>35662.673000000003</v>
      </c>
      <c r="AG78" t="str">
        <f ca="1">IF(AND(ISNUMBER($AG$283),$B$208=1),$AG$283,HLOOKUP(INDIRECT(ADDRESS(2,COLUMN())),OFFSET($BN$2,0,0,ROW()-1,60),ROW()-1,FALSE))</f>
        <v/>
      </c>
      <c r="AH78">
        <f ca="1">IF(AND(ISNUMBER($AH$283),$B$208=1),$AH$283,HLOOKUP(INDIRECT(ADDRESS(2,COLUMN())),OFFSET($BN$2,0,0,ROW()-1,60),ROW()-1,FALSE))</f>
        <v>34769.334000000003</v>
      </c>
      <c r="AI78" t="str">
        <f ca="1">IF(AND(ISNUMBER($AI$283),$B$208=1),$AI$283,HLOOKUP(INDIRECT(ADDRESS(2,COLUMN())),OFFSET($BN$2,0,0,ROW()-1,60),ROW()-1,FALSE))</f>
        <v/>
      </c>
      <c r="AJ78">
        <f ca="1">IF(AND(ISNUMBER($AJ$283),$B$208=1),$AJ$283,HLOOKUP(INDIRECT(ADDRESS(2,COLUMN())),OFFSET($BN$2,0,0,ROW()-1,60),ROW()-1,FALSE))</f>
        <v>39062.720000000001</v>
      </c>
      <c r="AK78" t="str">
        <f ca="1">IF(AND(ISNUMBER($AK$283),$B$208=1),$AK$283,HLOOKUP(INDIRECT(ADDRESS(2,COLUMN())),OFFSET($BN$2,0,0,ROW()-1,60),ROW()-1,FALSE))</f>
        <v/>
      </c>
      <c r="AL78" t="str">
        <f ca="1">IF(AND(ISNUMBER($AL$283),$B$208=1),$AL$283,HLOOKUP(INDIRECT(ADDRESS(2,COLUMN())),OFFSET($BN$2,0,0,ROW()-1,60),ROW()-1,FALSE))</f>
        <v/>
      </c>
      <c r="AM78" t="str">
        <f ca="1">IF(AND(ISNUMBER($AM$283),$B$208=1),$AM$283,HLOOKUP(INDIRECT(ADDRESS(2,COLUMN())),OFFSET($BN$2,0,0,ROW()-1,60),ROW()-1,FALSE))</f>
        <v/>
      </c>
      <c r="AN78">
        <f ca="1">IF(AND(ISNUMBER($AN$283),$B$208=1),$AN$283,HLOOKUP(INDIRECT(ADDRESS(2,COLUMN())),OFFSET($BN$2,0,0,ROW()-1,60),ROW()-1,FALSE))</f>
        <v>54247.313000000002</v>
      </c>
      <c r="AO78" t="str">
        <f ca="1">IF(AND(ISNUMBER($AO$283),$B$208=1),$AO$283,HLOOKUP(INDIRECT(ADDRESS(2,COLUMN())),OFFSET($BN$2,0,0,ROW()-1,60),ROW()-1,FALSE))</f>
        <v/>
      </c>
      <c r="AP78">
        <f ca="1">IF(AND(ISNUMBER($AP$283),$B$208=1),$AP$283,HLOOKUP(INDIRECT(ADDRESS(2,COLUMN())),OFFSET($BN$2,0,0,ROW()-1,60),ROW()-1,FALSE))</f>
        <v>48140.506999999998</v>
      </c>
      <c r="AQ78" t="str">
        <f ca="1">IF(AND(ISNUMBER($AQ$283),$B$208=1),$AQ$283,HLOOKUP(INDIRECT(ADDRESS(2,COLUMN())),OFFSET($BN$2,0,0,ROW()-1,60),ROW()-1,FALSE))</f>
        <v/>
      </c>
      <c r="AR78">
        <f ca="1">IF(AND(ISNUMBER($AR$283),$B$208=1),$AR$283,HLOOKUP(INDIRECT(ADDRESS(2,COLUMN())),OFFSET($BN$2,0,0,ROW()-1,60),ROW()-1,FALSE))</f>
        <v>57673.267999999996</v>
      </c>
      <c r="AS78" t="str">
        <f ca="1">IF(AND(ISNUMBER($AS$283),$B$208=1),$AS$283,HLOOKUP(INDIRECT(ADDRESS(2,COLUMN())),OFFSET($BN$2,0,0,ROW()-1,60),ROW()-1,FALSE))</f>
        <v/>
      </c>
      <c r="AT78" t="str">
        <f ca="1">IF(AND(ISNUMBER($AT$283),$B$208=1),$AT$283,HLOOKUP(INDIRECT(ADDRESS(2,COLUMN())),OFFSET($BN$2,0,0,ROW()-1,60),ROW()-1,FALSE))</f>
        <v/>
      </c>
      <c r="AU78" t="str">
        <f ca="1">IF(AND(ISNUMBER($AU$283),$B$208=1),$AU$283,HLOOKUP(INDIRECT(ADDRESS(2,COLUMN())),OFFSET($BN$2,0,0,ROW()-1,60),ROW()-1,FALSE))</f>
        <v/>
      </c>
      <c r="AV78">
        <f ca="1">IF(AND(ISNUMBER($AV$283),$B$208=1),$AV$283,HLOOKUP(INDIRECT(ADDRESS(2,COLUMN())),OFFSET($BN$2,0,0,ROW()-1,60),ROW()-1,FALSE))</f>
        <v>48705.983999999997</v>
      </c>
      <c r="AW78" t="str">
        <f ca="1">IF(AND(ISNUMBER($AW$283),$B$208=1),$AW$283,HLOOKUP(INDIRECT(ADDRESS(2,COLUMN())),OFFSET($BN$2,0,0,ROW()-1,60),ROW()-1,FALSE))</f>
        <v/>
      </c>
      <c r="AX78" t="str">
        <f ca="1">IF(AND(ISNUMBER($AX$283),$B$208=1),$AX$283,HLOOKUP(INDIRECT(ADDRESS(2,COLUMN())),OFFSET($BN$2,0,0,ROW()-1,60),ROW()-1,FALSE))</f>
        <v/>
      </c>
      <c r="AY78" t="str">
        <f ca="1">IF(AND(ISNUMBER($AY$283),$B$208=1),$AY$283,HLOOKUP(INDIRECT(ADDRESS(2,COLUMN())),OFFSET($BN$2,0,0,ROW()-1,60),ROW()-1,FALSE))</f>
        <v/>
      </c>
      <c r="AZ78">
        <f ca="1">IF(AND(ISNUMBER($AZ$283),$B$208=1),$AZ$283,HLOOKUP(INDIRECT(ADDRESS(2,COLUMN())),OFFSET($BN$2,0,0,ROW()-1,60),ROW()-1,FALSE))</f>
        <v>59746.889000000003</v>
      </c>
      <c r="BA78" t="str">
        <f ca="1">IF(AND(ISNUMBER($BA$283),$B$208=1),$BA$283,HLOOKUP(INDIRECT(ADDRESS(2,COLUMN())),OFFSET($BN$2,0,0,ROW()-1,60),ROW()-1,FALSE))</f>
        <v/>
      </c>
      <c r="BB78" t="str">
        <f ca="1">IF(AND(ISNUMBER($BB$283),$B$208=1),$BB$283,HLOOKUP(INDIRECT(ADDRESS(2,COLUMN())),OFFSET($BN$2,0,0,ROW()-1,60),ROW()-1,FALSE))</f>
        <v/>
      </c>
      <c r="BC78" t="str">
        <f ca="1">IF(AND(ISNUMBER($BC$283),$B$208=1),$BC$283,HLOOKUP(INDIRECT(ADDRESS(2,COLUMN())),OFFSET($BN$2,0,0,ROW()-1,60),ROW()-1,FALSE))</f>
        <v/>
      </c>
      <c r="BD78" t="str">
        <f ca="1">IF(AND(ISNUMBER($BD$283),$B$208=1),$BD$283,HLOOKUP(INDIRECT(ADDRESS(2,COLUMN())),OFFSET($BN$2,0,0,ROW()-1,60),ROW()-1,FALSE))</f>
        <v/>
      </c>
      <c r="BE78" t="str">
        <f ca="1">IF(AND(ISNUMBER($BE$283),$B$208=1),$BE$283,HLOOKUP(INDIRECT(ADDRESS(2,COLUMN())),OFFSET($BN$2,0,0,ROW()-1,60),ROW()-1,FALSE))</f>
        <v/>
      </c>
      <c r="BF78" t="str">
        <f ca="1">IF(AND(ISNUMBER($BF$283),$B$208=1),$BF$283,HLOOKUP(INDIRECT(ADDRESS(2,COLUMN())),OFFSET($BN$2,0,0,ROW()-1,60),ROW()-1,FALSE))</f>
        <v/>
      </c>
      <c r="BG78" t="str">
        <f ca="1">IF(AND(ISNUMBER($BG$283),$B$208=1),$BG$283,HLOOKUP(INDIRECT(ADDRESS(2,COLUMN())),OFFSET($BN$2,0,0,ROW()-1,60),ROW()-1,FALSE))</f>
        <v/>
      </c>
      <c r="BH78" t="str">
        <f ca="1">IF(AND(ISNUMBER($BH$283),$B$208=1),$BH$283,HLOOKUP(INDIRECT(ADDRESS(2,COLUMN())),OFFSET($BN$2,0,0,ROW()-1,60),ROW()-1,FALSE))</f>
        <v/>
      </c>
      <c r="BI78" t="str">
        <f ca="1">IF(AND(ISNUMBER($BI$283),$B$208=1),$BI$283,HLOOKUP(INDIRECT(ADDRESS(2,COLUMN())),OFFSET($BN$2,0,0,ROW()-1,60),ROW()-1,FALSE))</f>
        <v/>
      </c>
      <c r="BJ78" t="str">
        <f ca="1">IF(AND(ISNUMBER($BJ$283),$B$208=1),$BJ$283,HLOOKUP(INDIRECT(ADDRESS(2,COLUMN())),OFFSET($BN$2,0,0,ROW()-1,60),ROW()-1,FALSE))</f>
        <v/>
      </c>
      <c r="BK78" t="str">
        <f ca="1">IF(AND(ISNUMBER($BK$283),$B$208=1),$BK$283,HLOOKUP(INDIRECT(ADDRESS(2,COLUMN())),OFFSET($BN$2,0,0,ROW()-1,60),ROW()-1,FALSE))</f>
        <v/>
      </c>
      <c r="BL78" t="str">
        <f ca="1">IF(AND(ISNUMBER($BL$283),$B$208=1),$BL$283,HLOOKUP(INDIRECT(ADDRESS(2,COLUMN())),OFFSET($BN$2,0,0,ROW()-1,60),ROW()-1,FALSE))</f>
        <v/>
      </c>
      <c r="BM78" t="str">
        <f ca="1">IF(AND(ISNUMBER($BM$283),$B$208=1),$BM$283,HLOOKUP(INDIRECT(ADDRESS(2,COLUMN())),OFFSET($BN$2,0,0,ROW()-1,60),ROW()-1,FALSE))</f>
        <v/>
      </c>
      <c r="BN78">
        <f>29519</f>
        <v>29519</v>
      </c>
      <c r="BO78" t="str">
        <f>""</f>
        <v/>
      </c>
      <c r="BP78">
        <f>28433</f>
        <v>28433</v>
      </c>
      <c r="BQ78" t="str">
        <f>""</f>
        <v/>
      </c>
      <c r="BR78">
        <f>29309</f>
        <v>29309</v>
      </c>
      <c r="BS78" t="str">
        <f>""</f>
        <v/>
      </c>
      <c r="BT78">
        <f>33214</f>
        <v>33214</v>
      </c>
      <c r="BU78" t="str">
        <f>""</f>
        <v/>
      </c>
      <c r="BV78">
        <f>39643</f>
        <v>39643</v>
      </c>
      <c r="BW78" t="str">
        <f>""</f>
        <v/>
      </c>
      <c r="BX78">
        <f>41702</f>
        <v>41702</v>
      </c>
      <c r="BY78" t="str">
        <f>""</f>
        <v/>
      </c>
      <c r="BZ78">
        <f>40824</f>
        <v>40824</v>
      </c>
      <c r="CA78" t="str">
        <f>""</f>
        <v/>
      </c>
      <c r="CB78">
        <f>39102</f>
        <v>39102</v>
      </c>
      <c r="CC78" t="str">
        <f>""</f>
        <v/>
      </c>
      <c r="CD78">
        <f>45162</f>
        <v>45162</v>
      </c>
      <c r="CE78" t="str">
        <f>""</f>
        <v/>
      </c>
      <c r="CF78">
        <f>43119</f>
        <v>43119</v>
      </c>
      <c r="CG78" t="str">
        <f>""</f>
        <v/>
      </c>
      <c r="CH78">
        <f>34351</f>
        <v>34351</v>
      </c>
      <c r="CI78" t="str">
        <f>""</f>
        <v/>
      </c>
      <c r="CJ78">
        <f>35686</f>
        <v>35686</v>
      </c>
      <c r="CK78" t="str">
        <f>""</f>
        <v/>
      </c>
      <c r="CL78">
        <f>32152</f>
        <v>32152</v>
      </c>
      <c r="CM78" t="str">
        <f>""</f>
        <v/>
      </c>
      <c r="CN78">
        <f>35662.673</f>
        <v>35662.673000000003</v>
      </c>
      <c r="CO78" t="str">
        <f>""</f>
        <v/>
      </c>
      <c r="CP78">
        <f>34769.334</f>
        <v>34769.334000000003</v>
      </c>
      <c r="CQ78" t="str">
        <f>""</f>
        <v/>
      </c>
      <c r="CR78">
        <f>39062.72</f>
        <v>39062.720000000001</v>
      </c>
      <c r="CS78" t="str">
        <f>""</f>
        <v/>
      </c>
      <c r="CT78" t="str">
        <f>""</f>
        <v/>
      </c>
      <c r="CU78" t="str">
        <f>""</f>
        <v/>
      </c>
      <c r="CV78">
        <f>54247.313</f>
        <v>54247.313000000002</v>
      </c>
      <c r="CW78" t="str">
        <f>""</f>
        <v/>
      </c>
      <c r="CX78">
        <f>48140.507</f>
        <v>48140.506999999998</v>
      </c>
      <c r="CY78" t="str">
        <f>""</f>
        <v/>
      </c>
      <c r="CZ78">
        <f>57673.268</f>
        <v>57673.267999999996</v>
      </c>
      <c r="DA78" t="str">
        <f>""</f>
        <v/>
      </c>
      <c r="DB78" t="str">
        <f>""</f>
        <v/>
      </c>
      <c r="DC78" t="str">
        <f>""</f>
        <v/>
      </c>
      <c r="DD78">
        <f>48705.984</f>
        <v>48705.983999999997</v>
      </c>
      <c r="DE78" t="str">
        <f>""</f>
        <v/>
      </c>
      <c r="DF78" t="str">
        <f>""</f>
        <v/>
      </c>
      <c r="DG78" t="str">
        <f>""</f>
        <v/>
      </c>
      <c r="DH78">
        <f>59746.889</f>
        <v>59746.889000000003</v>
      </c>
      <c r="DI78" t="str">
        <f>""</f>
        <v/>
      </c>
      <c r="DJ78" t="str">
        <f>""</f>
        <v/>
      </c>
      <c r="DK78" t="str">
        <f>""</f>
        <v/>
      </c>
      <c r="DL78" t="str">
        <f>""</f>
        <v/>
      </c>
      <c r="DM78" t="str">
        <f>""</f>
        <v/>
      </c>
      <c r="DN78" t="str">
        <f>""</f>
        <v/>
      </c>
      <c r="DO78" t="str">
        <f>""</f>
        <v/>
      </c>
      <c r="DP78" t="str">
        <f>""</f>
        <v/>
      </c>
      <c r="DQ78" t="str">
        <f>""</f>
        <v/>
      </c>
      <c r="DR78" t="str">
        <f>""</f>
        <v/>
      </c>
      <c r="DS78" t="str">
        <f>""</f>
        <v/>
      </c>
      <c r="DT78" t="str">
        <f>""</f>
        <v/>
      </c>
      <c r="DU78" t="str">
        <f>""</f>
        <v/>
      </c>
    </row>
    <row r="79" spans="1:125" x14ac:dyDescent="0.25">
      <c r="A79" t="str">
        <f>"-- Consumer Loans"</f>
        <v>-- Consumer Loans</v>
      </c>
      <c r="B79" t="str">
        <f>""</f>
        <v/>
      </c>
      <c r="E79" t="str">
        <f>"Sum"</f>
        <v>Sum</v>
      </c>
      <c r="F79">
        <f ca="1">IF(ISERROR(IF(SUM($F$80:$F$116) = 0, "", SUM($F$80:$F$116))), "", (IF(SUM($F$80:$F$116) = 0, "", SUM($F$80:$F$116))))</f>
        <v>6167713.6570899989</v>
      </c>
      <c r="G79">
        <f ca="1">IF(ISERROR(IF(SUM($G$80:$G$116) = 0, "", SUM($G$80:$G$116))), "", (IF(SUM($G$80:$G$116) = 0, "", SUM($G$80:$G$116))))</f>
        <v>3401070.5640799999</v>
      </c>
      <c r="H79">
        <f ca="1">IF(ISERROR(IF(SUM($H$80:$H$116) = 0, "", SUM($H$80:$H$116))), "", (IF(SUM($H$80:$H$116) = 0, "", SUM($H$80:$H$116))))</f>
        <v>5647324.2947600009</v>
      </c>
      <c r="I79">
        <f ca="1">IF(ISERROR(IF(SUM($I$80:$I$116) = 0, "", SUM($I$80:$I$116))), "", (IF(SUM($I$80:$I$116) = 0, "", SUM($I$80:$I$116))))</f>
        <v>2970473.4201300004</v>
      </c>
      <c r="J79">
        <f ca="1">IF(ISERROR(IF(SUM($J$80:$J$116) = 0, "", SUM($J$80:$J$116))), "", (IF(SUM($J$80:$J$116) = 0, "", SUM($J$80:$J$116))))</f>
        <v>6390128.6282400023</v>
      </c>
      <c r="K79">
        <f ca="1">IF(ISERROR(IF(SUM($K$80:$K$116) = 0, "", SUM($K$80:$K$116))), "", (IF(SUM($K$80:$K$116) = 0, "", SUM($K$80:$K$116))))</f>
        <v>3415532.7072999994</v>
      </c>
      <c r="L79">
        <f ca="1">IF(ISERROR(IF(SUM($L$80:$L$116) = 0, "", SUM($L$80:$L$116))), "", (IF(SUM($L$80:$L$116) = 0, "", SUM($L$80:$L$116))))</f>
        <v>5654149.5319800004</v>
      </c>
      <c r="M79">
        <f ca="1">IF(ISERROR(IF(SUM($M$80:$M$116) = 0, "", SUM($M$80:$M$116))), "", (IF(SUM($M$80:$M$116) = 0, "", SUM($M$80:$M$116))))</f>
        <v>2869738.0936800004</v>
      </c>
      <c r="N79">
        <f ca="1">IF(ISERROR(IF(SUM($N$80:$N$116) = 0, "", SUM($N$80:$N$116))), "", (IF(SUM($N$80:$N$116) = 0, "", SUM($N$80:$N$116))))</f>
        <v>6207291.4733099993</v>
      </c>
      <c r="O79">
        <f ca="1">IF(ISERROR(IF(SUM($O$80:$O$116) = 0, "", SUM($O$80:$O$116))), "", (IF(SUM($O$80:$O$116) = 0, "", SUM($O$80:$O$116))))</f>
        <v>3005960.5482100002</v>
      </c>
      <c r="P79">
        <f ca="1">IF(ISERROR(IF(SUM($P$80:$P$116) = 0, "", SUM($P$80:$P$116))), "", (IF(SUM($P$80:$P$116) = 0, "", SUM($P$80:$P$116))))</f>
        <v>5556639.9811199997</v>
      </c>
      <c r="Q79">
        <f ca="1">IF(ISERROR(IF(SUM($Q$80:$Q$116) = 0, "", SUM($Q$80:$Q$116))), "", (IF(SUM($Q$80:$Q$116) = 0, "", SUM($Q$80:$Q$116))))</f>
        <v>2543296.70065</v>
      </c>
      <c r="R79">
        <f ca="1">IF(ISERROR(IF(SUM($R$80:$R$116) = 0, "", SUM($R$80:$R$116))), "", (IF(SUM($R$80:$R$116) = 0, "", SUM($R$80:$R$116))))</f>
        <v>6532537.8305299999</v>
      </c>
      <c r="S79">
        <f ca="1">IF(ISERROR(IF(SUM($S$80:$S$116) = 0, "", SUM($S$80:$S$116))), "", (IF(SUM($S$80:$S$116) = 0, "", SUM($S$80:$S$116))))</f>
        <v>3264362.4325899994</v>
      </c>
      <c r="T79">
        <f ca="1">IF(ISERROR(IF(SUM($T$80:$T$116) = 0, "", SUM($T$80:$T$116))), "", (IF(SUM($T$80:$T$116) = 0, "", SUM($T$80:$T$116))))</f>
        <v>5444606.4375299998</v>
      </c>
      <c r="U79">
        <f ca="1">IF(ISERROR(IF(SUM($U$80:$U$116) = 0, "", SUM($U$80:$U$116))), "", (IF(SUM($U$80:$U$116) = 0, "", SUM($U$80:$U$116))))</f>
        <v>2945272.5761700002</v>
      </c>
      <c r="V79">
        <f ca="1">IF(ISERROR(IF(SUM($V$80:$V$116) = 0, "", SUM($V$80:$V$116))), "", (IF(SUM($V$80:$V$116) = 0, "", SUM($V$80:$V$116))))</f>
        <v>6159160.4993700003</v>
      </c>
      <c r="W79">
        <f ca="1">IF(ISERROR(IF(SUM($W$80:$W$116) = 0, "", SUM($W$80:$W$116))), "", (IF(SUM($W$80:$W$116) = 0, "", SUM($W$80:$W$116))))</f>
        <v>3134993.8555600005</v>
      </c>
      <c r="X79">
        <f ca="1">IF(ISERROR(IF(SUM($X$80:$X$116) = 0, "", SUM($X$80:$X$116))), "", (IF(SUM($X$80:$X$116) = 0, "", SUM($X$80:$X$116))))</f>
        <v>5504049.058459999</v>
      </c>
      <c r="Y79">
        <f ca="1">IF(ISERROR(IF(SUM($Y$80:$Y$116) = 0, "", SUM($Y$80:$Y$116))), "", (IF(SUM($Y$80:$Y$116) = 0, "", SUM($Y$80:$Y$116))))</f>
        <v>2856972.1117000002</v>
      </c>
      <c r="Z79">
        <f ca="1">IF(ISERROR(IF(SUM($Z$80:$Z$116) = 0, "", SUM($Z$80:$Z$116))), "", (IF(SUM($Z$80:$Z$116) = 0, "", SUM($Z$80:$Z$116))))</f>
        <v>6161762.0730600022</v>
      </c>
      <c r="AA79">
        <f ca="1">IF(ISERROR(IF(SUM($AA$80:$AA$116) = 0, "", SUM($AA$80:$AA$116))), "", (IF(SUM($AA$80:$AA$116) = 0, "", SUM($AA$80:$AA$116))))</f>
        <v>3026747.0016199998</v>
      </c>
      <c r="AB79">
        <f ca="1">IF(ISERROR(IF(SUM($AB$80:$AB$116) = 0, "", SUM($AB$80:$AB$116))), "", (IF(SUM($AB$80:$AB$116) = 0, "", SUM($AB$80:$AB$116))))</f>
        <v>5259276.1025199993</v>
      </c>
      <c r="AC79">
        <f ca="1">IF(ISERROR(IF(SUM($AC$80:$AC$116) = 0, "", SUM($AC$80:$AC$116))), "", (IF(SUM($AC$80:$AC$116) = 0, "", SUM($AC$80:$AC$116))))</f>
        <v>2708111.6900599999</v>
      </c>
      <c r="AD79">
        <f ca="1">IF(ISERROR(IF(SUM($AD$80:$AD$116) = 0, "", SUM($AD$80:$AD$116))), "", (IF(SUM($AD$80:$AD$116) = 0, "", SUM($AD$80:$AD$116))))</f>
        <v>5563673.1411800003</v>
      </c>
      <c r="AE79">
        <f ca="1">IF(ISERROR(IF(SUM($AE$80:$AE$116) = 0, "", SUM($AE$80:$AE$116))), "", (IF(SUM($AE$80:$AE$116) = 0, "", SUM($AE$80:$AE$116))))</f>
        <v>2990844.7855900005</v>
      </c>
      <c r="AF79">
        <f ca="1">IF(ISERROR(IF(SUM($AF$80:$AF$116) = 0, "", SUM($AF$80:$AF$116))), "", (IF(SUM($AF$80:$AF$116) = 0, "", SUM($AF$80:$AF$116))))</f>
        <v>5148464.3546000002</v>
      </c>
      <c r="AG79">
        <f ca="1">IF(ISERROR(IF(SUM($AG$80:$AG$116) = 0, "", SUM($AG$80:$AG$116))), "", (IF(SUM($AG$80:$AG$116) = 0, "", SUM($AG$80:$AG$116))))</f>
        <v>2569983.7124600005</v>
      </c>
      <c r="AH79">
        <f ca="1">IF(ISERROR(IF(SUM($AH$80:$AH$116) = 0, "", SUM($AH$80:$AH$116))), "", (IF(SUM($AH$80:$AH$116) = 0, "", SUM($AH$80:$AH$116))))</f>
        <v>5216617.7744799992</v>
      </c>
      <c r="AI79">
        <f ca="1">IF(ISERROR(IF(SUM($AI$80:$AI$116) = 0, "", SUM($AI$80:$AI$116))), "", (IF(SUM($AI$80:$AI$116) = 0, "", SUM($AI$80:$AI$116))))</f>
        <v>2403205.6976600001</v>
      </c>
      <c r="AJ79">
        <f ca="1">IF(ISERROR(IF(SUM($AJ$80:$AJ$116) = 0, "", SUM($AJ$80:$AJ$116))), "", (IF(SUM($AJ$80:$AJ$116) = 0, "", SUM($AJ$80:$AJ$116))))</f>
        <v>4638019.2189100012</v>
      </c>
      <c r="AK79">
        <f ca="1">IF(ISERROR(IF(SUM($AK$80:$AK$116) = 0, "", SUM($AK$80:$AK$116))), "", (IF(SUM($AK$80:$AK$116) = 0, "", SUM($AK$80:$AK$116))))</f>
        <v>2186257.8164899996</v>
      </c>
      <c r="AL79">
        <f ca="1">IF(ISERROR(IF(SUM($AL$80:$AL$116) = 0, "", SUM($AL$80:$AL$116))), "", (IF(SUM($AL$80:$AL$116) = 0, "", SUM($AL$80:$AL$116))))</f>
        <v>4011405.5261750002</v>
      </c>
      <c r="AM79">
        <f ca="1">IF(ISERROR(IF(SUM($AM$80:$AM$116) = 0, "", SUM($AM$80:$AM$116))), "", (IF(SUM($AM$80:$AM$116) = 0, "", SUM($AM$80:$AM$116))))</f>
        <v>1923287.8558999998</v>
      </c>
      <c r="AN79">
        <f ca="1">IF(ISERROR(IF(SUM($AN$80:$AN$116) = 0, "", SUM($AN$80:$AN$116))), "", (IF(SUM($AN$80:$AN$116) = 0, "", SUM($AN$80:$AN$116))))</f>
        <v>3782949.6937799999</v>
      </c>
      <c r="AO79">
        <f ca="1">IF(ISERROR(IF(SUM($AO$80:$AO$116) = 0, "", SUM($AO$80:$AO$116))), "", (IF(SUM($AO$80:$AO$116) = 0, "", SUM($AO$80:$AO$116))))</f>
        <v>1854338.6692839998</v>
      </c>
      <c r="AP79">
        <f ca="1">IF(ISERROR(IF(SUM($AP$80:$AP$116) = 0, "", SUM($AP$80:$AP$116))), "", (IF(SUM($AP$80:$AP$116) = 0, "", SUM($AP$80:$AP$116))))</f>
        <v>4539826.6489639999</v>
      </c>
      <c r="AQ79">
        <f ca="1">IF(ISERROR(IF(SUM($AQ$80:$AQ$116) = 0, "", SUM($AQ$80:$AQ$116))), "", (IF(SUM($AQ$80:$AQ$116) = 0, "", SUM($AQ$80:$AQ$116))))</f>
        <v>1651292.3253240001</v>
      </c>
      <c r="AR79">
        <f ca="1">IF(ISERROR(IF(SUM($AR$80:$AR$116) = 0, "", SUM($AR$80:$AR$116))), "", (IF(SUM($AR$80:$AR$116) = 0, "", SUM($AR$80:$AR$116))))</f>
        <v>2522451.1787880003</v>
      </c>
      <c r="AS79">
        <f ca="1">IF(ISERROR(IF(SUM($AS$80:$AS$116) = 0, "", SUM($AS$80:$AS$116))), "", (IF(SUM($AS$80:$AS$116) = 0, "", SUM($AS$80:$AS$116))))</f>
        <v>1446149.1794110001</v>
      </c>
      <c r="AT79">
        <f ca="1">IF(ISERROR(IF(SUM($AT$80:$AT$116) = 0, "", SUM($AT$80:$AT$116))), "", (IF(SUM($AT$80:$AT$116) = 0, "", SUM($AT$80:$AT$116))))</f>
        <v>3808947.3214540002</v>
      </c>
      <c r="AU79">
        <f ca="1">IF(ISERROR(IF(SUM($AU$80:$AU$116) = 0, "", SUM($AU$80:$AU$116))), "", (IF(SUM($AU$80:$AU$116) = 0, "", SUM($AU$80:$AU$116))))</f>
        <v>1400321.5106599999</v>
      </c>
      <c r="AV79">
        <f ca="1">IF(ISERROR(IF(SUM($AV$80:$AV$116) = 0, "", SUM($AV$80:$AV$116))), "", (IF(SUM($AV$80:$AV$116) = 0, "", SUM($AV$80:$AV$116))))</f>
        <v>2870630.5634599994</v>
      </c>
      <c r="AW79">
        <f ca="1">IF(ISERROR(IF(SUM($AW$80:$AW$116) = 0, "", SUM($AW$80:$AW$116))), "", (IF(SUM($AW$80:$AW$116) = 0, "", SUM($AW$80:$AW$116))))</f>
        <v>1391661.5544369998</v>
      </c>
      <c r="AX79">
        <f ca="1">IF(ISERROR(IF(SUM($AX$80:$AX$116) = 0, "", SUM($AX$80:$AX$116))), "", (IF(SUM($AX$80:$AX$116) = 0, "", SUM($AX$80:$AX$116))))</f>
        <v>3170049.2635730002</v>
      </c>
      <c r="AY79">
        <f ca="1">IF(ISERROR(IF(SUM($AY$80:$AY$116) = 0, "", SUM($AY$80:$AY$116))), "", (IF(SUM($AY$80:$AY$116) = 0, "", SUM($AY$80:$AY$116))))</f>
        <v>1502754.74226</v>
      </c>
      <c r="AZ79">
        <f ca="1">IF(ISERROR(IF(SUM($AZ$80:$AZ$116) = 0, "", SUM($AZ$80:$AZ$116))), "", (IF(SUM($AZ$80:$AZ$116) = 0, "", SUM($AZ$80:$AZ$116))))</f>
        <v>2279613.5274399999</v>
      </c>
      <c r="BA79">
        <f ca="1">IF(ISERROR(IF(SUM($BA$80:$BA$116) = 0, "", SUM($BA$80:$BA$116))), "", (IF(SUM($BA$80:$BA$116) = 0, "", SUM($BA$80:$BA$116))))</f>
        <v>1500378.3113599999</v>
      </c>
      <c r="BB79">
        <f ca="1">IF(ISERROR(IF(SUM($BB$80:$BB$116) = 0, "", SUM($BB$80:$BB$116))), "", (IF(SUM($BB$80:$BB$116) = 0, "", SUM($BB$80:$BB$116))))</f>
        <v>2732753.4243010003</v>
      </c>
      <c r="BC79">
        <f ca="1">IF(ISERROR(IF(SUM($BC$80:$BC$116) = 0, "", SUM($BC$80:$BC$116))), "", (IF(SUM($BC$80:$BC$116) = 0, "", SUM($BC$80:$BC$116))))</f>
        <v>1151627.05195</v>
      </c>
      <c r="BD79">
        <f ca="1">IF(ISERROR(IF(SUM($BD$80:$BD$116) = 0, "", SUM($BD$80:$BD$116))), "", (IF(SUM($BD$80:$BD$116) = 0, "", SUM($BD$80:$BD$116))))</f>
        <v>1624801.0901599999</v>
      </c>
      <c r="BE79">
        <f ca="1">IF(ISERROR(IF(SUM($BE$80:$BE$116) = 0, "", SUM($BE$80:$BE$116))), "", (IF(SUM($BE$80:$BE$116) = 0, "", SUM($BE$80:$BE$116))))</f>
        <v>1290555.9563199999</v>
      </c>
      <c r="BF79">
        <f ca="1">IF(ISERROR(IF(SUM($BF$80:$BF$116) = 0, "", SUM($BF$80:$BF$116))), "", (IF(SUM($BF$80:$BF$116) = 0, "", SUM($BF$80:$BF$116))))</f>
        <v>2959486.5226199995</v>
      </c>
      <c r="BG79">
        <f ca="1">IF(ISERROR(IF(SUM($BG$80:$BG$116) = 0, "", SUM($BG$80:$BG$116))), "", (IF(SUM($BG$80:$BG$116) = 0, "", SUM($BG$80:$BG$116))))</f>
        <v>1218416.6993</v>
      </c>
      <c r="BH79">
        <f ca="1">IF(ISERROR(IF(SUM($BH$80:$BH$116) = 0, "", SUM($BH$80:$BH$116))), "", (IF(SUM($BH$80:$BH$116) = 0, "", SUM($BH$80:$BH$116))))</f>
        <v>1967038.797</v>
      </c>
      <c r="BI79">
        <f ca="1">IF(ISERROR(IF(SUM($BI$80:$BI$116) = 0, "", SUM($BI$80:$BI$116))), "", (IF(SUM($BI$80:$BI$116) = 0, "", SUM($BI$80:$BI$116))))</f>
        <v>1245031.4406999999</v>
      </c>
      <c r="BJ79">
        <f ca="1">IF(ISERROR(IF(SUM($BJ$80:$BJ$116) = 0, "", SUM($BJ$80:$BJ$116))), "", (IF(SUM($BJ$80:$BJ$116) = 0, "", SUM($BJ$80:$BJ$116))))</f>
        <v>2831771.6113300002</v>
      </c>
      <c r="BK79">
        <f ca="1">IF(ISERROR(IF(SUM($BK$80:$BK$116) = 0, "", SUM($BK$80:$BK$116))), "", (IF(SUM($BK$80:$BK$116) = 0, "", SUM($BK$80:$BK$116))))</f>
        <v>935203.84810000006</v>
      </c>
      <c r="BL79">
        <f ca="1">IF(ISERROR(IF(SUM($BL$80:$BL$116) = 0, "", SUM($BL$80:$BL$116))), "", (IF(SUM($BL$80:$BL$116) = 0, "", SUM($BL$80:$BL$116))))</f>
        <v>1890491.1417999999</v>
      </c>
      <c r="BM79">
        <f ca="1">IF(ISERROR(IF(SUM($BM$80:$BM$116) = 0, "", SUM($BM$80:$BM$116))), "", (IF(SUM($BM$80:$BM$116) = 0, "", SUM($BM$80:$BM$116))))</f>
        <v>180122.25</v>
      </c>
      <c r="BN79">
        <f>6167713.657</f>
        <v>6167713.6569999997</v>
      </c>
      <c r="BO79">
        <f>3401070.564</f>
        <v>3401070.5639999998</v>
      </c>
      <c r="BP79">
        <f>5647324.295</f>
        <v>5647324.2949999999</v>
      </c>
      <c r="BQ79">
        <f>2970473.42</f>
        <v>2970473.42</v>
      </c>
      <c r="BR79">
        <f>6390128.628</f>
        <v>6390128.6279999996</v>
      </c>
      <c r="BS79">
        <f>3415532.707</f>
        <v>3415532.7069999999</v>
      </c>
      <c r="BT79">
        <f>5654149.532</f>
        <v>5654149.5319999997</v>
      </c>
      <c r="BU79">
        <f>2869738.094</f>
        <v>2869738.094</v>
      </c>
      <c r="BV79">
        <f>6207291.473</f>
        <v>6207291.4730000002</v>
      </c>
      <c r="BW79">
        <f>3005960.548</f>
        <v>3005960.548</v>
      </c>
      <c r="BX79">
        <f>5556639.981</f>
        <v>5556639.9809999997</v>
      </c>
      <c r="BY79">
        <f>2543296.701</f>
        <v>2543296.7009999999</v>
      </c>
      <c r="BZ79">
        <f>6532537.83</f>
        <v>6532537.8300000001</v>
      </c>
      <c r="CA79">
        <f>3264362.433</f>
        <v>3264362.4330000002</v>
      </c>
      <c r="CB79">
        <f>5444606.437</f>
        <v>5444606.4369999999</v>
      </c>
      <c r="CC79">
        <f>2945272.576</f>
        <v>2945272.5759999999</v>
      </c>
      <c r="CD79">
        <f>6159160.499</f>
        <v>6159160.4989999998</v>
      </c>
      <c r="CE79">
        <f>3134993.856</f>
        <v>3134993.8560000001</v>
      </c>
      <c r="CF79">
        <f>5504049.058</f>
        <v>5504049.0580000002</v>
      </c>
      <c r="CG79">
        <f>2856972.112</f>
        <v>2856972.1120000002</v>
      </c>
      <c r="CH79">
        <f>6161762.073</f>
        <v>6161762.0729999999</v>
      </c>
      <c r="CI79">
        <f>3026747.002</f>
        <v>3026747.0019999999</v>
      </c>
      <c r="CJ79">
        <f>5259276.103</f>
        <v>5259276.1030000001</v>
      </c>
      <c r="CK79">
        <f>2708111.69</f>
        <v>2708111.69</v>
      </c>
      <c r="CL79">
        <f>5563673.141</f>
        <v>5563673.1409999998</v>
      </c>
      <c r="CM79">
        <f>2990844.786</f>
        <v>2990844.7859999998</v>
      </c>
      <c r="CN79">
        <f>5148464.355</f>
        <v>5148464.3550000004</v>
      </c>
      <c r="CO79">
        <f>2569983.712</f>
        <v>2569983.7119999998</v>
      </c>
      <c r="CP79">
        <f>5216617.774</f>
        <v>5216617.7740000002</v>
      </c>
      <c r="CQ79">
        <f>2403205.698</f>
        <v>2403205.6979999999</v>
      </c>
      <c r="CR79">
        <f>4638019.219</f>
        <v>4638019.2189999996</v>
      </c>
      <c r="CS79">
        <f>2186257.816</f>
        <v>2186257.8160000001</v>
      </c>
      <c r="CT79">
        <f>4011405.526</f>
        <v>4011405.5260000001</v>
      </c>
      <c r="CU79">
        <f>1923287.856</f>
        <v>1923287.8559999999</v>
      </c>
      <c r="CV79">
        <f>3782949.694</f>
        <v>3782949.6940000001</v>
      </c>
      <c r="CW79">
        <f>1854338.669</f>
        <v>1854338.669</v>
      </c>
      <c r="CX79">
        <f>4539826.649</f>
        <v>4539826.6490000002</v>
      </c>
      <c r="CY79">
        <f>1651292.325</f>
        <v>1651292.325</v>
      </c>
      <c r="CZ79">
        <f>2522451.179</f>
        <v>2522451.179</v>
      </c>
      <c r="DA79">
        <f>1446149.179</f>
        <v>1446149.179</v>
      </c>
      <c r="DB79">
        <f>3808947.321</f>
        <v>3808947.321</v>
      </c>
      <c r="DC79">
        <f>1400321.511</f>
        <v>1400321.5109999999</v>
      </c>
      <c r="DD79">
        <f>2870630.563</f>
        <v>2870630.5630000001</v>
      </c>
      <c r="DE79">
        <f>1391661.554</f>
        <v>1391661.554</v>
      </c>
      <c r="DF79">
        <f>3170049.263</f>
        <v>3170049.2629999998</v>
      </c>
      <c r="DG79">
        <f>1502754.742</f>
        <v>1502754.7420000001</v>
      </c>
      <c r="DH79">
        <f>2279613.527</f>
        <v>2279613.5269999998</v>
      </c>
      <c r="DI79">
        <f>1500378.311</f>
        <v>1500378.311</v>
      </c>
      <c r="DJ79">
        <f>2732753.424</f>
        <v>2732753.4240000001</v>
      </c>
      <c r="DK79">
        <f>1151627.052</f>
        <v>1151627.0519999999</v>
      </c>
      <c r="DL79">
        <f>1624801.09</f>
        <v>1624801.09</v>
      </c>
      <c r="DM79">
        <f>1290555.956</f>
        <v>1290555.956</v>
      </c>
      <c r="DN79">
        <f>2959486.523</f>
        <v>2959486.523</v>
      </c>
      <c r="DO79">
        <f>1218416.699</f>
        <v>1218416.699</v>
      </c>
      <c r="DP79">
        <f>1967038.797</f>
        <v>1967038.797</v>
      </c>
      <c r="DQ79">
        <f>1245031.441</f>
        <v>1245031.4410000001</v>
      </c>
      <c r="DR79">
        <f>2831771.611</f>
        <v>2831771.611</v>
      </c>
      <c r="DS79">
        <f>935203.8481</f>
        <v>935203.84809999994</v>
      </c>
      <c r="DT79">
        <f>1890491.142</f>
        <v>1890491.142</v>
      </c>
      <c r="DU79">
        <f>180122.25</f>
        <v>180122.25</v>
      </c>
    </row>
    <row r="80" spans="1:125" x14ac:dyDescent="0.25">
      <c r="A80" t="str">
        <f>"    ABN AMRO Bank NV"</f>
        <v xml:space="preserve">    ABN AMRO Bank NV</v>
      </c>
      <c r="B80" t="str">
        <f>"ABN NA Equity"</f>
        <v>ABN NA Equity</v>
      </c>
      <c r="C80" t="str">
        <f t="shared" ref="C80:C116" si="6">"BS017"</f>
        <v>BS017</v>
      </c>
      <c r="D80" t="str">
        <f t="shared" ref="D80:D116" si="7">"BS_CONS_LOAN"</f>
        <v>BS_CONS_LOAN</v>
      </c>
      <c r="E80" t="str">
        <f t="shared" ref="E80:E116" si="8">"Dynamic"</f>
        <v>Dynamic</v>
      </c>
      <c r="F80">
        <f ca="1">IF(AND(ISNUMBER($F$284),$B$208=1),$F$284,HLOOKUP(INDIRECT(ADDRESS(2,COLUMN())),OFFSET($BN$2,0,0,ROW()-1,60),ROW()-1,FALSE))</f>
        <v>159800</v>
      </c>
      <c r="G80">
        <f ca="1">IF(AND(ISNUMBER($G$284),$B$208=1),$G$284,HLOOKUP(INDIRECT(ADDRESS(2,COLUMN())),OFFSET($BN$2,0,0,ROW()-1,60),ROW()-1,FALSE))</f>
        <v>158659</v>
      </c>
      <c r="H80">
        <f ca="1">IF(AND(ISNUMBER($H$284),$B$208=1),$H$284,HLOOKUP(INDIRECT(ADDRESS(2,COLUMN())),OFFSET($BN$2,0,0,ROW()-1,60),ROW()-1,FALSE))</f>
        <v>155403</v>
      </c>
      <c r="I80">
        <f ca="1">IF(AND(ISNUMBER($I$284),$B$208=1),$I$284,HLOOKUP(INDIRECT(ADDRESS(2,COLUMN())),OFFSET($BN$2,0,0,ROW()-1,60),ROW()-1,FALSE))</f>
        <v>154609</v>
      </c>
      <c r="J80">
        <f ca="1">IF(AND(ISNUMBER($J$284),$B$208=1),$J$284,HLOOKUP(INDIRECT(ADDRESS(2,COLUMN())),OFFSET($BN$2,0,0,ROW()-1,60),ROW()-1,FALSE))</f>
        <v>154197</v>
      </c>
      <c r="K80">
        <f ca="1">IF(AND(ISNUMBER($K$284),$B$208=1),$K$284,HLOOKUP(INDIRECT(ADDRESS(2,COLUMN())),OFFSET($BN$2,0,0,ROW()-1,60),ROW()-1,FALSE))</f>
        <v>151318</v>
      </c>
      <c r="L80">
        <f ca="1">IF(AND(ISNUMBER($L$284),$B$208=1),$L$284,HLOOKUP(INDIRECT(ADDRESS(2,COLUMN())),OFFSET($BN$2,0,0,ROW()-1,60),ROW()-1,FALSE))</f>
        <v>152222</v>
      </c>
      <c r="M80">
        <f ca="1">IF(AND(ISNUMBER($M$284),$B$208=1),$M$284,HLOOKUP(INDIRECT(ADDRESS(2,COLUMN())),OFFSET($BN$2,0,0,ROW()-1,60),ROW()-1,FALSE))</f>
        <v>152192</v>
      </c>
      <c r="N80">
        <f ca="1">IF(AND(ISNUMBER($N$284),$B$208=1),$N$284,HLOOKUP(INDIRECT(ADDRESS(2,COLUMN())),OFFSET($BN$2,0,0,ROW()-1,60),ROW()-1,FALSE))</f>
        <v>151659</v>
      </c>
      <c r="O80">
        <f ca="1">IF(AND(ISNUMBER($O$284),$B$208=1),$O$284,HLOOKUP(INDIRECT(ADDRESS(2,COLUMN())),OFFSET($BN$2,0,0,ROW()-1,60),ROW()-1,FALSE))</f>
        <v>151565</v>
      </c>
      <c r="P80">
        <f ca="1">IF(AND(ISNUMBER($P$284),$B$208=1),$P$284,HLOOKUP(INDIRECT(ADDRESS(2,COLUMN())),OFFSET($BN$2,0,0,ROW()-1,60),ROW()-1,FALSE))</f>
        <v>153711</v>
      </c>
      <c r="Q80">
        <f ca="1">IF(AND(ISNUMBER($Q$284),$B$208=1),$Q$284,HLOOKUP(INDIRECT(ADDRESS(2,COLUMN())),OFFSET($BN$2,0,0,ROW()-1,60),ROW()-1,FALSE))</f>
        <v>156271</v>
      </c>
      <c r="R80">
        <f ca="1">IF(AND(ISNUMBER($R$284),$B$208=1),$R$284,HLOOKUP(INDIRECT(ADDRESS(2,COLUMN())),OFFSET($BN$2,0,0,ROW()-1,60),ROW()-1,FALSE))</f>
        <v>157145</v>
      </c>
      <c r="S80">
        <f ca="1">IF(AND(ISNUMBER($S$284),$B$208=1),$S$284,HLOOKUP(INDIRECT(ADDRESS(2,COLUMN())),OFFSET($BN$2,0,0,ROW()-1,60),ROW()-1,FALSE))</f>
        <v>157458</v>
      </c>
      <c r="T80">
        <f ca="1">IF(AND(ISNUMBER($T$284),$B$208=1),$T$284,HLOOKUP(INDIRECT(ADDRESS(2,COLUMN())),OFFSET($BN$2,0,0,ROW()-1,60),ROW()-1,FALSE))</f>
        <v>157288</v>
      </c>
      <c r="U80">
        <f ca="1">IF(AND(ISNUMBER($U$284),$B$208=1),$U$284,HLOOKUP(INDIRECT(ADDRESS(2,COLUMN())),OFFSET($BN$2,0,0,ROW()-1,60),ROW()-1,FALSE))</f>
        <v>156847</v>
      </c>
      <c r="V80">
        <f ca="1">IF(AND(ISNUMBER($V$284),$B$208=1),$V$284,HLOOKUP(INDIRECT(ADDRESS(2,COLUMN())),OFFSET($BN$2,0,0,ROW()-1,60),ROW()-1,FALSE))</f>
        <v>156904</v>
      </c>
      <c r="W80">
        <f ca="1">IF(AND(ISNUMBER($W$284),$B$208=1),$W$284,HLOOKUP(INDIRECT(ADDRESS(2,COLUMN())),OFFSET($BN$2,0,0,ROW()-1,60),ROW()-1,FALSE))</f>
        <v>157971</v>
      </c>
      <c r="X80">
        <f ca="1">IF(AND(ISNUMBER($X$284),$B$208=1),$X$284,HLOOKUP(INDIRECT(ADDRESS(2,COLUMN())),OFFSET($BN$2,0,0,ROW()-1,60),ROW()-1,FALSE))</f>
        <v>161841</v>
      </c>
      <c r="Y80">
        <f ca="1">IF(AND(ISNUMBER($Y$284),$B$208=1),$Y$284,HLOOKUP(INDIRECT(ADDRESS(2,COLUMN())),OFFSET($BN$2,0,0,ROW()-1,60),ROW()-1,FALSE))</f>
        <v>159491</v>
      </c>
      <c r="Z80">
        <f ca="1">IF(AND(ISNUMBER($Z$284),$B$208=1),$Z$284,HLOOKUP(INDIRECT(ADDRESS(2,COLUMN())),OFFSET($BN$2,0,0,ROW()-1,60),ROW()-1,FALSE))</f>
        <v>160519</v>
      </c>
      <c r="AA80">
        <f ca="1">IF(AND(ISNUMBER($AA$284),$B$208=1),$AA$284,HLOOKUP(INDIRECT(ADDRESS(2,COLUMN())),OFFSET($BN$2,0,0,ROW()-1,60),ROW()-1,FALSE))</f>
        <v>161270</v>
      </c>
      <c r="AB80">
        <f ca="1">IF(AND(ISNUMBER($AB$284),$B$208=1),$AB$284,HLOOKUP(INDIRECT(ADDRESS(2,COLUMN())),OFFSET($BN$2,0,0,ROW()-1,60),ROW()-1,FALSE))</f>
        <v>163453</v>
      </c>
      <c r="AC80">
        <f ca="1">IF(AND(ISNUMBER($AC$284),$B$208=1),$AC$284,HLOOKUP(INDIRECT(ADDRESS(2,COLUMN())),OFFSET($BN$2,0,0,ROW()-1,60),ROW()-1,FALSE))</f>
        <v>160277</v>
      </c>
      <c r="AD80">
        <f ca="1">IF(AND(ISNUMBER($AD$284),$B$208=1),$AD$284,HLOOKUP(INDIRECT(ADDRESS(2,COLUMN())),OFFSET($BN$2,0,0,ROW()-1,60),ROW()-1,FALSE))</f>
        <v>161054</v>
      </c>
      <c r="AE80">
        <f ca="1">IF(AND(ISNUMBER($AE$284),$B$208=1),$AE$284,HLOOKUP(INDIRECT(ADDRESS(2,COLUMN())),OFFSET($BN$2,0,0,ROW()-1,60),ROW()-1,FALSE))</f>
        <v>162482</v>
      </c>
      <c r="AF80">
        <f ca="1">IF(AND(ISNUMBER($AF$284),$B$208=1),$AF$284,HLOOKUP(INDIRECT(ADDRESS(2,COLUMN())),OFFSET($BN$2,0,0,ROW()-1,60),ROW()-1,FALSE))</f>
        <v>164870</v>
      </c>
      <c r="AG80">
        <f ca="1">IF(AND(ISNUMBER($AG$284),$B$208=1),$AG$284,HLOOKUP(INDIRECT(ADDRESS(2,COLUMN())),OFFSET($BN$2,0,0,ROW()-1,60),ROW()-1,FALSE))</f>
        <v>162999</v>
      </c>
      <c r="AH80">
        <f ca="1">IF(AND(ISNUMBER($AH$284),$B$208=1),$AH$284,HLOOKUP(INDIRECT(ADDRESS(2,COLUMN())),OFFSET($BN$2,0,0,ROW()-1,60),ROW()-1,FALSE))</f>
        <v>165251</v>
      </c>
      <c r="AI80">
        <f ca="1">IF(AND(ISNUMBER($AI$284),$B$208=1),$AI$284,HLOOKUP(INDIRECT(ADDRESS(2,COLUMN())),OFFSET($BN$2,0,0,ROW()-1,60),ROW()-1,FALSE))</f>
        <v>163825</v>
      </c>
      <c r="AJ80">
        <f ca="1">IF(AND(ISNUMBER($AJ$284),$B$208=1),$AJ$284,HLOOKUP(INDIRECT(ADDRESS(2,COLUMN())),OFFSET($BN$2,0,0,ROW()-1,60),ROW()-1,FALSE))</f>
        <v>163359</v>
      </c>
      <c r="AK80">
        <f ca="1">IF(AND(ISNUMBER($AK$284),$B$208=1),$AK$284,HLOOKUP(INDIRECT(ADDRESS(2,COLUMN())),OFFSET($BN$2,0,0,ROW()-1,60),ROW()-1,FALSE))</f>
        <v>163042</v>
      </c>
      <c r="AL80">
        <f ca="1">IF(AND(ISNUMBER($AL$284),$B$208=1),$AL$284,HLOOKUP(INDIRECT(ADDRESS(2,COLUMN())),OFFSET($BN$2,0,0,ROW()-1,60),ROW()-1,FALSE))</f>
        <v>164867</v>
      </c>
      <c r="AM80">
        <f ca="1">IF(AND(ISNUMBER($AM$284),$B$208=1),$AM$284,HLOOKUP(INDIRECT(ADDRESS(2,COLUMN())),OFFSET($BN$2,0,0,ROW()-1,60),ROW()-1,FALSE))</f>
        <v>161591</v>
      </c>
      <c r="AN80">
        <f ca="1">IF(AND(ISNUMBER($AN$284),$B$208=1),$AN$284,HLOOKUP(INDIRECT(ADDRESS(2,COLUMN())),OFFSET($BN$2,0,0,ROW()-1,60),ROW()-1,FALSE))</f>
        <v>164831</v>
      </c>
      <c r="AO80">
        <f ca="1">IF(AND(ISNUMBER($AO$284),$B$208=1),$AO$284,HLOOKUP(INDIRECT(ADDRESS(2,COLUMN())),OFFSET($BN$2,0,0,ROW()-1,60),ROW()-1,FALSE))</f>
        <v>161400</v>
      </c>
      <c r="AP80">
        <f ca="1">IF(AND(ISNUMBER($AP$284),$B$208=1),$AP$284,HLOOKUP(INDIRECT(ADDRESS(2,COLUMN())),OFFSET($BN$2,0,0,ROW()-1,60),ROW()-1,FALSE))</f>
        <v>167013</v>
      </c>
      <c r="AQ80">
        <f ca="1">IF(AND(ISNUMBER($AQ$284),$B$208=1),$AQ$284,HLOOKUP(INDIRECT(ADDRESS(2,COLUMN())),OFFSET($BN$2,0,0,ROW()-1,60),ROW()-1,FALSE))</f>
        <v>167454</v>
      </c>
      <c r="AR80">
        <f ca="1">IF(AND(ISNUMBER($AR$284),$B$208=1),$AR$284,HLOOKUP(INDIRECT(ADDRESS(2,COLUMN())),OFFSET($BN$2,0,0,ROW()-1,60),ROW()-1,FALSE))</f>
        <v>167896</v>
      </c>
      <c r="AS80" t="str">
        <f ca="1">IF(AND(ISNUMBER($AS$284),$B$208=1),$AS$284,HLOOKUP(INDIRECT(ADDRESS(2,COLUMN())),OFFSET($BN$2,0,0,ROW()-1,60),ROW()-1,FALSE))</f>
        <v/>
      </c>
      <c r="AT80">
        <f ca="1">IF(AND(ISNUMBER($AT$284),$B$208=1),$AT$284,HLOOKUP(INDIRECT(ADDRESS(2,COLUMN())),OFFSET($BN$2,0,0,ROW()-1,60),ROW()-1,FALSE))</f>
        <v>168588</v>
      </c>
      <c r="AU80">
        <f ca="1">IF(AND(ISNUMBER($AU$284),$B$208=1),$AU$284,HLOOKUP(INDIRECT(ADDRESS(2,COLUMN())),OFFSET($BN$2,0,0,ROW()-1,60),ROW()-1,FALSE))</f>
        <v>165788</v>
      </c>
      <c r="AV80">
        <f ca="1">IF(AND(ISNUMBER($AV$284),$B$208=1),$AV$284,HLOOKUP(INDIRECT(ADDRESS(2,COLUMN())),OFFSET($BN$2,0,0,ROW()-1,60),ROW()-1,FALSE))</f>
        <v>167191</v>
      </c>
      <c r="AW80">
        <f ca="1">IF(AND(ISNUMBER($AW$284),$B$208=1),$AW$284,HLOOKUP(INDIRECT(ADDRESS(2,COLUMN())),OFFSET($BN$2,0,0,ROW()-1,60),ROW()-1,FALSE))</f>
        <v>170396</v>
      </c>
      <c r="AX80">
        <f ca="1">IF(AND(ISNUMBER($AX$284),$B$208=1),$AX$284,HLOOKUP(INDIRECT(ADDRESS(2,COLUMN())),OFFSET($BN$2,0,0,ROW()-1,60),ROW()-1,FALSE))</f>
        <v>170265</v>
      </c>
      <c r="AY80">
        <f ca="1">IF(AND(ISNUMBER($AY$284),$B$208=1),$AY$284,HLOOKUP(INDIRECT(ADDRESS(2,COLUMN())),OFFSET($BN$2,0,0,ROW()-1,60),ROW()-1,FALSE))</f>
        <v>172102</v>
      </c>
      <c r="AZ80">
        <f ca="1">IF(AND(ISNUMBER($AZ$284),$B$208=1),$AZ$284,HLOOKUP(INDIRECT(ADDRESS(2,COLUMN())),OFFSET($BN$2,0,0,ROW()-1,60),ROW()-1,FALSE))</f>
        <v>169157</v>
      </c>
      <c r="BA80">
        <f ca="1">IF(AND(ISNUMBER($BA$284),$B$208=1),$BA$284,HLOOKUP(INDIRECT(ADDRESS(2,COLUMN())),OFFSET($BN$2,0,0,ROW()-1,60),ROW()-1,FALSE))</f>
        <v>174298</v>
      </c>
      <c r="BB80">
        <f ca="1">IF(AND(ISNUMBER($BB$284),$B$208=1),$BB$284,HLOOKUP(INDIRECT(ADDRESS(2,COLUMN())),OFFSET($BN$2,0,0,ROW()-1,60),ROW()-1,FALSE))</f>
        <v>170774</v>
      </c>
      <c r="BC80" t="str">
        <f ca="1">IF(AND(ISNUMBER($BC$284),$B$208=1),$BC$284,HLOOKUP(INDIRECT(ADDRESS(2,COLUMN())),OFFSET($BN$2,0,0,ROW()-1,60),ROW()-1,FALSE))</f>
        <v/>
      </c>
      <c r="BD80" t="str">
        <f ca="1">IF(AND(ISNUMBER($BD$284),$B$208=1),$BD$284,HLOOKUP(INDIRECT(ADDRESS(2,COLUMN())),OFFSET($BN$2,0,0,ROW()-1,60),ROW()-1,FALSE))</f>
        <v/>
      </c>
      <c r="BE80" t="str">
        <f ca="1">IF(AND(ISNUMBER($BE$284),$B$208=1),$BE$284,HLOOKUP(INDIRECT(ADDRESS(2,COLUMN())),OFFSET($BN$2,0,0,ROW()-1,60),ROW()-1,FALSE))</f>
        <v/>
      </c>
      <c r="BF80" t="str">
        <f ca="1">IF(AND(ISNUMBER($BF$284),$B$208=1),$BF$284,HLOOKUP(INDIRECT(ADDRESS(2,COLUMN())),OFFSET($BN$2,0,0,ROW()-1,60),ROW()-1,FALSE))</f>
        <v/>
      </c>
      <c r="BG80" t="str">
        <f ca="1">IF(AND(ISNUMBER($BG$284),$B$208=1),$BG$284,HLOOKUP(INDIRECT(ADDRESS(2,COLUMN())),OFFSET($BN$2,0,0,ROW()-1,60),ROW()-1,FALSE))</f>
        <v/>
      </c>
      <c r="BH80" t="str">
        <f ca="1">IF(AND(ISNUMBER($BH$284),$B$208=1),$BH$284,HLOOKUP(INDIRECT(ADDRESS(2,COLUMN())),OFFSET($BN$2,0,0,ROW()-1,60),ROW()-1,FALSE))</f>
        <v/>
      </c>
      <c r="BI80" t="str">
        <f ca="1">IF(AND(ISNUMBER($BI$284),$B$208=1),$BI$284,HLOOKUP(INDIRECT(ADDRESS(2,COLUMN())),OFFSET($BN$2,0,0,ROW()-1,60),ROW()-1,FALSE))</f>
        <v/>
      </c>
      <c r="BJ80" t="str">
        <f ca="1">IF(AND(ISNUMBER($BJ$284),$B$208=1),$BJ$284,HLOOKUP(INDIRECT(ADDRESS(2,COLUMN())),OFFSET($BN$2,0,0,ROW()-1,60),ROW()-1,FALSE))</f>
        <v/>
      </c>
      <c r="BK80" t="str">
        <f ca="1">IF(AND(ISNUMBER($BK$284),$B$208=1),$BK$284,HLOOKUP(INDIRECT(ADDRESS(2,COLUMN())),OFFSET($BN$2,0,0,ROW()-1,60),ROW()-1,FALSE))</f>
        <v/>
      </c>
      <c r="BL80" t="str">
        <f ca="1">IF(AND(ISNUMBER($BL$284),$B$208=1),$BL$284,HLOOKUP(INDIRECT(ADDRESS(2,COLUMN())),OFFSET($BN$2,0,0,ROW()-1,60),ROW()-1,FALSE))</f>
        <v/>
      </c>
      <c r="BM80" t="str">
        <f ca="1">IF(AND(ISNUMBER($BM$284),$B$208=1),$BM$284,HLOOKUP(INDIRECT(ADDRESS(2,COLUMN())),OFFSET($BN$2,0,0,ROW()-1,60),ROW()-1,FALSE))</f>
        <v/>
      </c>
      <c r="BN80">
        <f>159800</f>
        <v>159800</v>
      </c>
      <c r="BO80">
        <f>158659</f>
        <v>158659</v>
      </c>
      <c r="BP80">
        <f>155403</f>
        <v>155403</v>
      </c>
      <c r="BQ80">
        <f>154609</f>
        <v>154609</v>
      </c>
      <c r="BR80">
        <f>154197</f>
        <v>154197</v>
      </c>
      <c r="BS80">
        <f>151318</f>
        <v>151318</v>
      </c>
      <c r="BT80">
        <f>152222</f>
        <v>152222</v>
      </c>
      <c r="BU80">
        <f>152192</f>
        <v>152192</v>
      </c>
      <c r="BV80">
        <f>151659</f>
        <v>151659</v>
      </c>
      <c r="BW80">
        <f>151565</f>
        <v>151565</v>
      </c>
      <c r="BX80">
        <f>153711</f>
        <v>153711</v>
      </c>
      <c r="BY80">
        <f>156271</f>
        <v>156271</v>
      </c>
      <c r="BZ80">
        <f>157145</f>
        <v>157145</v>
      </c>
      <c r="CA80">
        <f>157458</f>
        <v>157458</v>
      </c>
      <c r="CB80">
        <f>157288</f>
        <v>157288</v>
      </c>
      <c r="CC80">
        <f>156847</f>
        <v>156847</v>
      </c>
      <c r="CD80">
        <f>156904</f>
        <v>156904</v>
      </c>
      <c r="CE80">
        <f>157971</f>
        <v>157971</v>
      </c>
      <c r="CF80">
        <f>161841</f>
        <v>161841</v>
      </c>
      <c r="CG80">
        <f>159491</f>
        <v>159491</v>
      </c>
      <c r="CH80">
        <f>160519</f>
        <v>160519</v>
      </c>
      <c r="CI80">
        <f>161270</f>
        <v>161270</v>
      </c>
      <c r="CJ80">
        <f>163453</f>
        <v>163453</v>
      </c>
      <c r="CK80">
        <f>160277</f>
        <v>160277</v>
      </c>
      <c r="CL80">
        <f>161054</f>
        <v>161054</v>
      </c>
      <c r="CM80">
        <f>162482</f>
        <v>162482</v>
      </c>
      <c r="CN80">
        <f>164870</f>
        <v>164870</v>
      </c>
      <c r="CO80">
        <f>162999</f>
        <v>162999</v>
      </c>
      <c r="CP80">
        <f>165251</f>
        <v>165251</v>
      </c>
      <c r="CQ80">
        <f>163825</f>
        <v>163825</v>
      </c>
      <c r="CR80">
        <f>163359</f>
        <v>163359</v>
      </c>
      <c r="CS80">
        <f>163042</f>
        <v>163042</v>
      </c>
      <c r="CT80">
        <f>164867</f>
        <v>164867</v>
      </c>
      <c r="CU80">
        <f>161591</f>
        <v>161591</v>
      </c>
      <c r="CV80">
        <f>164831</f>
        <v>164831</v>
      </c>
      <c r="CW80">
        <f>161400</f>
        <v>161400</v>
      </c>
      <c r="CX80">
        <f>167013</f>
        <v>167013</v>
      </c>
      <c r="CY80">
        <f>167454</f>
        <v>167454</v>
      </c>
      <c r="CZ80">
        <f>167896</f>
        <v>167896</v>
      </c>
      <c r="DA80" t="str">
        <f>""</f>
        <v/>
      </c>
      <c r="DB80">
        <f>168588</f>
        <v>168588</v>
      </c>
      <c r="DC80">
        <f>165788</f>
        <v>165788</v>
      </c>
      <c r="DD80">
        <f>167191</f>
        <v>167191</v>
      </c>
      <c r="DE80">
        <f>170396</f>
        <v>170396</v>
      </c>
      <c r="DF80">
        <f>170265</f>
        <v>170265</v>
      </c>
      <c r="DG80">
        <f>172102</f>
        <v>172102</v>
      </c>
      <c r="DH80">
        <f>169157</f>
        <v>169157</v>
      </c>
      <c r="DI80">
        <f>174298</f>
        <v>174298</v>
      </c>
      <c r="DJ80">
        <f>170774</f>
        <v>170774</v>
      </c>
      <c r="DK80" t="str">
        <f>""</f>
        <v/>
      </c>
      <c r="DL80" t="str">
        <f>""</f>
        <v/>
      </c>
      <c r="DM80" t="str">
        <f>""</f>
        <v/>
      </c>
      <c r="DN80" t="str">
        <f>""</f>
        <v/>
      </c>
      <c r="DO80" t="str">
        <f>""</f>
        <v/>
      </c>
      <c r="DP80" t="str">
        <f>""</f>
        <v/>
      </c>
      <c r="DQ80" t="str">
        <f>""</f>
        <v/>
      </c>
      <c r="DR80" t="str">
        <f>""</f>
        <v/>
      </c>
      <c r="DS80" t="str">
        <f>""</f>
        <v/>
      </c>
      <c r="DT80" t="str">
        <f>""</f>
        <v/>
      </c>
      <c r="DU80" t="str">
        <f>""</f>
        <v/>
      </c>
    </row>
    <row r="81" spans="1:125" x14ac:dyDescent="0.25">
      <c r="A81" t="str">
        <f>"    AIB Group PLC"</f>
        <v xml:space="preserve">    AIB Group PLC</v>
      </c>
      <c r="B81" t="str">
        <f>"AIBG ID Equity"</f>
        <v>AIBG ID Equity</v>
      </c>
      <c r="C81" t="str">
        <f t="shared" si="6"/>
        <v>BS017</v>
      </c>
      <c r="D81" t="str">
        <f t="shared" si="7"/>
        <v>BS_CONS_LOAN</v>
      </c>
      <c r="E81" t="str">
        <f t="shared" si="8"/>
        <v>Dynamic</v>
      </c>
      <c r="F81" t="str">
        <f ca="1">IF(AND(ISNUMBER($F$285),$B$208=1),$F$285,HLOOKUP(INDIRECT(ADDRESS(2,COLUMN())),OFFSET($BN$2,0,0,ROW()-1,60),ROW()-1,FALSE))</f>
        <v/>
      </c>
      <c r="G81" t="str">
        <f ca="1">IF(AND(ISNUMBER($G$285),$B$208=1),$G$285,HLOOKUP(INDIRECT(ADDRESS(2,COLUMN())),OFFSET($BN$2,0,0,ROW()-1,60),ROW()-1,FALSE))</f>
        <v/>
      </c>
      <c r="H81" t="str">
        <f ca="1">IF(AND(ISNUMBER($H$285),$B$208=1),$H$285,HLOOKUP(INDIRECT(ADDRESS(2,COLUMN())),OFFSET($BN$2,0,0,ROW()-1,60),ROW()-1,FALSE))</f>
        <v/>
      </c>
      <c r="I81" t="str">
        <f ca="1">IF(AND(ISNUMBER($I$285),$B$208=1),$I$285,HLOOKUP(INDIRECT(ADDRESS(2,COLUMN())),OFFSET($BN$2,0,0,ROW()-1,60),ROW()-1,FALSE))</f>
        <v/>
      </c>
      <c r="J81" t="str">
        <f ca="1">IF(AND(ISNUMBER($J$285),$B$208=1),$J$285,HLOOKUP(INDIRECT(ADDRESS(2,COLUMN())),OFFSET($BN$2,0,0,ROW()-1,60),ROW()-1,FALSE))</f>
        <v/>
      </c>
      <c r="K81" t="str">
        <f ca="1">IF(AND(ISNUMBER($K$285),$B$208=1),$K$285,HLOOKUP(INDIRECT(ADDRESS(2,COLUMN())),OFFSET($BN$2,0,0,ROW()-1,60),ROW()-1,FALSE))</f>
        <v/>
      </c>
      <c r="L81" t="str">
        <f ca="1">IF(AND(ISNUMBER($L$285),$B$208=1),$L$285,HLOOKUP(INDIRECT(ADDRESS(2,COLUMN())),OFFSET($BN$2,0,0,ROW()-1,60),ROW()-1,FALSE))</f>
        <v/>
      </c>
      <c r="M81" t="str">
        <f ca="1">IF(AND(ISNUMBER($M$285),$B$208=1),$M$285,HLOOKUP(INDIRECT(ADDRESS(2,COLUMN())),OFFSET($BN$2,0,0,ROW()-1,60),ROW()-1,FALSE))</f>
        <v/>
      </c>
      <c r="N81" t="str">
        <f ca="1">IF(AND(ISNUMBER($N$285),$B$208=1),$N$285,HLOOKUP(INDIRECT(ADDRESS(2,COLUMN())),OFFSET($BN$2,0,0,ROW()-1,60),ROW()-1,FALSE))</f>
        <v/>
      </c>
      <c r="O81" t="str">
        <f ca="1">IF(AND(ISNUMBER($O$285),$B$208=1),$O$285,HLOOKUP(INDIRECT(ADDRESS(2,COLUMN())),OFFSET($BN$2,0,0,ROW()-1,60),ROW()-1,FALSE))</f>
        <v/>
      </c>
      <c r="P81" t="str">
        <f ca="1">IF(AND(ISNUMBER($P$285),$B$208=1),$P$285,HLOOKUP(INDIRECT(ADDRESS(2,COLUMN())),OFFSET($BN$2,0,0,ROW()-1,60),ROW()-1,FALSE))</f>
        <v/>
      </c>
      <c r="Q81" t="str">
        <f ca="1">IF(AND(ISNUMBER($Q$285),$B$208=1),$Q$285,HLOOKUP(INDIRECT(ADDRESS(2,COLUMN())),OFFSET($BN$2,0,0,ROW()-1,60),ROW()-1,FALSE))</f>
        <v/>
      </c>
      <c r="R81" t="str">
        <f ca="1">IF(AND(ISNUMBER($R$285),$B$208=1),$R$285,HLOOKUP(INDIRECT(ADDRESS(2,COLUMN())),OFFSET($BN$2,0,0,ROW()-1,60),ROW()-1,FALSE))</f>
        <v/>
      </c>
      <c r="S81" t="str">
        <f ca="1">IF(AND(ISNUMBER($S$285),$B$208=1),$S$285,HLOOKUP(INDIRECT(ADDRESS(2,COLUMN())),OFFSET($BN$2,0,0,ROW()-1,60),ROW()-1,FALSE))</f>
        <v/>
      </c>
      <c r="T81" t="str">
        <f ca="1">IF(AND(ISNUMBER($T$285),$B$208=1),$T$285,HLOOKUP(INDIRECT(ADDRESS(2,COLUMN())),OFFSET($BN$2,0,0,ROW()-1,60),ROW()-1,FALSE))</f>
        <v/>
      </c>
      <c r="U81" t="str">
        <f ca="1">IF(AND(ISNUMBER($U$285),$B$208=1),$U$285,HLOOKUP(INDIRECT(ADDRESS(2,COLUMN())),OFFSET($BN$2,0,0,ROW()-1,60),ROW()-1,FALSE))</f>
        <v/>
      </c>
      <c r="V81" t="str">
        <f ca="1">IF(AND(ISNUMBER($V$285),$B$208=1),$V$285,HLOOKUP(INDIRECT(ADDRESS(2,COLUMN())),OFFSET($BN$2,0,0,ROW()-1,60),ROW()-1,FALSE))</f>
        <v/>
      </c>
      <c r="W81" t="str">
        <f ca="1">IF(AND(ISNUMBER($W$285),$B$208=1),$W$285,HLOOKUP(INDIRECT(ADDRESS(2,COLUMN())),OFFSET($BN$2,0,0,ROW()-1,60),ROW()-1,FALSE))</f>
        <v/>
      </c>
      <c r="X81" t="str">
        <f ca="1">IF(AND(ISNUMBER($X$285),$B$208=1),$X$285,HLOOKUP(INDIRECT(ADDRESS(2,COLUMN())),OFFSET($BN$2,0,0,ROW()-1,60),ROW()-1,FALSE))</f>
        <v/>
      </c>
      <c r="Y81" t="str">
        <f ca="1">IF(AND(ISNUMBER($Y$285),$B$208=1),$Y$285,HLOOKUP(INDIRECT(ADDRESS(2,COLUMN())),OFFSET($BN$2,0,0,ROW()-1,60),ROW()-1,FALSE))</f>
        <v/>
      </c>
      <c r="Z81" t="str">
        <f ca="1">IF(AND(ISNUMBER($Z$285),$B$208=1),$Z$285,HLOOKUP(INDIRECT(ADDRESS(2,COLUMN())),OFFSET($BN$2,0,0,ROW()-1,60),ROW()-1,FALSE))</f>
        <v/>
      </c>
      <c r="AA81" t="str">
        <f ca="1">IF(AND(ISNUMBER($AA$285),$B$208=1),$AA$285,HLOOKUP(INDIRECT(ADDRESS(2,COLUMN())),OFFSET($BN$2,0,0,ROW()-1,60),ROW()-1,FALSE))</f>
        <v/>
      </c>
      <c r="AB81" t="str">
        <f ca="1">IF(AND(ISNUMBER($AB$285),$B$208=1),$AB$285,HLOOKUP(INDIRECT(ADDRESS(2,COLUMN())),OFFSET($BN$2,0,0,ROW()-1,60),ROW()-1,FALSE))</f>
        <v/>
      </c>
      <c r="AC81" t="str">
        <f ca="1">IF(AND(ISNUMBER($AC$285),$B$208=1),$AC$285,HLOOKUP(INDIRECT(ADDRESS(2,COLUMN())),OFFSET($BN$2,0,0,ROW()-1,60),ROW()-1,FALSE))</f>
        <v/>
      </c>
      <c r="AD81" t="str">
        <f ca="1">IF(AND(ISNUMBER($AD$285),$B$208=1),$AD$285,HLOOKUP(INDIRECT(ADDRESS(2,COLUMN())),OFFSET($BN$2,0,0,ROW()-1,60),ROW()-1,FALSE))</f>
        <v/>
      </c>
      <c r="AE81" t="str">
        <f ca="1">IF(AND(ISNUMBER($AE$285),$B$208=1),$AE$285,HLOOKUP(INDIRECT(ADDRESS(2,COLUMN())),OFFSET($BN$2,0,0,ROW()-1,60),ROW()-1,FALSE))</f>
        <v/>
      </c>
      <c r="AF81" t="str">
        <f ca="1">IF(AND(ISNUMBER($AF$285),$B$208=1),$AF$285,HLOOKUP(INDIRECT(ADDRESS(2,COLUMN())),OFFSET($BN$2,0,0,ROW()-1,60),ROW()-1,FALSE))</f>
        <v/>
      </c>
      <c r="AG81" t="str">
        <f ca="1">IF(AND(ISNUMBER($AG$285),$B$208=1),$AG$285,HLOOKUP(INDIRECT(ADDRESS(2,COLUMN())),OFFSET($BN$2,0,0,ROW()-1,60),ROW()-1,FALSE))</f>
        <v/>
      </c>
      <c r="AH81" t="str">
        <f ca="1">IF(AND(ISNUMBER($AH$285),$B$208=1),$AH$285,HLOOKUP(INDIRECT(ADDRESS(2,COLUMN())),OFFSET($BN$2,0,0,ROW()-1,60),ROW()-1,FALSE))</f>
        <v/>
      </c>
      <c r="AI81" t="str">
        <f ca="1">IF(AND(ISNUMBER($AI$285),$B$208=1),$AI$285,HLOOKUP(INDIRECT(ADDRESS(2,COLUMN())),OFFSET($BN$2,0,0,ROW()-1,60),ROW()-1,FALSE))</f>
        <v/>
      </c>
      <c r="AJ81" t="str">
        <f ca="1">IF(AND(ISNUMBER($AJ$285),$B$208=1),$AJ$285,HLOOKUP(INDIRECT(ADDRESS(2,COLUMN())),OFFSET($BN$2,0,0,ROW()-1,60),ROW()-1,FALSE))</f>
        <v/>
      </c>
      <c r="AK81" t="str">
        <f ca="1">IF(AND(ISNUMBER($AK$285),$B$208=1),$AK$285,HLOOKUP(INDIRECT(ADDRESS(2,COLUMN())),OFFSET($BN$2,0,0,ROW()-1,60),ROW()-1,FALSE))</f>
        <v/>
      </c>
      <c r="AL81" t="str">
        <f ca="1">IF(AND(ISNUMBER($AL$285),$B$208=1),$AL$285,HLOOKUP(INDIRECT(ADDRESS(2,COLUMN())),OFFSET($BN$2,0,0,ROW()-1,60),ROW()-1,FALSE))</f>
        <v/>
      </c>
      <c r="AM81" t="str">
        <f ca="1">IF(AND(ISNUMBER($AM$285),$B$208=1),$AM$285,HLOOKUP(INDIRECT(ADDRESS(2,COLUMN())),OFFSET($BN$2,0,0,ROW()-1,60),ROW()-1,FALSE))</f>
        <v/>
      </c>
      <c r="AN81" t="str">
        <f ca="1">IF(AND(ISNUMBER($AN$285),$B$208=1),$AN$285,HLOOKUP(INDIRECT(ADDRESS(2,COLUMN())),OFFSET($BN$2,0,0,ROW()-1,60),ROW()-1,FALSE))</f>
        <v/>
      </c>
      <c r="AO81" t="str">
        <f ca="1">IF(AND(ISNUMBER($AO$285),$B$208=1),$AO$285,HLOOKUP(INDIRECT(ADDRESS(2,COLUMN())),OFFSET($BN$2,0,0,ROW()-1,60),ROW()-1,FALSE))</f>
        <v/>
      </c>
      <c r="AP81" t="str">
        <f ca="1">IF(AND(ISNUMBER($AP$285),$B$208=1),$AP$285,HLOOKUP(INDIRECT(ADDRESS(2,COLUMN())),OFFSET($BN$2,0,0,ROW()-1,60),ROW()-1,FALSE))</f>
        <v/>
      </c>
      <c r="AQ81" t="str">
        <f ca="1">IF(AND(ISNUMBER($AQ$285),$B$208=1),$AQ$285,HLOOKUP(INDIRECT(ADDRESS(2,COLUMN())),OFFSET($BN$2,0,0,ROW()-1,60),ROW()-1,FALSE))</f>
        <v/>
      </c>
      <c r="AR81" t="str">
        <f ca="1">IF(AND(ISNUMBER($AR$285),$B$208=1),$AR$285,HLOOKUP(INDIRECT(ADDRESS(2,COLUMN())),OFFSET($BN$2,0,0,ROW()-1,60),ROW()-1,FALSE))</f>
        <v/>
      </c>
      <c r="AS81" t="str">
        <f ca="1">IF(AND(ISNUMBER($AS$285),$B$208=1),$AS$285,HLOOKUP(INDIRECT(ADDRESS(2,COLUMN())),OFFSET($BN$2,0,0,ROW()-1,60),ROW()-1,FALSE))</f>
        <v/>
      </c>
      <c r="AT81" t="str">
        <f ca="1">IF(AND(ISNUMBER($AT$285),$B$208=1),$AT$285,HLOOKUP(INDIRECT(ADDRESS(2,COLUMN())),OFFSET($BN$2,0,0,ROW()-1,60),ROW()-1,FALSE))</f>
        <v/>
      </c>
      <c r="AU81" t="str">
        <f ca="1">IF(AND(ISNUMBER($AU$285),$B$208=1),$AU$285,HLOOKUP(INDIRECT(ADDRESS(2,COLUMN())),OFFSET($BN$2,0,0,ROW()-1,60),ROW()-1,FALSE))</f>
        <v/>
      </c>
      <c r="AV81" t="str">
        <f ca="1">IF(AND(ISNUMBER($AV$285),$B$208=1),$AV$285,HLOOKUP(INDIRECT(ADDRESS(2,COLUMN())),OFFSET($BN$2,0,0,ROW()-1,60),ROW()-1,FALSE))</f>
        <v/>
      </c>
      <c r="AW81" t="str">
        <f ca="1">IF(AND(ISNUMBER($AW$285),$B$208=1),$AW$285,HLOOKUP(INDIRECT(ADDRESS(2,COLUMN())),OFFSET($BN$2,0,0,ROW()-1,60),ROW()-1,FALSE))</f>
        <v/>
      </c>
      <c r="AX81" t="str">
        <f ca="1">IF(AND(ISNUMBER($AX$285),$B$208=1),$AX$285,HLOOKUP(INDIRECT(ADDRESS(2,COLUMN())),OFFSET($BN$2,0,0,ROW()-1,60),ROW()-1,FALSE))</f>
        <v/>
      </c>
      <c r="AY81" t="str">
        <f ca="1">IF(AND(ISNUMBER($AY$285),$B$208=1),$AY$285,HLOOKUP(INDIRECT(ADDRESS(2,COLUMN())),OFFSET($BN$2,0,0,ROW()-1,60),ROW()-1,FALSE))</f>
        <v/>
      </c>
      <c r="AZ81" t="str">
        <f ca="1">IF(AND(ISNUMBER($AZ$285),$B$208=1),$AZ$285,HLOOKUP(INDIRECT(ADDRESS(2,COLUMN())),OFFSET($BN$2,0,0,ROW()-1,60),ROW()-1,FALSE))</f>
        <v/>
      </c>
      <c r="BA81" t="str">
        <f ca="1">IF(AND(ISNUMBER($BA$285),$B$208=1),$BA$285,HLOOKUP(INDIRECT(ADDRESS(2,COLUMN())),OFFSET($BN$2,0,0,ROW()-1,60),ROW()-1,FALSE))</f>
        <v/>
      </c>
      <c r="BB81" t="str">
        <f ca="1">IF(AND(ISNUMBER($BB$285),$B$208=1),$BB$285,HLOOKUP(INDIRECT(ADDRESS(2,COLUMN())),OFFSET($BN$2,0,0,ROW()-1,60),ROW()-1,FALSE))</f>
        <v/>
      </c>
      <c r="BC81" t="str">
        <f ca="1">IF(AND(ISNUMBER($BC$285),$B$208=1),$BC$285,HLOOKUP(INDIRECT(ADDRESS(2,COLUMN())),OFFSET($BN$2,0,0,ROW()-1,60),ROW()-1,FALSE))</f>
        <v/>
      </c>
      <c r="BD81" t="str">
        <f ca="1">IF(AND(ISNUMBER($BD$285),$B$208=1),$BD$285,HLOOKUP(INDIRECT(ADDRESS(2,COLUMN())),OFFSET($BN$2,0,0,ROW()-1,60),ROW()-1,FALSE))</f>
        <v/>
      </c>
      <c r="BE81" t="str">
        <f ca="1">IF(AND(ISNUMBER($BE$285),$B$208=1),$BE$285,HLOOKUP(INDIRECT(ADDRESS(2,COLUMN())),OFFSET($BN$2,0,0,ROW()-1,60),ROW()-1,FALSE))</f>
        <v/>
      </c>
      <c r="BF81" t="str">
        <f ca="1">IF(AND(ISNUMBER($BF$285),$B$208=1),$BF$285,HLOOKUP(INDIRECT(ADDRESS(2,COLUMN())),OFFSET($BN$2,0,0,ROW()-1,60),ROW()-1,FALSE))</f>
        <v/>
      </c>
      <c r="BG81" t="str">
        <f ca="1">IF(AND(ISNUMBER($BG$285),$B$208=1),$BG$285,HLOOKUP(INDIRECT(ADDRESS(2,COLUMN())),OFFSET($BN$2,0,0,ROW()-1,60),ROW()-1,FALSE))</f>
        <v/>
      </c>
      <c r="BH81" t="str">
        <f ca="1">IF(AND(ISNUMBER($BH$285),$B$208=1),$BH$285,HLOOKUP(INDIRECT(ADDRESS(2,COLUMN())),OFFSET($BN$2,0,0,ROW()-1,60),ROW()-1,FALSE))</f>
        <v/>
      </c>
      <c r="BI81" t="str">
        <f ca="1">IF(AND(ISNUMBER($BI$285),$B$208=1),$BI$285,HLOOKUP(INDIRECT(ADDRESS(2,COLUMN())),OFFSET($BN$2,0,0,ROW()-1,60),ROW()-1,FALSE))</f>
        <v/>
      </c>
      <c r="BJ81" t="str">
        <f ca="1">IF(AND(ISNUMBER($BJ$285),$B$208=1),$BJ$285,HLOOKUP(INDIRECT(ADDRESS(2,COLUMN())),OFFSET($BN$2,0,0,ROW()-1,60),ROW()-1,FALSE))</f>
        <v/>
      </c>
      <c r="BK81" t="str">
        <f ca="1">IF(AND(ISNUMBER($BK$285),$B$208=1),$BK$285,HLOOKUP(INDIRECT(ADDRESS(2,COLUMN())),OFFSET($BN$2,0,0,ROW()-1,60),ROW()-1,FALSE))</f>
        <v/>
      </c>
      <c r="BL81" t="str">
        <f ca="1">IF(AND(ISNUMBER($BL$285),$B$208=1),$BL$285,HLOOKUP(INDIRECT(ADDRESS(2,COLUMN())),OFFSET($BN$2,0,0,ROW()-1,60),ROW()-1,FALSE))</f>
        <v/>
      </c>
      <c r="BM81" t="str">
        <f ca="1">IF(AND(ISNUMBER($BM$285),$B$208=1),$BM$285,HLOOKUP(INDIRECT(ADDRESS(2,COLUMN())),OFFSET($BN$2,0,0,ROW()-1,60),ROW()-1,FALSE))</f>
        <v/>
      </c>
      <c r="BN81" t="str">
        <f>""</f>
        <v/>
      </c>
      <c r="BO81" t="str">
        <f>""</f>
        <v/>
      </c>
      <c r="BP81" t="str">
        <f>""</f>
        <v/>
      </c>
      <c r="BQ81" t="str">
        <f>""</f>
        <v/>
      </c>
      <c r="BR81" t="str">
        <f>""</f>
        <v/>
      </c>
      <c r="BS81" t="str">
        <f>""</f>
        <v/>
      </c>
      <c r="BT81" t="str">
        <f>""</f>
        <v/>
      </c>
      <c r="BU81" t="str">
        <f>""</f>
        <v/>
      </c>
      <c r="BV81" t="str">
        <f>""</f>
        <v/>
      </c>
      <c r="BW81" t="str">
        <f>""</f>
        <v/>
      </c>
      <c r="BX81" t="str">
        <f>""</f>
        <v/>
      </c>
      <c r="BY81" t="str">
        <f>""</f>
        <v/>
      </c>
      <c r="BZ81" t="str">
        <f>""</f>
        <v/>
      </c>
      <c r="CA81" t="str">
        <f>""</f>
        <v/>
      </c>
      <c r="CB81" t="str">
        <f>""</f>
        <v/>
      </c>
      <c r="CC81" t="str">
        <f>""</f>
        <v/>
      </c>
      <c r="CD81" t="str">
        <f>""</f>
        <v/>
      </c>
      <c r="CE81" t="str">
        <f>""</f>
        <v/>
      </c>
      <c r="CF81" t="str">
        <f>""</f>
        <v/>
      </c>
      <c r="CG81" t="str">
        <f>""</f>
        <v/>
      </c>
      <c r="CH81" t="str">
        <f>""</f>
        <v/>
      </c>
      <c r="CI81" t="str">
        <f>""</f>
        <v/>
      </c>
      <c r="CJ81" t="str">
        <f>""</f>
        <v/>
      </c>
      <c r="CK81" t="str">
        <f>""</f>
        <v/>
      </c>
      <c r="CL81" t="str">
        <f>""</f>
        <v/>
      </c>
      <c r="CM81" t="str">
        <f>""</f>
        <v/>
      </c>
      <c r="CN81" t="str">
        <f>""</f>
        <v/>
      </c>
      <c r="CO81" t="str">
        <f>""</f>
        <v/>
      </c>
      <c r="CP81" t="str">
        <f>""</f>
        <v/>
      </c>
      <c r="CQ81" t="str">
        <f>""</f>
        <v/>
      </c>
      <c r="CR81" t="str">
        <f>""</f>
        <v/>
      </c>
      <c r="CS81" t="str">
        <f>""</f>
        <v/>
      </c>
      <c r="CT81" t="str">
        <f>""</f>
        <v/>
      </c>
      <c r="CU81" t="str">
        <f>""</f>
        <v/>
      </c>
      <c r="CV81" t="str">
        <f>""</f>
        <v/>
      </c>
      <c r="CW81" t="str">
        <f>""</f>
        <v/>
      </c>
      <c r="CX81" t="str">
        <f>""</f>
        <v/>
      </c>
      <c r="CY81" t="str">
        <f>""</f>
        <v/>
      </c>
      <c r="CZ81" t="str">
        <f>""</f>
        <v/>
      </c>
      <c r="DA81" t="str">
        <f>""</f>
        <v/>
      </c>
      <c r="DB81" t="str">
        <f>""</f>
        <v/>
      </c>
      <c r="DC81" t="str">
        <f>""</f>
        <v/>
      </c>
      <c r="DD81" t="str">
        <f>""</f>
        <v/>
      </c>
      <c r="DE81" t="str">
        <f>""</f>
        <v/>
      </c>
      <c r="DF81" t="str">
        <f>""</f>
        <v/>
      </c>
      <c r="DG81" t="str">
        <f>""</f>
        <v/>
      </c>
      <c r="DH81" t="str">
        <f>""</f>
        <v/>
      </c>
      <c r="DI81" t="str">
        <f>""</f>
        <v/>
      </c>
      <c r="DJ81" t="str">
        <f>""</f>
        <v/>
      </c>
      <c r="DK81" t="str">
        <f>""</f>
        <v/>
      </c>
      <c r="DL81" t="str">
        <f>""</f>
        <v/>
      </c>
      <c r="DM81" t="str">
        <f>""</f>
        <v/>
      </c>
      <c r="DN81" t="str">
        <f>""</f>
        <v/>
      </c>
      <c r="DO81" t="str">
        <f>""</f>
        <v/>
      </c>
      <c r="DP81" t="str">
        <f>""</f>
        <v/>
      </c>
      <c r="DQ81" t="str">
        <f>""</f>
        <v/>
      </c>
      <c r="DR81" t="str">
        <f>""</f>
        <v/>
      </c>
      <c r="DS81" t="str">
        <f>""</f>
        <v/>
      </c>
      <c r="DT81" t="str">
        <f>""</f>
        <v/>
      </c>
      <c r="DU81" t="str">
        <f>""</f>
        <v/>
      </c>
    </row>
    <row r="82" spans="1:125" x14ac:dyDescent="0.25">
      <c r="A82" t="str">
        <f>"    Banco de Sabadell SA"</f>
        <v xml:space="preserve">    Banco de Sabadell SA</v>
      </c>
      <c r="B82" t="str">
        <f>"SAB SM Equity"</f>
        <v>SAB SM Equity</v>
      </c>
      <c r="C82" t="str">
        <f t="shared" si="6"/>
        <v>BS017</v>
      </c>
      <c r="D82" t="str">
        <f t="shared" si="7"/>
        <v>BS_CONS_LOAN</v>
      </c>
      <c r="E82" t="str">
        <f t="shared" si="8"/>
        <v>Dynamic</v>
      </c>
      <c r="F82">
        <f ca="1">IF(AND(ISNUMBER($F$286),$B$208=1),$F$286,HLOOKUP(INDIRECT(ADDRESS(2,COLUMN())),OFFSET($BN$2,0,0,ROW()-1,60),ROW()-1,FALSE))</f>
        <v>98022.642000000007</v>
      </c>
      <c r="G82">
        <f ca="1">IF(AND(ISNUMBER($G$286),$B$208=1),$G$286,HLOOKUP(INDIRECT(ADDRESS(2,COLUMN())),OFFSET($BN$2,0,0,ROW()-1,60),ROW()-1,FALSE))</f>
        <v>139754</v>
      </c>
      <c r="H82">
        <f ca="1">IF(AND(ISNUMBER($H$286),$B$208=1),$H$286,HLOOKUP(INDIRECT(ADDRESS(2,COLUMN())),OFFSET($BN$2,0,0,ROW()-1,60),ROW()-1,FALSE))</f>
        <v>139256</v>
      </c>
      <c r="I82">
        <f ca="1">IF(AND(ISNUMBER($I$286),$B$208=1),$I$286,HLOOKUP(INDIRECT(ADDRESS(2,COLUMN())),OFFSET($BN$2,0,0,ROW()-1,60),ROW()-1,FALSE))</f>
        <v>136442</v>
      </c>
      <c r="J82">
        <f ca="1">IF(AND(ISNUMBER($J$286),$B$208=1),$J$286,HLOOKUP(INDIRECT(ADDRESS(2,COLUMN())),OFFSET($BN$2,0,0,ROW()-1,60),ROW()-1,FALSE))</f>
        <v>93995.421000000002</v>
      </c>
      <c r="K82">
        <f ca="1">IF(AND(ISNUMBER($K$286),$B$208=1),$K$286,HLOOKUP(INDIRECT(ADDRESS(2,COLUMN())),OFFSET($BN$2,0,0,ROW()-1,60),ROW()-1,FALSE))</f>
        <v>137058</v>
      </c>
      <c r="L82">
        <f ca="1">IF(AND(ISNUMBER($L$286),$B$208=1),$L$286,HLOOKUP(INDIRECT(ADDRESS(2,COLUMN())),OFFSET($BN$2,0,0,ROW()-1,60),ROW()-1,FALSE))</f>
        <v>95529.126000000004</v>
      </c>
      <c r="M82">
        <f ca="1">IF(AND(ISNUMBER($M$286),$B$208=1),$M$286,HLOOKUP(INDIRECT(ADDRESS(2,COLUMN())),OFFSET($BN$2,0,0,ROW()-1,60),ROW()-1,FALSE))</f>
        <v>140290</v>
      </c>
      <c r="N82">
        <f ca="1">IF(AND(ISNUMBER($N$286),$B$208=1),$N$286,HLOOKUP(INDIRECT(ADDRESS(2,COLUMN())),OFFSET($BN$2,0,0,ROW()-1,60),ROW()-1,FALSE))</f>
        <v>96121.271999999997</v>
      </c>
      <c r="O82">
        <f ca="1">IF(AND(ISNUMBER($O$286),$B$208=1),$O$286,HLOOKUP(INDIRECT(ADDRESS(2,COLUMN())),OFFSET($BN$2,0,0,ROW()-1,60),ROW()-1,FALSE))</f>
        <v>144346</v>
      </c>
      <c r="P82">
        <f ca="1">IF(AND(ISNUMBER($P$286),$B$208=1),$P$286,HLOOKUP(INDIRECT(ADDRESS(2,COLUMN())),OFFSET($BN$2,0,0,ROW()-1,60),ROW()-1,FALSE))</f>
        <v>97494.888999999996</v>
      </c>
      <c r="Q82">
        <f ca="1">IF(AND(ISNUMBER($Q$286),$B$208=1),$Q$286,HLOOKUP(INDIRECT(ADDRESS(2,COLUMN())),OFFSET($BN$2,0,0,ROW()-1,60),ROW()-1,FALSE))</f>
        <v>143299</v>
      </c>
      <c r="R82">
        <f ca="1">IF(AND(ISNUMBER($R$286),$B$208=1),$R$286,HLOOKUP(INDIRECT(ADDRESS(2,COLUMN())),OFFSET($BN$2,0,0,ROW()-1,60),ROW()-1,FALSE))</f>
        <v>97189.187999999995</v>
      </c>
      <c r="S82">
        <f ca="1">IF(AND(ISNUMBER($S$286),$B$208=1),$S$286,HLOOKUP(INDIRECT(ADDRESS(2,COLUMN())),OFFSET($BN$2,0,0,ROW()-1,60),ROW()-1,FALSE))</f>
        <v>141698</v>
      </c>
      <c r="T82">
        <f ca="1">IF(AND(ISNUMBER($T$286),$B$208=1),$T$286,HLOOKUP(INDIRECT(ADDRESS(2,COLUMN())),OFFSET($BN$2,0,0,ROW()-1,60),ROW()-1,FALSE))</f>
        <v>95077.388999999996</v>
      </c>
      <c r="U82">
        <f ca="1">IF(AND(ISNUMBER($U$286),$B$208=1),$U$286,HLOOKUP(INDIRECT(ADDRESS(2,COLUMN())),OFFSET($BN$2,0,0,ROW()-1,60),ROW()-1,FALSE))</f>
        <v>139323</v>
      </c>
      <c r="V82">
        <f ca="1">IF(AND(ISNUMBER($V$286),$B$208=1),$V$286,HLOOKUP(INDIRECT(ADDRESS(2,COLUMN())),OFFSET($BN$2,0,0,ROW()-1,60),ROW()-1,FALSE))</f>
        <v>92103.764999999999</v>
      </c>
      <c r="W82">
        <f ca="1">IF(AND(ISNUMBER($W$286),$B$208=1),$W$286,HLOOKUP(INDIRECT(ADDRESS(2,COLUMN())),OFFSET($BN$2,0,0,ROW()-1,60),ROW()-1,FALSE))</f>
        <v>135111</v>
      </c>
      <c r="X82">
        <f ca="1">IF(AND(ISNUMBER($X$286),$B$208=1),$X$286,HLOOKUP(INDIRECT(ADDRESS(2,COLUMN())),OFFSET($BN$2,0,0,ROW()-1,60),ROW()-1,FALSE))</f>
        <v>90232.471999999994</v>
      </c>
      <c r="Y82">
        <f ca="1">IF(AND(ISNUMBER($Y$286),$B$208=1),$Y$286,HLOOKUP(INDIRECT(ADDRESS(2,COLUMN())),OFFSET($BN$2,0,0,ROW()-1,60),ROW()-1,FALSE))</f>
        <v>131682</v>
      </c>
      <c r="Z82">
        <f ca="1">IF(AND(ISNUMBER($Z$286),$B$208=1),$Z$286,HLOOKUP(INDIRECT(ADDRESS(2,COLUMN())),OFFSET($BN$2,0,0,ROW()-1,60),ROW()-1,FALSE))</f>
        <v>94426.471000000005</v>
      </c>
      <c r="AA82">
        <f ca="1">IF(AND(ISNUMBER($AA$286),$B$208=1),$AA$286,HLOOKUP(INDIRECT(ADDRESS(2,COLUMN())),OFFSET($BN$2,0,0,ROW()-1,60),ROW()-1,FALSE))</f>
        <v>129809</v>
      </c>
      <c r="AB82">
        <f ca="1">IF(AND(ISNUMBER($AB$286),$B$208=1),$AB$286,HLOOKUP(INDIRECT(ADDRESS(2,COLUMN())),OFFSET($BN$2,0,0,ROW()-1,60),ROW()-1,FALSE))</f>
        <v>91554.52</v>
      </c>
      <c r="AC82">
        <f ca="1">IF(AND(ISNUMBER($AC$286),$B$208=1),$AC$286,HLOOKUP(INDIRECT(ADDRESS(2,COLUMN())),OFFSET($BN$2,0,0,ROW()-1,60),ROW()-1,FALSE))</f>
        <v>128901</v>
      </c>
      <c r="AD82">
        <f ca="1">IF(AND(ISNUMBER($AD$286),$B$208=1),$AD$286,HLOOKUP(INDIRECT(ADDRESS(2,COLUMN())),OFFSET($BN$2,0,0,ROW()-1,60),ROW()-1,FALSE))</f>
        <v>91446.982999999993</v>
      </c>
      <c r="AE82">
        <f ca="1">IF(AND(ISNUMBER($AE$286),$B$208=1),$AE$286,HLOOKUP(INDIRECT(ADDRESS(2,COLUMN())),OFFSET($BN$2,0,0,ROW()-1,60),ROW()-1,FALSE))</f>
        <v>129294</v>
      </c>
      <c r="AF82">
        <f ca="1">IF(AND(ISNUMBER($AF$286),$B$208=1),$AF$286,HLOOKUP(INDIRECT(ADDRESS(2,COLUMN())),OFFSET($BN$2,0,0,ROW()-1,60),ROW()-1,FALSE))</f>
        <v>93529.936000000002</v>
      </c>
      <c r="AG82">
        <f ca="1">IF(AND(ISNUMBER($AG$286),$B$208=1),$AG$286,HLOOKUP(INDIRECT(ADDRESS(2,COLUMN())),OFFSET($BN$2,0,0,ROW()-1,60),ROW()-1,FALSE))</f>
        <v>127003</v>
      </c>
      <c r="AH82">
        <f ca="1">IF(AND(ISNUMBER($AH$286),$B$208=1),$AH$286,HLOOKUP(INDIRECT(ADDRESS(2,COLUMN())),OFFSET($BN$2,0,0,ROW()-1,60),ROW()-1,FALSE))</f>
        <v>94148.426999999996</v>
      </c>
      <c r="AI82">
        <f ca="1">IF(AND(ISNUMBER($AI$286),$B$208=1),$AI$286,HLOOKUP(INDIRECT(ADDRESS(2,COLUMN())),OFFSET($BN$2,0,0,ROW()-1,60),ROW()-1,FALSE))</f>
        <v>127540</v>
      </c>
      <c r="AJ82">
        <f ca="1">IF(AND(ISNUMBER($AJ$286),$B$208=1),$AJ$286,HLOOKUP(INDIRECT(ADDRESS(2,COLUMN())),OFFSET($BN$2,0,0,ROW()-1,60),ROW()-1,FALSE))</f>
        <v>94662.476999999999</v>
      </c>
      <c r="AK82">
        <f ca="1">IF(AND(ISNUMBER($AK$286),$B$208=1),$AK$286,HLOOKUP(INDIRECT(ADDRESS(2,COLUMN())),OFFSET($BN$2,0,0,ROW()-1,60),ROW()-1,FALSE))</f>
        <v>127774</v>
      </c>
      <c r="AL82">
        <f ca="1">IF(AND(ISNUMBER($AL$286),$B$208=1),$AL$286,HLOOKUP(INDIRECT(ADDRESS(2,COLUMN())),OFFSET($BN$2,0,0,ROW()-1,60),ROW()-1,FALSE))</f>
        <v>97494.960999999996</v>
      </c>
      <c r="AM82">
        <f ca="1">IF(AND(ISNUMBER($AM$286),$B$208=1),$AM$286,HLOOKUP(INDIRECT(ADDRESS(2,COLUMN())),OFFSET($BN$2,0,0,ROW()-1,60),ROW()-1,FALSE))</f>
        <v>128772</v>
      </c>
      <c r="AN82">
        <f ca="1">IF(AND(ISNUMBER($AN$286),$B$208=1),$AN$286,HLOOKUP(INDIRECT(ADDRESS(2,COLUMN())),OFFSET($BN$2,0,0,ROW()-1,60),ROW()-1,FALSE))</f>
        <v>96682.841</v>
      </c>
      <c r="AO82">
        <f ca="1">IF(AND(ISNUMBER($AO$286),$B$208=1),$AO$286,HLOOKUP(INDIRECT(ADDRESS(2,COLUMN())),OFFSET($BN$2,0,0,ROW()-1,60),ROW()-1,FALSE))</f>
        <v>95216</v>
      </c>
      <c r="AP82">
        <f ca="1">IF(AND(ISNUMBER($AP$286),$B$208=1),$AP$286,HLOOKUP(INDIRECT(ADDRESS(2,COLUMN())),OFFSET($BN$2,0,0,ROW()-1,60),ROW()-1,FALSE))</f>
        <v>99946.888000000006</v>
      </c>
      <c r="AQ82">
        <f ca="1">IF(AND(ISNUMBER($AQ$286),$B$208=1),$AQ$286,HLOOKUP(INDIRECT(ADDRESS(2,COLUMN())),OFFSET($BN$2,0,0,ROW()-1,60),ROW()-1,FALSE))</f>
        <v>92789</v>
      </c>
      <c r="AR82">
        <f ca="1">IF(AND(ISNUMBER($AR$286),$B$208=1),$AR$286,HLOOKUP(INDIRECT(ADDRESS(2,COLUMN())),OFFSET($BN$2,0,0,ROW()-1,60),ROW()-1,FALSE))</f>
        <v>95141.017000000007</v>
      </c>
      <c r="AS82">
        <f ca="1">IF(AND(ISNUMBER($AS$286),$B$208=1),$AS$286,HLOOKUP(INDIRECT(ADDRESS(2,COLUMN())),OFFSET($BN$2,0,0,ROW()-1,60),ROW()-1,FALSE))</f>
        <v>64984.536999999997</v>
      </c>
      <c r="AT82">
        <f ca="1">IF(AND(ISNUMBER($AT$286),$B$208=1),$AT$286,HLOOKUP(INDIRECT(ADDRESS(2,COLUMN())),OFFSET($BN$2,0,0,ROW()-1,60),ROW()-1,FALSE))</f>
        <v>61998.498</v>
      </c>
      <c r="AU82">
        <f ca="1">IF(AND(ISNUMBER($AU$286),$B$208=1),$AU$286,HLOOKUP(INDIRECT(ADDRESS(2,COLUMN())),OFFSET($BN$2,0,0,ROW()-1,60),ROW()-1,FALSE))</f>
        <v>66126</v>
      </c>
      <c r="AV82">
        <f ca="1">IF(AND(ISNUMBER($AV$286),$B$208=1),$AV$286,HLOOKUP(INDIRECT(ADDRESS(2,COLUMN())),OFFSET($BN$2,0,0,ROW()-1,60),ROW()-1,FALSE))</f>
        <v>65670.894</v>
      </c>
      <c r="AW82">
        <f ca="1">IF(AND(ISNUMBER($AW$286),$B$208=1),$AW$286,HLOOKUP(INDIRECT(ADDRESS(2,COLUMN())),OFFSET($BN$2,0,0,ROW()-1,60),ROW()-1,FALSE))</f>
        <v>64201.472999999998</v>
      </c>
      <c r="AX82">
        <f ca="1">IF(AND(ISNUMBER($AX$286),$B$208=1),$AX$286,HLOOKUP(INDIRECT(ADDRESS(2,COLUMN())),OFFSET($BN$2,0,0,ROW()-1,60),ROW()-1,FALSE))</f>
        <v>65447.625999999997</v>
      </c>
      <c r="AY82">
        <f ca="1">IF(AND(ISNUMBER($AY$286),$B$208=1),$AY$286,HLOOKUP(INDIRECT(ADDRESS(2,COLUMN())),OFFSET($BN$2,0,0,ROW()-1,60),ROW()-1,FALSE))</f>
        <v>61035.703000000001</v>
      </c>
      <c r="AZ82">
        <f ca="1">IF(AND(ISNUMBER($AZ$286),$B$208=1),$AZ$286,HLOOKUP(INDIRECT(ADDRESS(2,COLUMN())),OFFSET($BN$2,0,0,ROW()-1,60),ROW()-1,FALSE))</f>
        <v>69165.997000000003</v>
      </c>
      <c r="BA82">
        <f ca="1">IF(AND(ISNUMBER($BA$286),$B$208=1),$BA$286,HLOOKUP(INDIRECT(ADDRESS(2,COLUMN())),OFFSET($BN$2,0,0,ROW()-1,60),ROW()-1,FALSE))</f>
        <v>58047.186000000002</v>
      </c>
      <c r="BB82">
        <f ca="1">IF(AND(ISNUMBER($BB$286),$B$208=1),$BB$286,HLOOKUP(INDIRECT(ADDRESS(2,COLUMN())),OFFSET($BN$2,0,0,ROW()-1,60),ROW()-1,FALSE))</f>
        <v>58800.534</v>
      </c>
      <c r="BC82">
        <f ca="1">IF(AND(ISNUMBER($BC$286),$B$208=1),$BC$286,HLOOKUP(INDIRECT(ADDRESS(2,COLUMN())),OFFSET($BN$2,0,0,ROW()-1,60),ROW()-1,FALSE))</f>
        <v>59886.453999999998</v>
      </c>
      <c r="BD82">
        <f ca="1">IF(AND(ISNUMBER($BD$286),$B$208=1),$BD$286,HLOOKUP(INDIRECT(ADDRESS(2,COLUMN())),OFFSET($BN$2,0,0,ROW()-1,60),ROW()-1,FALSE))</f>
        <v>66081.092999999993</v>
      </c>
      <c r="BE82">
        <f ca="1">IF(AND(ISNUMBER($BE$286),$B$208=1),$BE$286,HLOOKUP(INDIRECT(ADDRESS(2,COLUMN())),OFFSET($BN$2,0,0,ROW()-1,60),ROW()-1,FALSE))</f>
        <v>36129.216999999997</v>
      </c>
      <c r="BF82">
        <f ca="1">IF(AND(ISNUMBER($BF$286),$B$208=1),$BF$286,HLOOKUP(INDIRECT(ADDRESS(2,COLUMN())),OFFSET($BN$2,0,0,ROW()-1,60),ROW()-1,FALSE))</f>
        <v>36201.298000000003</v>
      </c>
      <c r="BG82">
        <f ca="1">IF(AND(ISNUMBER($BG$286),$B$208=1),$BG$286,HLOOKUP(INDIRECT(ADDRESS(2,COLUMN())),OFFSET($BN$2,0,0,ROW()-1,60),ROW()-1,FALSE))</f>
        <v>36618.385999999999</v>
      </c>
      <c r="BH82">
        <f ca="1">IF(AND(ISNUMBER($BH$286),$B$208=1),$BH$286,HLOOKUP(INDIRECT(ADDRESS(2,COLUMN())),OFFSET($BN$2,0,0,ROW()-1,60),ROW()-1,FALSE))</f>
        <v>39974.303999999996</v>
      </c>
      <c r="BI82">
        <f ca="1">IF(AND(ISNUMBER($BI$286),$B$208=1),$BI$286,HLOOKUP(INDIRECT(ADDRESS(2,COLUMN())),OFFSET($BN$2,0,0,ROW()-1,60),ROW()-1,FALSE))</f>
        <v>36453.779000000002</v>
      </c>
      <c r="BJ82">
        <f ca="1">IF(AND(ISNUMBER($BJ$286),$B$208=1),$BJ$286,HLOOKUP(INDIRECT(ADDRESS(2,COLUMN())),OFFSET($BN$2,0,0,ROW()-1,60),ROW()-1,FALSE))</f>
        <v>37024.131999999998</v>
      </c>
      <c r="BK82">
        <f ca="1">IF(AND(ISNUMBER($BK$286),$B$208=1),$BK$286,HLOOKUP(INDIRECT(ADDRESS(2,COLUMN())),OFFSET($BN$2,0,0,ROW()-1,60),ROW()-1,FALSE))</f>
        <v>32942.995000000003</v>
      </c>
      <c r="BL82">
        <f ca="1">IF(AND(ISNUMBER($BL$286),$B$208=1),$BL$286,HLOOKUP(INDIRECT(ADDRESS(2,COLUMN())),OFFSET($BN$2,0,0,ROW()-1,60),ROW()-1,FALSE))</f>
        <v>33371.315999999999</v>
      </c>
      <c r="BM82" t="str">
        <f ca="1">IF(AND(ISNUMBER($BM$286),$B$208=1),$BM$286,HLOOKUP(INDIRECT(ADDRESS(2,COLUMN())),OFFSET($BN$2,0,0,ROW()-1,60),ROW()-1,FALSE))</f>
        <v/>
      </c>
      <c r="BN82">
        <f>98022.642</f>
        <v>98022.642000000007</v>
      </c>
      <c r="BO82">
        <f>139754</f>
        <v>139754</v>
      </c>
      <c r="BP82">
        <f>139256</f>
        <v>139256</v>
      </c>
      <c r="BQ82">
        <f>136442</f>
        <v>136442</v>
      </c>
      <c r="BR82">
        <f>93995.421</f>
        <v>93995.421000000002</v>
      </c>
      <c r="BS82">
        <f>137058</f>
        <v>137058</v>
      </c>
      <c r="BT82">
        <f>95529.126</f>
        <v>95529.126000000004</v>
      </c>
      <c r="BU82">
        <f>140290</f>
        <v>140290</v>
      </c>
      <c r="BV82">
        <f>96121.272</f>
        <v>96121.271999999997</v>
      </c>
      <c r="BW82">
        <f>144346</f>
        <v>144346</v>
      </c>
      <c r="BX82">
        <f>97494.889</f>
        <v>97494.888999999996</v>
      </c>
      <c r="BY82">
        <f>143299</f>
        <v>143299</v>
      </c>
      <c r="BZ82">
        <f>97189.188</f>
        <v>97189.187999999995</v>
      </c>
      <c r="CA82">
        <f>141698</f>
        <v>141698</v>
      </c>
      <c r="CB82">
        <f>95077.389</f>
        <v>95077.388999999996</v>
      </c>
      <c r="CC82">
        <f>139323</f>
        <v>139323</v>
      </c>
      <c r="CD82">
        <f>92103.765</f>
        <v>92103.764999999999</v>
      </c>
      <c r="CE82">
        <f>135111</f>
        <v>135111</v>
      </c>
      <c r="CF82">
        <f>90232.472</f>
        <v>90232.471999999994</v>
      </c>
      <c r="CG82">
        <f>131682</f>
        <v>131682</v>
      </c>
      <c r="CH82">
        <f>94426.471</f>
        <v>94426.471000000005</v>
      </c>
      <c r="CI82">
        <f>129809</f>
        <v>129809</v>
      </c>
      <c r="CJ82">
        <f>91554.52</f>
        <v>91554.52</v>
      </c>
      <c r="CK82">
        <f>128901</f>
        <v>128901</v>
      </c>
      <c r="CL82">
        <f>91446.983</f>
        <v>91446.982999999993</v>
      </c>
      <c r="CM82">
        <f>129294</f>
        <v>129294</v>
      </c>
      <c r="CN82">
        <f>93529.936</f>
        <v>93529.936000000002</v>
      </c>
      <c r="CO82">
        <f>127003</f>
        <v>127003</v>
      </c>
      <c r="CP82">
        <f>94148.427</f>
        <v>94148.426999999996</v>
      </c>
      <c r="CQ82">
        <f>127540</f>
        <v>127540</v>
      </c>
      <c r="CR82">
        <f>94662.477</f>
        <v>94662.476999999999</v>
      </c>
      <c r="CS82">
        <f>127774</f>
        <v>127774</v>
      </c>
      <c r="CT82">
        <f>97494.961</f>
        <v>97494.960999999996</v>
      </c>
      <c r="CU82">
        <f>128772</f>
        <v>128772</v>
      </c>
      <c r="CV82">
        <f>96682.841</f>
        <v>96682.841</v>
      </c>
      <c r="CW82">
        <f>95216</f>
        <v>95216</v>
      </c>
      <c r="CX82">
        <f>99946.888</f>
        <v>99946.888000000006</v>
      </c>
      <c r="CY82">
        <f>92789</f>
        <v>92789</v>
      </c>
      <c r="CZ82">
        <f>95141.017</f>
        <v>95141.017000000007</v>
      </c>
      <c r="DA82">
        <f>64984.537</f>
        <v>64984.536999999997</v>
      </c>
      <c r="DB82">
        <f>61998.498</f>
        <v>61998.498</v>
      </c>
      <c r="DC82">
        <f>66126</f>
        <v>66126</v>
      </c>
      <c r="DD82">
        <f>65670.894</f>
        <v>65670.894</v>
      </c>
      <c r="DE82">
        <f>64201.473</f>
        <v>64201.472999999998</v>
      </c>
      <c r="DF82">
        <f>65447.626</f>
        <v>65447.625999999997</v>
      </c>
      <c r="DG82">
        <f>61035.703</f>
        <v>61035.703000000001</v>
      </c>
      <c r="DH82">
        <f>69165.997</f>
        <v>69165.997000000003</v>
      </c>
      <c r="DI82">
        <f>58047.186</f>
        <v>58047.186000000002</v>
      </c>
      <c r="DJ82">
        <f>58800.534</f>
        <v>58800.534</v>
      </c>
      <c r="DK82">
        <f>59886.454</f>
        <v>59886.453999999998</v>
      </c>
      <c r="DL82">
        <f>66081.093</f>
        <v>66081.092999999993</v>
      </c>
      <c r="DM82">
        <f>36129.217</f>
        <v>36129.216999999997</v>
      </c>
      <c r="DN82">
        <f>36201.298</f>
        <v>36201.298000000003</v>
      </c>
      <c r="DO82">
        <f>36618.386</f>
        <v>36618.385999999999</v>
      </c>
      <c r="DP82">
        <f>39974.304</f>
        <v>39974.303999999996</v>
      </c>
      <c r="DQ82">
        <f>36453.779</f>
        <v>36453.779000000002</v>
      </c>
      <c r="DR82">
        <f>37024.132</f>
        <v>37024.131999999998</v>
      </c>
      <c r="DS82">
        <f>32942.995</f>
        <v>32942.995000000003</v>
      </c>
      <c r="DT82">
        <f>33371.316</f>
        <v>33371.315999999999</v>
      </c>
      <c r="DU82" t="str">
        <f>""</f>
        <v/>
      </c>
    </row>
    <row r="83" spans="1:125" x14ac:dyDescent="0.25">
      <c r="A83" t="str">
        <f>"    Banco Santander SA"</f>
        <v xml:space="preserve">    Banco Santander SA</v>
      </c>
      <c r="B83" t="str">
        <f>"SAN SM Equity"</f>
        <v>SAN SM Equity</v>
      </c>
      <c r="C83" t="str">
        <f t="shared" si="6"/>
        <v>BS017</v>
      </c>
      <c r="D83" t="str">
        <f t="shared" si="7"/>
        <v>BS_CONS_LOAN</v>
      </c>
      <c r="E83" t="str">
        <f t="shared" si="8"/>
        <v>Dynamic</v>
      </c>
      <c r="F83">
        <f ca="1">IF(AND(ISNUMBER($F$287),$B$208=1),$F$287,HLOOKUP(INDIRECT(ADDRESS(2,COLUMN())),OFFSET($BN$2,0,0,ROW()-1,60),ROW()-1,FALSE))</f>
        <v>878730</v>
      </c>
      <c r="G83">
        <f ca="1">IF(AND(ISNUMBER($G$287),$B$208=1),$G$287,HLOOKUP(INDIRECT(ADDRESS(2,COLUMN())),OFFSET($BN$2,0,0,ROW()-1,60),ROW()-1,FALSE))</f>
        <v>830698</v>
      </c>
      <c r="H83">
        <f ca="1">IF(AND(ISNUMBER($H$287),$B$208=1),$H$287,HLOOKUP(INDIRECT(ADDRESS(2,COLUMN())),OFFSET($BN$2,0,0,ROW()-1,60),ROW()-1,FALSE))</f>
        <v>886642</v>
      </c>
      <c r="I83">
        <f ca="1">IF(AND(ISNUMBER($I$287),$B$208=1),$I$287,HLOOKUP(INDIRECT(ADDRESS(2,COLUMN())),OFFSET($BN$2,0,0,ROW()-1,60),ROW()-1,FALSE))</f>
        <v>883060</v>
      </c>
      <c r="J83">
        <f ca="1">IF(AND(ISNUMBER($J$287),$B$208=1),$J$287,HLOOKUP(INDIRECT(ADDRESS(2,COLUMN())),OFFSET($BN$2,0,0,ROW()-1,60),ROW()-1,FALSE))</f>
        <v>874231</v>
      </c>
      <c r="K83">
        <f ca="1">IF(AND(ISNUMBER($K$287),$B$208=1),$K$287,HLOOKUP(INDIRECT(ADDRESS(2,COLUMN())),OFFSET($BN$2,0,0,ROW()-1,60),ROW()-1,FALSE))</f>
        <v>883232</v>
      </c>
      <c r="L83">
        <f ca="1">IF(AND(ISNUMBER($L$287),$B$208=1),$L$287,HLOOKUP(INDIRECT(ADDRESS(2,COLUMN())),OFFSET($BN$2,0,0,ROW()-1,60),ROW()-1,FALSE))</f>
        <v>884240</v>
      </c>
      <c r="M83">
        <f ca="1">IF(AND(ISNUMBER($M$287),$B$208=1),$M$287,HLOOKUP(INDIRECT(ADDRESS(2,COLUMN())),OFFSET($BN$2,0,0,ROW()-1,60),ROW()-1,FALSE))</f>
        <v>879113</v>
      </c>
      <c r="N83">
        <f ca="1">IF(AND(ISNUMBER($N$287),$B$208=1),$N$287,HLOOKUP(INDIRECT(ADDRESS(2,COLUMN())),OFFSET($BN$2,0,0,ROW()-1,60),ROW()-1,FALSE))</f>
        <v>878344</v>
      </c>
      <c r="O83">
        <f ca="1">IF(AND(ISNUMBER($O$287),$B$208=1),$O$287,HLOOKUP(INDIRECT(ADDRESS(2,COLUMN())),OFFSET($BN$2,0,0,ROW()-1,60),ROW()-1,FALSE))</f>
        <v>899669</v>
      </c>
      <c r="P83">
        <f ca="1">IF(AND(ISNUMBER($P$287),$B$208=1),$P$287,HLOOKUP(INDIRECT(ADDRESS(2,COLUMN())),OFFSET($BN$2,0,0,ROW()-1,60),ROW()-1,FALSE))</f>
        <v>873479</v>
      </c>
      <c r="Q83">
        <f ca="1">IF(AND(ISNUMBER($Q$287),$B$208=1),$Q$287,HLOOKUP(INDIRECT(ADDRESS(2,COLUMN())),OFFSET($BN$2,0,0,ROW()-1,60),ROW()-1,FALSE))</f>
        <v>864126</v>
      </c>
      <c r="R83">
        <f ca="1">IF(AND(ISNUMBER($R$287),$B$208=1),$R$287,HLOOKUP(INDIRECT(ADDRESS(2,COLUMN())),OFFSET($BN$2,0,0,ROW()-1,60),ROW()-1,FALSE))</f>
        <v>832327</v>
      </c>
      <c r="S83">
        <f ca="1">IF(AND(ISNUMBER($S$287),$B$208=1),$S$287,HLOOKUP(INDIRECT(ADDRESS(2,COLUMN())),OFFSET($BN$2,0,0,ROW()-1,60),ROW()-1,FALSE))</f>
        <v>820162</v>
      </c>
      <c r="T83">
        <f ca="1">IF(AND(ISNUMBER($T$287),$B$208=1),$T$287,HLOOKUP(INDIRECT(ADDRESS(2,COLUMN())),OFFSET($BN$2,0,0,ROW()-1,60),ROW()-1,FALSE))</f>
        <v>816845</v>
      </c>
      <c r="U83">
        <f ca="1">IF(AND(ISNUMBER($U$287),$B$208=1),$U$287,HLOOKUP(INDIRECT(ADDRESS(2,COLUMN())),OFFSET($BN$2,0,0,ROW()-1,60),ROW()-1,FALSE))</f>
        <v>809318</v>
      </c>
      <c r="V83">
        <f ca="1">IF(AND(ISNUMBER($V$287),$B$208=1),$V$287,HLOOKUP(INDIRECT(ADDRESS(2,COLUMN())),OFFSET($BN$2,0,0,ROW()-1,60),ROW()-1,FALSE))</f>
        <v>791664</v>
      </c>
      <c r="W83">
        <f ca="1">IF(AND(ISNUMBER($W$287),$B$208=1),$W$287,HLOOKUP(INDIRECT(ADDRESS(2,COLUMN())),OFFSET($BN$2,0,0,ROW()-1,60),ROW()-1,FALSE))</f>
        <v>727122</v>
      </c>
      <c r="X83">
        <f ca="1">IF(AND(ISNUMBER($X$287),$B$208=1),$X$287,HLOOKUP(INDIRECT(ADDRESS(2,COLUMN())),OFFSET($BN$2,0,0,ROW()-1,60),ROW()-1,FALSE))</f>
        <v>757683</v>
      </c>
      <c r="Y83">
        <f ca="1">IF(AND(ISNUMBER($Y$287),$B$208=1),$Y$287,HLOOKUP(INDIRECT(ADDRESS(2,COLUMN())),OFFSET($BN$2,0,0,ROW()-1,60),ROW()-1,FALSE))</f>
        <v>798014</v>
      </c>
      <c r="Z83">
        <f ca="1">IF(AND(ISNUMBER($Z$287),$B$208=1),$Z$287,HLOOKUP(INDIRECT(ADDRESS(2,COLUMN())),OFFSET($BN$2,0,0,ROW()-1,60),ROW()-1,FALSE))</f>
        <v>804959</v>
      </c>
      <c r="AA83">
        <f ca="1">IF(AND(ISNUMBER($AA$287),$B$208=1),$AA$287,HLOOKUP(INDIRECT(ADDRESS(2,COLUMN())),OFFSET($BN$2,0,0,ROW()-1,60),ROW()-1,FALSE))</f>
        <v>791141</v>
      </c>
      <c r="AB83">
        <f ca="1">IF(AND(ISNUMBER($AB$287),$B$208=1),$AB$287,HLOOKUP(INDIRECT(ADDRESS(2,COLUMN())),OFFSET($BN$2,0,0,ROW()-1,60),ROW()-1,FALSE))</f>
        <v>788366</v>
      </c>
      <c r="AC83">
        <f ca="1">IF(AND(ISNUMBER($AC$287),$B$208=1),$AC$287,HLOOKUP(INDIRECT(ADDRESS(2,COLUMN())),OFFSET($BN$2,0,0,ROW()-1,60),ROW()-1,FALSE))</f>
        <v>787600</v>
      </c>
      <c r="AD83">
        <f ca="1">IF(AND(ISNUMBER($AD$287),$B$208=1),$AD$287,HLOOKUP(INDIRECT(ADDRESS(2,COLUMN())),OFFSET($BN$2,0,0,ROW()-1,60),ROW()-1,FALSE))</f>
        <v>766847</v>
      </c>
      <c r="AE83">
        <f ca="1">IF(AND(ISNUMBER($AE$287),$B$208=1),$AE$287,HLOOKUP(INDIRECT(ADDRESS(2,COLUMN())),OFFSET($BN$2,0,0,ROW()-1,60),ROW()-1,FALSE))</f>
        <v>758584</v>
      </c>
      <c r="AF83">
        <f ca="1">IF(AND(ISNUMBER($AF$287),$B$208=1),$AF$287,HLOOKUP(INDIRECT(ADDRESS(2,COLUMN())),OFFSET($BN$2,0,0,ROW()-1,60),ROW()-1,FALSE))</f>
        <v>757694</v>
      </c>
      <c r="AG83">
        <f ca="1">IF(AND(ISNUMBER($AG$287),$B$208=1),$AG$287,HLOOKUP(INDIRECT(ADDRESS(2,COLUMN())),OFFSET($BN$2,0,0,ROW()-1,60),ROW()-1,FALSE))</f>
        <v>755092</v>
      </c>
      <c r="AH83">
        <f ca="1">IF(AND(ISNUMBER($AH$287),$B$208=1),$AH$287,HLOOKUP(INDIRECT(ADDRESS(2,COLUMN())),OFFSET($BN$2,0,0,ROW()-1,60),ROW()-1,FALSE))</f>
        <v>753186</v>
      </c>
      <c r="AI83">
        <f ca="1">IF(AND(ISNUMBER($AI$287),$B$208=1),$AI$287,HLOOKUP(INDIRECT(ADDRESS(2,COLUMN())),OFFSET($BN$2,0,0,ROW()-1,60),ROW()-1,FALSE))</f>
        <v>693316</v>
      </c>
      <c r="AJ83">
        <f ca="1">IF(AND(ISNUMBER($AJ$287),$B$208=1),$AJ$287,HLOOKUP(INDIRECT(ADDRESS(2,COLUMN())),OFFSET($BN$2,0,0,ROW()-1,60),ROW()-1,FALSE))</f>
        <v>692749</v>
      </c>
      <c r="AK83">
        <f ca="1">IF(AND(ISNUMBER($AK$287),$B$208=1),$AK$287,HLOOKUP(INDIRECT(ADDRESS(2,COLUMN())),OFFSET($BN$2,0,0,ROW()-1,60),ROW()-1,FALSE))</f>
        <v>712411</v>
      </c>
      <c r="AL83">
        <f ca="1">IF(AND(ISNUMBER($AL$287),$B$208=1),$AL$287,HLOOKUP(INDIRECT(ADDRESS(2,COLUMN())),OFFSET($BN$2,0,0,ROW()-1,60),ROW()-1,FALSE))</f>
        <v>705749</v>
      </c>
      <c r="AM83">
        <f ca="1">IF(AND(ISNUMBER($AM$287),$B$208=1),$AM$287,HLOOKUP(INDIRECT(ADDRESS(2,COLUMN())),OFFSET($BN$2,0,0,ROW()-1,60),ROW()-1,FALSE))</f>
        <v>471267</v>
      </c>
      <c r="AN83">
        <f ca="1">IF(AND(ISNUMBER($AN$287),$B$208=1),$AN$287,HLOOKUP(INDIRECT(ADDRESS(2,COLUMN())),OFFSET($BN$2,0,0,ROW()-1,60),ROW()-1,FALSE))</f>
        <v>469072</v>
      </c>
      <c r="AO83">
        <f ca="1">IF(AND(ISNUMBER($AO$287),$B$208=1),$AO$287,HLOOKUP(INDIRECT(ADDRESS(2,COLUMN())),OFFSET($BN$2,0,0,ROW()-1,60),ROW()-1,FALSE))</f>
        <v>482308</v>
      </c>
      <c r="AP83">
        <f ca="1">IF(AND(ISNUMBER($AP$287),$B$208=1),$AP$287,HLOOKUP(INDIRECT(ADDRESS(2,COLUMN())),OFFSET($BN$2,0,0,ROW()-1,60),ROW()-1,FALSE))</f>
        <v>478925</v>
      </c>
      <c r="AQ83" t="str">
        <f ca="1">IF(AND(ISNUMBER($AQ$287),$B$208=1),$AQ$287,HLOOKUP(INDIRECT(ADDRESS(2,COLUMN())),OFFSET($BN$2,0,0,ROW()-1,60),ROW()-1,FALSE))</f>
        <v/>
      </c>
      <c r="AR83" t="str">
        <f ca="1">IF(AND(ISNUMBER($AR$287),$B$208=1),$AR$287,HLOOKUP(INDIRECT(ADDRESS(2,COLUMN())),OFFSET($BN$2,0,0,ROW()-1,60),ROW()-1,FALSE))</f>
        <v/>
      </c>
      <c r="AS83" t="str">
        <f ca="1">IF(AND(ISNUMBER($AS$287),$B$208=1),$AS$287,HLOOKUP(INDIRECT(ADDRESS(2,COLUMN())),OFFSET($BN$2,0,0,ROW()-1,60),ROW()-1,FALSE))</f>
        <v/>
      </c>
      <c r="AT83">
        <f ca="1">IF(AND(ISNUMBER($AT$287),$B$208=1),$AT$287,HLOOKUP(INDIRECT(ADDRESS(2,COLUMN())),OFFSET($BN$2,0,0,ROW()-1,60),ROW()-1,FALSE))</f>
        <v>368463</v>
      </c>
      <c r="AU83" t="str">
        <f ca="1">IF(AND(ISNUMBER($AU$287),$B$208=1),$AU$287,HLOOKUP(INDIRECT(ADDRESS(2,COLUMN())),OFFSET($BN$2,0,0,ROW()-1,60),ROW()-1,FALSE))</f>
        <v/>
      </c>
      <c r="AV83" t="str">
        <f ca="1">IF(AND(ISNUMBER($AV$287),$B$208=1),$AV$287,HLOOKUP(INDIRECT(ADDRESS(2,COLUMN())),OFFSET($BN$2,0,0,ROW()-1,60),ROW()-1,FALSE))</f>
        <v/>
      </c>
      <c r="AW83" t="str">
        <f ca="1">IF(AND(ISNUMBER($AW$287),$B$208=1),$AW$287,HLOOKUP(INDIRECT(ADDRESS(2,COLUMN())),OFFSET($BN$2,0,0,ROW()-1,60),ROW()-1,FALSE))</f>
        <v/>
      </c>
      <c r="AX83">
        <f ca="1">IF(AND(ISNUMBER($AX$287),$B$208=1),$AX$287,HLOOKUP(INDIRECT(ADDRESS(2,COLUMN())),OFFSET($BN$2,0,0,ROW()-1,60),ROW()-1,FALSE))</f>
        <v>346587</v>
      </c>
      <c r="AY83" t="str">
        <f ca="1">IF(AND(ISNUMBER($AY$287),$B$208=1),$AY$287,HLOOKUP(INDIRECT(ADDRESS(2,COLUMN())),OFFSET($BN$2,0,0,ROW()-1,60),ROW()-1,FALSE))</f>
        <v/>
      </c>
      <c r="AZ83" t="str">
        <f ca="1">IF(AND(ISNUMBER($AZ$287),$B$208=1),$AZ$287,HLOOKUP(INDIRECT(ADDRESS(2,COLUMN())),OFFSET($BN$2,0,0,ROW()-1,60),ROW()-1,FALSE))</f>
        <v/>
      </c>
      <c r="BA83" t="str">
        <f ca="1">IF(AND(ISNUMBER($BA$287),$B$208=1),$BA$287,HLOOKUP(INDIRECT(ADDRESS(2,COLUMN())),OFFSET($BN$2,0,0,ROW()-1,60),ROW()-1,FALSE))</f>
        <v/>
      </c>
      <c r="BB83">
        <f ca="1">IF(AND(ISNUMBER($BB$287),$B$208=1),$BB$287,HLOOKUP(INDIRECT(ADDRESS(2,COLUMN())),OFFSET($BN$2,0,0,ROW()-1,60),ROW()-1,FALSE))</f>
        <v>367486</v>
      </c>
      <c r="BC83" t="str">
        <f ca="1">IF(AND(ISNUMBER($BC$287),$B$208=1),$BC$287,HLOOKUP(INDIRECT(ADDRESS(2,COLUMN())),OFFSET($BN$2,0,0,ROW()-1,60),ROW()-1,FALSE))</f>
        <v/>
      </c>
      <c r="BD83" t="str">
        <f ca="1">IF(AND(ISNUMBER($BD$287),$B$208=1),$BD$287,HLOOKUP(INDIRECT(ADDRESS(2,COLUMN())),OFFSET($BN$2,0,0,ROW()-1,60),ROW()-1,FALSE))</f>
        <v/>
      </c>
      <c r="BE83" t="str">
        <f ca="1">IF(AND(ISNUMBER($BE$287),$B$208=1),$BE$287,HLOOKUP(INDIRECT(ADDRESS(2,COLUMN())),OFFSET($BN$2,0,0,ROW()-1,60),ROW()-1,FALSE))</f>
        <v/>
      </c>
      <c r="BF83">
        <f ca="1">IF(AND(ISNUMBER($BF$287),$B$208=1),$BF$287,HLOOKUP(INDIRECT(ADDRESS(2,COLUMN())),OFFSET($BN$2,0,0,ROW()-1,60),ROW()-1,FALSE))</f>
        <v>378591</v>
      </c>
      <c r="BG83" t="str">
        <f ca="1">IF(AND(ISNUMBER($BG$287),$B$208=1),$BG$287,HLOOKUP(INDIRECT(ADDRESS(2,COLUMN())),OFFSET($BN$2,0,0,ROW()-1,60),ROW()-1,FALSE))</f>
        <v/>
      </c>
      <c r="BH83" t="str">
        <f ca="1">IF(AND(ISNUMBER($BH$287),$B$208=1),$BH$287,HLOOKUP(INDIRECT(ADDRESS(2,COLUMN())),OFFSET($BN$2,0,0,ROW()-1,60),ROW()-1,FALSE))</f>
        <v/>
      </c>
      <c r="BI83" t="str">
        <f ca="1">IF(AND(ISNUMBER($BI$287),$B$208=1),$BI$287,HLOOKUP(INDIRECT(ADDRESS(2,COLUMN())),OFFSET($BN$2,0,0,ROW()-1,60),ROW()-1,FALSE))</f>
        <v/>
      </c>
      <c r="BJ83">
        <f ca="1">IF(AND(ISNUMBER($BJ$287),$B$208=1),$BJ$287,HLOOKUP(INDIRECT(ADDRESS(2,COLUMN())),OFFSET($BN$2,0,0,ROW()-1,60),ROW()-1,FALSE))</f>
        <v>360340.03600000002</v>
      </c>
      <c r="BK83" t="str">
        <f ca="1">IF(AND(ISNUMBER($BK$287),$B$208=1),$BK$287,HLOOKUP(INDIRECT(ADDRESS(2,COLUMN())),OFFSET($BN$2,0,0,ROW()-1,60),ROW()-1,FALSE))</f>
        <v/>
      </c>
      <c r="BL83" t="str">
        <f ca="1">IF(AND(ISNUMBER($BL$287),$B$208=1),$BL$287,HLOOKUP(INDIRECT(ADDRESS(2,COLUMN())),OFFSET($BN$2,0,0,ROW()-1,60),ROW()-1,FALSE))</f>
        <v/>
      </c>
      <c r="BM83" t="str">
        <f ca="1">IF(AND(ISNUMBER($BM$287),$B$208=1),$BM$287,HLOOKUP(INDIRECT(ADDRESS(2,COLUMN())),OFFSET($BN$2,0,0,ROW()-1,60),ROW()-1,FALSE))</f>
        <v/>
      </c>
      <c r="BN83">
        <f>878730</f>
        <v>878730</v>
      </c>
      <c r="BO83">
        <f>830698</f>
        <v>830698</v>
      </c>
      <c r="BP83">
        <f>886642</f>
        <v>886642</v>
      </c>
      <c r="BQ83">
        <f>883060</f>
        <v>883060</v>
      </c>
      <c r="BR83">
        <f>874231</f>
        <v>874231</v>
      </c>
      <c r="BS83">
        <f>883232</f>
        <v>883232</v>
      </c>
      <c r="BT83">
        <f>884240</f>
        <v>884240</v>
      </c>
      <c r="BU83">
        <f>879113</f>
        <v>879113</v>
      </c>
      <c r="BV83">
        <f>878344</f>
        <v>878344</v>
      </c>
      <c r="BW83">
        <f>899669</f>
        <v>899669</v>
      </c>
      <c r="BX83">
        <f>873479</f>
        <v>873479</v>
      </c>
      <c r="BY83">
        <f>864126</f>
        <v>864126</v>
      </c>
      <c r="BZ83">
        <f>832327</f>
        <v>832327</v>
      </c>
      <c r="CA83">
        <f>820162</f>
        <v>820162</v>
      </c>
      <c r="CB83">
        <f>816845</f>
        <v>816845</v>
      </c>
      <c r="CC83">
        <f>809318</f>
        <v>809318</v>
      </c>
      <c r="CD83">
        <f>791664</f>
        <v>791664</v>
      </c>
      <c r="CE83">
        <f>727122</f>
        <v>727122</v>
      </c>
      <c r="CF83">
        <f>757683</f>
        <v>757683</v>
      </c>
      <c r="CG83">
        <f>798014</f>
        <v>798014</v>
      </c>
      <c r="CH83">
        <f>804959</f>
        <v>804959</v>
      </c>
      <c r="CI83">
        <f>791141</f>
        <v>791141</v>
      </c>
      <c r="CJ83">
        <f>788366</f>
        <v>788366</v>
      </c>
      <c r="CK83">
        <f>787600</f>
        <v>787600</v>
      </c>
      <c r="CL83">
        <f>766847</f>
        <v>766847</v>
      </c>
      <c r="CM83">
        <f>758584</f>
        <v>758584</v>
      </c>
      <c r="CN83">
        <f>757694</f>
        <v>757694</v>
      </c>
      <c r="CO83">
        <f>755092</f>
        <v>755092</v>
      </c>
      <c r="CP83">
        <f>753186</f>
        <v>753186</v>
      </c>
      <c r="CQ83">
        <f>693316</f>
        <v>693316</v>
      </c>
      <c r="CR83">
        <f>692749</f>
        <v>692749</v>
      </c>
      <c r="CS83">
        <f>712411</f>
        <v>712411</v>
      </c>
      <c r="CT83">
        <f>705749</f>
        <v>705749</v>
      </c>
      <c r="CU83">
        <f>471267</f>
        <v>471267</v>
      </c>
      <c r="CV83">
        <f>469072</f>
        <v>469072</v>
      </c>
      <c r="CW83">
        <f>482308</f>
        <v>482308</v>
      </c>
      <c r="CX83">
        <f>478925</f>
        <v>478925</v>
      </c>
      <c r="CY83" t="str">
        <f>""</f>
        <v/>
      </c>
      <c r="CZ83" t="str">
        <f>""</f>
        <v/>
      </c>
      <c r="DA83" t="str">
        <f>""</f>
        <v/>
      </c>
      <c r="DB83">
        <f>368463</f>
        <v>368463</v>
      </c>
      <c r="DC83" t="str">
        <f>""</f>
        <v/>
      </c>
      <c r="DD83" t="str">
        <f>""</f>
        <v/>
      </c>
      <c r="DE83" t="str">
        <f>""</f>
        <v/>
      </c>
      <c r="DF83">
        <f>346587</f>
        <v>346587</v>
      </c>
      <c r="DG83" t="str">
        <f>""</f>
        <v/>
      </c>
      <c r="DH83" t="str">
        <f>""</f>
        <v/>
      </c>
      <c r="DI83" t="str">
        <f>""</f>
        <v/>
      </c>
      <c r="DJ83">
        <f>367486</f>
        <v>367486</v>
      </c>
      <c r="DK83" t="str">
        <f>""</f>
        <v/>
      </c>
      <c r="DL83" t="str">
        <f>""</f>
        <v/>
      </c>
      <c r="DM83" t="str">
        <f>""</f>
        <v/>
      </c>
      <c r="DN83">
        <f>378591</f>
        <v>378591</v>
      </c>
      <c r="DO83" t="str">
        <f>""</f>
        <v/>
      </c>
      <c r="DP83" t="str">
        <f>""</f>
        <v/>
      </c>
      <c r="DQ83" t="str">
        <f>""</f>
        <v/>
      </c>
      <c r="DR83">
        <f>360340.036</f>
        <v>360340.03600000002</v>
      </c>
      <c r="DS83" t="str">
        <f>""</f>
        <v/>
      </c>
      <c r="DT83" t="str">
        <f>""</f>
        <v/>
      </c>
      <c r="DU83" t="str">
        <f>""</f>
        <v/>
      </c>
    </row>
    <row r="84" spans="1:125" x14ac:dyDescent="0.25">
      <c r="A84" t="str">
        <f>"    Barclays PLC"</f>
        <v xml:space="preserve">    Barclays PLC</v>
      </c>
      <c r="B84" t="str">
        <f>"BARC LN Equity"</f>
        <v>BARC LN Equity</v>
      </c>
      <c r="C84" t="str">
        <f t="shared" si="6"/>
        <v>BS017</v>
      </c>
      <c r="D84" t="str">
        <f t="shared" si="7"/>
        <v>BS_CONS_LOAN</v>
      </c>
      <c r="E84" t="str">
        <f t="shared" si="8"/>
        <v>Dynamic</v>
      </c>
      <c r="F84">
        <f ca="1">IF(AND(ISNUMBER($F$288),$B$208=1),$F$288,HLOOKUP(INDIRECT(ADDRESS(2,COLUMN())),OFFSET($BN$2,0,0,ROW()-1,60),ROW()-1,FALSE))</f>
        <v>319216.9596</v>
      </c>
      <c r="G84">
        <f ca="1">IF(AND(ISNUMBER($G$288),$B$208=1),$G$288,HLOOKUP(INDIRECT(ADDRESS(2,COLUMN())),OFFSET($BN$2,0,0,ROW()-1,60),ROW()-1,FALSE))</f>
        <v>257562.9252</v>
      </c>
      <c r="H84">
        <f ca="1">IF(AND(ISNUMBER($H$288),$B$208=1),$H$288,HLOOKUP(INDIRECT(ADDRESS(2,COLUMN())),OFFSET($BN$2,0,0,ROW()-1,60),ROW()-1,FALSE))</f>
        <v>241213.74859999999</v>
      </c>
      <c r="I84">
        <f ca="1">IF(AND(ISNUMBER($I$288),$B$208=1),$I$288,HLOOKUP(INDIRECT(ADDRESS(2,COLUMN())),OFFSET($BN$2,0,0,ROW()-1,60),ROW()-1,FALSE))</f>
        <v>255085.6539</v>
      </c>
      <c r="J84">
        <f ca="1">IF(AND(ISNUMBER($J$288),$B$208=1),$J$288,HLOOKUP(INDIRECT(ADDRESS(2,COLUMN())),OFFSET($BN$2,0,0,ROW()-1,60),ROW()-1,FALSE))</f>
        <v>295766.14439999999</v>
      </c>
      <c r="K84">
        <f ca="1">IF(AND(ISNUMBER($K$288),$B$208=1),$K$288,HLOOKUP(INDIRECT(ADDRESS(2,COLUMN())),OFFSET($BN$2,0,0,ROW()-1,60),ROW()-1,FALSE))</f>
        <v>246539.73740000001</v>
      </c>
      <c r="L84">
        <f ca="1">IF(AND(ISNUMBER($L$288),$B$208=1),$L$288,HLOOKUP(INDIRECT(ADDRESS(2,COLUMN())),OFFSET($BN$2,0,0,ROW()-1,60),ROW()-1,FALSE))</f>
        <v>247536.891</v>
      </c>
      <c r="M84">
        <f ca="1">IF(AND(ISNUMBER($M$288),$B$208=1),$M$288,HLOOKUP(INDIRECT(ADDRESS(2,COLUMN())),OFFSET($BN$2,0,0,ROW()-1,60),ROW()-1,FALSE))</f>
        <v>262123.19399999999</v>
      </c>
      <c r="N84">
        <f ca="1">IF(AND(ISNUMBER($N$288),$B$208=1),$N$288,HLOOKUP(INDIRECT(ADDRESS(2,COLUMN())),OFFSET($BN$2,0,0,ROW()-1,60),ROW()-1,FALSE))</f>
        <v>253828.71290000001</v>
      </c>
      <c r="O84">
        <f ca="1">IF(AND(ISNUMBER($O$288),$B$208=1),$O$288,HLOOKUP(INDIRECT(ADDRESS(2,COLUMN())),OFFSET($BN$2,0,0,ROW()-1,60),ROW()-1,FALSE))</f>
        <v>255559.12460000001</v>
      </c>
      <c r="P84">
        <f ca="1">IF(AND(ISNUMBER($P$288),$B$208=1),$P$288,HLOOKUP(INDIRECT(ADDRESS(2,COLUMN())),OFFSET($BN$2,0,0,ROW()-1,60),ROW()-1,FALSE))</f>
        <v>255595.0325</v>
      </c>
      <c r="Q84" t="str">
        <f ca="1">IF(AND(ISNUMBER($Q$288),$B$208=1),$Q$288,HLOOKUP(INDIRECT(ADDRESS(2,COLUMN())),OFFSET($BN$2,0,0,ROW()-1,60),ROW()-1,FALSE))</f>
        <v/>
      </c>
      <c r="R84">
        <f ca="1">IF(AND(ISNUMBER($R$288),$B$208=1),$R$288,HLOOKUP(INDIRECT(ADDRESS(2,COLUMN())),OFFSET($BN$2,0,0,ROW()-1,60),ROW()-1,FALSE))</f>
        <v>251303.32029999999</v>
      </c>
      <c r="S84">
        <f ca="1">IF(AND(ISNUMBER($S$288),$B$208=1),$S$288,HLOOKUP(INDIRECT(ADDRESS(2,COLUMN())),OFFSET($BN$2,0,0,ROW()-1,60),ROW()-1,FALSE))</f>
        <v>242968.08350000001</v>
      </c>
      <c r="T84">
        <f ca="1">IF(AND(ISNUMBER($T$288),$B$208=1),$T$288,HLOOKUP(INDIRECT(ADDRESS(2,COLUMN())),OFFSET($BN$2,0,0,ROW()-1,60),ROW()-1,FALSE))</f>
        <v>239165.4486</v>
      </c>
      <c r="U84" t="str">
        <f ca="1">IF(AND(ISNUMBER($U$288),$B$208=1),$U$288,HLOOKUP(INDIRECT(ADDRESS(2,COLUMN())),OFFSET($BN$2,0,0,ROW()-1,60),ROW()-1,FALSE))</f>
        <v/>
      </c>
      <c r="V84">
        <f ca="1">IF(AND(ISNUMBER($V$288),$B$208=1),$V$288,HLOOKUP(INDIRECT(ADDRESS(2,COLUMN())),OFFSET($BN$2,0,0,ROW()-1,60),ROW()-1,FALSE))</f>
        <v>224400.10709999999</v>
      </c>
      <c r="W84">
        <f ca="1">IF(AND(ISNUMBER($W$288),$B$208=1),$W$288,HLOOKUP(INDIRECT(ADDRESS(2,COLUMN())),OFFSET($BN$2,0,0,ROW()-1,60),ROW()-1,FALSE))</f>
        <v>221113.8168</v>
      </c>
      <c r="X84">
        <f ca="1">IF(AND(ISNUMBER($X$288),$B$208=1),$X$288,HLOOKUP(INDIRECT(ADDRESS(2,COLUMN())),OFFSET($BN$2,0,0,ROW()-1,60),ROW()-1,FALSE))</f>
        <v>222877.052</v>
      </c>
      <c r="Y84" t="str">
        <f ca="1">IF(AND(ISNUMBER($Y$288),$B$208=1),$Y$288,HLOOKUP(INDIRECT(ADDRESS(2,COLUMN())),OFFSET($BN$2,0,0,ROW()-1,60),ROW()-1,FALSE))</f>
        <v/>
      </c>
      <c r="Z84">
        <f ca="1">IF(AND(ISNUMBER($Z$288),$B$208=1),$Z$288,HLOOKUP(INDIRECT(ADDRESS(2,COLUMN())),OFFSET($BN$2,0,0,ROW()-1,60),ROW()-1,FALSE))</f>
        <v>247697.65719999999</v>
      </c>
      <c r="AA84">
        <f ca="1">IF(AND(ISNUMBER($AA$288),$B$208=1),$AA$288,HLOOKUP(INDIRECT(ADDRESS(2,COLUMN())),OFFSET($BN$2,0,0,ROW()-1,60),ROW()-1,FALSE))</f>
        <v>244299.67989999999</v>
      </c>
      <c r="AB84">
        <f ca="1">IF(AND(ISNUMBER($AB$288),$B$208=1),$AB$288,HLOOKUP(INDIRECT(ADDRESS(2,COLUMN())),OFFSET($BN$2,0,0,ROW()-1,60),ROW()-1,FALSE))</f>
        <v>240711.01370000001</v>
      </c>
      <c r="AC84" t="str">
        <f ca="1">IF(AND(ISNUMBER($AC$288),$B$208=1),$AC$288,HLOOKUP(INDIRECT(ADDRESS(2,COLUMN())),OFFSET($BN$2,0,0,ROW()-1,60),ROW()-1,FALSE))</f>
        <v/>
      </c>
      <c r="AD84">
        <f ca="1">IF(AND(ISNUMBER($AD$288),$B$208=1),$AD$288,HLOOKUP(INDIRECT(ADDRESS(2,COLUMN())),OFFSET($BN$2,0,0,ROW()-1,60),ROW()-1,FALSE))</f>
        <v>228811.40169999999</v>
      </c>
      <c r="AE84">
        <f ca="1">IF(AND(ISNUMBER($AE$288),$B$208=1),$AE$288,HLOOKUP(INDIRECT(ADDRESS(2,COLUMN())),OFFSET($BN$2,0,0,ROW()-1,60),ROW()-1,FALSE))</f>
        <v>236110.2838</v>
      </c>
      <c r="AF84">
        <f ca="1">IF(AND(ISNUMBER($AF$288),$B$208=1),$AF$288,HLOOKUP(INDIRECT(ADDRESS(2,COLUMN())),OFFSET($BN$2,0,0,ROW()-1,60),ROW()-1,FALSE))</f>
        <v>234977.9425</v>
      </c>
      <c r="AG84" t="str">
        <f ca="1">IF(AND(ISNUMBER($AG$288),$B$208=1),$AG$288,HLOOKUP(INDIRECT(ADDRESS(2,COLUMN())),OFFSET($BN$2,0,0,ROW()-1,60),ROW()-1,FALSE))</f>
        <v/>
      </c>
      <c r="AH84">
        <f ca="1">IF(AND(ISNUMBER($AH$288),$B$208=1),$AH$288,HLOOKUP(INDIRECT(ADDRESS(2,COLUMN())),OFFSET($BN$2,0,0,ROW()-1,60),ROW()-1,FALSE))</f>
        <v>226345.32260000001</v>
      </c>
      <c r="AI84" t="str">
        <f ca="1">IF(AND(ISNUMBER($AI$288),$B$208=1),$AI$288,HLOOKUP(INDIRECT(ADDRESS(2,COLUMN())),OFFSET($BN$2,0,0,ROW()-1,60),ROW()-1,FALSE))</f>
        <v/>
      </c>
      <c r="AJ84">
        <f ca="1">IF(AND(ISNUMBER($AJ$288),$B$208=1),$AJ$288,HLOOKUP(INDIRECT(ADDRESS(2,COLUMN())),OFFSET($BN$2,0,0,ROW()-1,60),ROW()-1,FALSE))</f>
        <v>226875.79569999999</v>
      </c>
      <c r="AK84" t="str">
        <f ca="1">IF(AND(ISNUMBER($AK$288),$B$208=1),$AK$288,HLOOKUP(INDIRECT(ADDRESS(2,COLUMN())),OFFSET($BN$2,0,0,ROW()-1,60),ROW()-1,FALSE))</f>
        <v/>
      </c>
      <c r="AL84">
        <f ca="1">IF(AND(ISNUMBER($AL$288),$B$208=1),$AL$288,HLOOKUP(INDIRECT(ADDRESS(2,COLUMN())),OFFSET($BN$2,0,0,ROW()-1,60),ROW()-1,FALSE))</f>
        <v>235844.86350000001</v>
      </c>
      <c r="AM84" t="str">
        <f ca="1">IF(AND(ISNUMBER($AM$288),$B$208=1),$AM$288,HLOOKUP(INDIRECT(ADDRESS(2,COLUMN())),OFFSET($BN$2,0,0,ROW()-1,60),ROW()-1,FALSE))</f>
        <v/>
      </c>
      <c r="AN84">
        <f ca="1">IF(AND(ISNUMBER($AN$288),$B$208=1),$AN$288,HLOOKUP(INDIRECT(ADDRESS(2,COLUMN())),OFFSET($BN$2,0,0,ROW()-1,60),ROW()-1,FALSE))</f>
        <v>237871.40719999999</v>
      </c>
      <c r="AO84" t="str">
        <f ca="1">IF(AND(ISNUMBER($AO$288),$B$208=1),$AO$288,HLOOKUP(INDIRECT(ADDRESS(2,COLUMN())),OFFSET($BN$2,0,0,ROW()-1,60),ROW()-1,FALSE))</f>
        <v/>
      </c>
      <c r="AP84">
        <f ca="1">IF(AND(ISNUMBER($AP$288),$B$208=1),$AP$288,HLOOKUP(INDIRECT(ADDRESS(2,COLUMN())),OFFSET($BN$2,0,0,ROW()-1,60),ROW()-1,FALSE))</f>
        <v>292924.01530000003</v>
      </c>
      <c r="AQ84" t="str">
        <f ca="1">IF(AND(ISNUMBER($AQ$288),$B$208=1),$AQ$288,HLOOKUP(INDIRECT(ADDRESS(2,COLUMN())),OFFSET($BN$2,0,0,ROW()-1,60),ROW()-1,FALSE))</f>
        <v/>
      </c>
      <c r="AR84">
        <f ca="1">IF(AND(ISNUMBER($AR$288),$B$208=1),$AR$288,HLOOKUP(INDIRECT(ADDRESS(2,COLUMN())),OFFSET($BN$2,0,0,ROW()-1,60),ROW()-1,FALSE))</f>
        <v>313706.20689999999</v>
      </c>
      <c r="AS84" t="str">
        <f ca="1">IF(AND(ISNUMBER($AS$288),$B$208=1),$AS$288,HLOOKUP(INDIRECT(ADDRESS(2,COLUMN())),OFFSET($BN$2,0,0,ROW()-1,60),ROW()-1,FALSE))</f>
        <v/>
      </c>
      <c r="AT84">
        <f ca="1">IF(AND(ISNUMBER($AT$288),$B$208=1),$AT$288,HLOOKUP(INDIRECT(ADDRESS(2,COLUMN())),OFFSET($BN$2,0,0,ROW()-1,60),ROW()-1,FALSE))</f>
        <v>290872.804</v>
      </c>
      <c r="AU84" t="str">
        <f ca="1">IF(AND(ISNUMBER($AU$288),$B$208=1),$AU$288,HLOOKUP(INDIRECT(ADDRESS(2,COLUMN())),OFFSET($BN$2,0,0,ROW()-1,60),ROW()-1,FALSE))</f>
        <v/>
      </c>
      <c r="AV84">
        <f ca="1">IF(AND(ISNUMBER($AV$288),$B$208=1),$AV$288,HLOOKUP(INDIRECT(ADDRESS(2,COLUMN())),OFFSET($BN$2,0,0,ROW()-1,60),ROW()-1,FALSE))</f>
        <v>292168.11949999997</v>
      </c>
      <c r="AW84" t="str">
        <f ca="1">IF(AND(ISNUMBER($AW$288),$B$208=1),$AW$288,HLOOKUP(INDIRECT(ADDRESS(2,COLUMN())),OFFSET($BN$2,0,0,ROW()-1,60),ROW()-1,FALSE))</f>
        <v/>
      </c>
      <c r="AX84">
        <f ca="1">IF(AND(ISNUMBER($AX$288),$B$208=1),$AX$288,HLOOKUP(INDIRECT(ADDRESS(2,COLUMN())),OFFSET($BN$2,0,0,ROW()-1,60),ROW()-1,FALSE))</f>
        <v>279013.77710000001</v>
      </c>
      <c r="AY84" t="str">
        <f ca="1">IF(AND(ISNUMBER($AY$288),$B$208=1),$AY$288,HLOOKUP(INDIRECT(ADDRESS(2,COLUMN())),OFFSET($BN$2,0,0,ROW()-1,60),ROW()-1,FALSE))</f>
        <v/>
      </c>
      <c r="AZ84">
        <f ca="1">IF(AND(ISNUMBER($AZ$288),$B$208=1),$AZ$288,HLOOKUP(INDIRECT(ADDRESS(2,COLUMN())),OFFSET($BN$2,0,0,ROW()-1,60),ROW()-1,FALSE))</f>
        <v>276519.95919999998</v>
      </c>
      <c r="BA84" t="str">
        <f ca="1">IF(AND(ISNUMBER($BA$288),$B$208=1),$BA$288,HLOOKUP(INDIRECT(ADDRESS(2,COLUMN())),OFFSET($BN$2,0,0,ROW()-1,60),ROW()-1,FALSE))</f>
        <v/>
      </c>
      <c r="BB84">
        <f ca="1">IF(AND(ISNUMBER($BB$288),$B$208=1),$BB$288,HLOOKUP(INDIRECT(ADDRESS(2,COLUMN())),OFFSET($BN$2,0,0,ROW()-1,60),ROW()-1,FALSE))</f>
        <v>280161.88500000001</v>
      </c>
      <c r="BC84" t="str">
        <f ca="1">IF(AND(ISNUMBER($BC$288),$B$208=1),$BC$288,HLOOKUP(INDIRECT(ADDRESS(2,COLUMN())),OFFSET($BN$2,0,0,ROW()-1,60),ROW()-1,FALSE))</f>
        <v/>
      </c>
      <c r="BD84">
        <f ca="1">IF(AND(ISNUMBER($BD$288),$B$208=1),$BD$288,HLOOKUP(INDIRECT(ADDRESS(2,COLUMN())),OFFSET($BN$2,0,0,ROW()-1,60),ROW()-1,FALSE))</f>
        <v>282175.59350000002</v>
      </c>
      <c r="BE84" t="str">
        <f ca="1">IF(AND(ISNUMBER($BE$288),$B$208=1),$BE$288,HLOOKUP(INDIRECT(ADDRESS(2,COLUMN())),OFFSET($BN$2,0,0,ROW()-1,60),ROW()-1,FALSE))</f>
        <v/>
      </c>
      <c r="BF84">
        <f ca="1">IF(AND(ISNUMBER($BF$288),$B$208=1),$BF$288,HLOOKUP(INDIRECT(ADDRESS(2,COLUMN())),OFFSET($BN$2,0,0,ROW()-1,60),ROW()-1,FALSE))</f>
        <v>264866.43560000003</v>
      </c>
      <c r="BG84" t="str">
        <f ca="1">IF(AND(ISNUMBER($BG$288),$B$208=1),$BG$288,HLOOKUP(INDIRECT(ADDRESS(2,COLUMN())),OFFSET($BN$2,0,0,ROW()-1,60),ROW()-1,FALSE))</f>
        <v/>
      </c>
      <c r="BH84">
        <f ca="1">IF(AND(ISNUMBER($BH$288),$B$208=1),$BH$288,HLOOKUP(INDIRECT(ADDRESS(2,COLUMN())),OFFSET($BN$2,0,0,ROW()-1,60),ROW()-1,FALSE))</f>
        <v>245302.45189999999</v>
      </c>
      <c r="BI84" t="str">
        <f ca="1">IF(AND(ISNUMBER($BI$288),$B$208=1),$BI$288,HLOOKUP(INDIRECT(ADDRESS(2,COLUMN())),OFFSET($BN$2,0,0,ROW()-1,60),ROW()-1,FALSE))</f>
        <v/>
      </c>
      <c r="BJ84">
        <f ca="1">IF(AND(ISNUMBER($BJ$288),$B$208=1),$BJ$288,HLOOKUP(INDIRECT(ADDRESS(2,COLUMN())),OFFSET($BN$2,0,0,ROW()-1,60),ROW()-1,FALSE))</f>
        <v>224555.42559999999</v>
      </c>
      <c r="BK84" t="str">
        <f ca="1">IF(AND(ISNUMBER($BK$288),$B$208=1),$BK$288,HLOOKUP(INDIRECT(ADDRESS(2,COLUMN())),OFFSET($BN$2,0,0,ROW()-1,60),ROW()-1,FALSE))</f>
        <v/>
      </c>
      <c r="BL84">
        <f ca="1">IF(AND(ISNUMBER($BL$288),$B$208=1),$BL$288,HLOOKUP(INDIRECT(ADDRESS(2,COLUMN())),OFFSET($BN$2,0,0,ROW()-1,60),ROW()-1,FALSE))</f>
        <v>265096.70110000001</v>
      </c>
      <c r="BM84" t="str">
        <f ca="1">IF(AND(ISNUMBER($BM$288),$B$208=1),$BM$288,HLOOKUP(INDIRECT(ADDRESS(2,COLUMN())),OFFSET($BN$2,0,0,ROW()-1,60),ROW()-1,FALSE))</f>
        <v/>
      </c>
      <c r="BN84">
        <f>319216.9596</f>
        <v>319216.9596</v>
      </c>
      <c r="BO84">
        <f>257562.9252</f>
        <v>257562.9252</v>
      </c>
      <c r="BP84">
        <f>241213.7486</f>
        <v>241213.74859999999</v>
      </c>
      <c r="BQ84">
        <f>255085.6539</f>
        <v>255085.6539</v>
      </c>
      <c r="BR84">
        <f>295766.1444</f>
        <v>295766.14439999999</v>
      </c>
      <c r="BS84">
        <f>246539.7374</f>
        <v>246539.73740000001</v>
      </c>
      <c r="BT84">
        <f>247536.891</f>
        <v>247536.891</v>
      </c>
      <c r="BU84">
        <f>262123.194</f>
        <v>262123.19399999999</v>
      </c>
      <c r="BV84">
        <f>253828.7129</f>
        <v>253828.71290000001</v>
      </c>
      <c r="BW84">
        <f>255559.1246</f>
        <v>255559.12460000001</v>
      </c>
      <c r="BX84">
        <f>255595.0325</f>
        <v>255595.0325</v>
      </c>
      <c r="BY84" t="str">
        <f>""</f>
        <v/>
      </c>
      <c r="BZ84">
        <f>251303.3203</f>
        <v>251303.32029999999</v>
      </c>
      <c r="CA84">
        <f>242968.0835</f>
        <v>242968.08350000001</v>
      </c>
      <c r="CB84">
        <f>239165.4486</f>
        <v>239165.4486</v>
      </c>
      <c r="CC84" t="str">
        <f>""</f>
        <v/>
      </c>
      <c r="CD84">
        <f>224400.1071</f>
        <v>224400.10709999999</v>
      </c>
      <c r="CE84">
        <f>221113.8168</f>
        <v>221113.8168</v>
      </c>
      <c r="CF84">
        <f>222877.052</f>
        <v>222877.052</v>
      </c>
      <c r="CG84" t="str">
        <f>""</f>
        <v/>
      </c>
      <c r="CH84">
        <f>247697.6572</f>
        <v>247697.65719999999</v>
      </c>
      <c r="CI84">
        <f>244299.6799</f>
        <v>244299.67989999999</v>
      </c>
      <c r="CJ84">
        <f>240711.0137</f>
        <v>240711.01370000001</v>
      </c>
      <c r="CK84" t="str">
        <f>""</f>
        <v/>
      </c>
      <c r="CL84">
        <f>228811.4017</f>
        <v>228811.40169999999</v>
      </c>
      <c r="CM84">
        <f>236110.2838</f>
        <v>236110.2838</v>
      </c>
      <c r="CN84">
        <f>234977.9425</f>
        <v>234977.9425</v>
      </c>
      <c r="CO84" t="str">
        <f>""</f>
        <v/>
      </c>
      <c r="CP84">
        <f>226345.3226</f>
        <v>226345.32260000001</v>
      </c>
      <c r="CQ84" t="str">
        <f>""</f>
        <v/>
      </c>
      <c r="CR84">
        <f>226875.7957</f>
        <v>226875.79569999999</v>
      </c>
      <c r="CS84" t="str">
        <f>""</f>
        <v/>
      </c>
      <c r="CT84">
        <f>235844.8635</f>
        <v>235844.86350000001</v>
      </c>
      <c r="CU84" t="str">
        <f>""</f>
        <v/>
      </c>
      <c r="CV84">
        <f>237871.4072</f>
        <v>237871.40719999999</v>
      </c>
      <c r="CW84" t="str">
        <f>""</f>
        <v/>
      </c>
      <c r="CX84">
        <f>292924.0153</f>
        <v>292924.01530000003</v>
      </c>
      <c r="CY84" t="str">
        <f>""</f>
        <v/>
      </c>
      <c r="CZ84">
        <f>313706.2069</f>
        <v>313706.20689999999</v>
      </c>
      <c r="DA84" t="str">
        <f>""</f>
        <v/>
      </c>
      <c r="DB84">
        <f>290872.804</f>
        <v>290872.804</v>
      </c>
      <c r="DC84" t="str">
        <f>""</f>
        <v/>
      </c>
      <c r="DD84">
        <f>292168.1195</f>
        <v>292168.11949999997</v>
      </c>
      <c r="DE84" t="str">
        <f>""</f>
        <v/>
      </c>
      <c r="DF84">
        <f>279013.7771</f>
        <v>279013.77710000001</v>
      </c>
      <c r="DG84" t="str">
        <f>""</f>
        <v/>
      </c>
      <c r="DH84">
        <f>276519.9592</f>
        <v>276519.95919999998</v>
      </c>
      <c r="DI84" t="str">
        <f>""</f>
        <v/>
      </c>
      <c r="DJ84">
        <f>280161.885</f>
        <v>280161.88500000001</v>
      </c>
      <c r="DK84" t="str">
        <f>""</f>
        <v/>
      </c>
      <c r="DL84">
        <f>282175.5935</f>
        <v>282175.59350000002</v>
      </c>
      <c r="DM84" t="str">
        <f>""</f>
        <v/>
      </c>
      <c r="DN84">
        <f>264866.4356</f>
        <v>264866.43560000003</v>
      </c>
      <c r="DO84" t="str">
        <f>""</f>
        <v/>
      </c>
      <c r="DP84">
        <f>245302.4519</f>
        <v>245302.45189999999</v>
      </c>
      <c r="DQ84" t="str">
        <f>""</f>
        <v/>
      </c>
      <c r="DR84">
        <f>224555.4256</f>
        <v>224555.42559999999</v>
      </c>
      <c r="DS84" t="str">
        <f>""</f>
        <v/>
      </c>
      <c r="DT84">
        <f>265096.7011</f>
        <v>265096.70110000001</v>
      </c>
      <c r="DU84" t="str">
        <f>""</f>
        <v/>
      </c>
    </row>
    <row r="85" spans="1:125" x14ac:dyDescent="0.25">
      <c r="A85" t="str">
        <f>"    BAWAG Group AG"</f>
        <v xml:space="preserve">    BAWAG Group AG</v>
      </c>
      <c r="B85" t="str">
        <f>"BG AV Equity"</f>
        <v>BG AV Equity</v>
      </c>
      <c r="C85" t="str">
        <f t="shared" si="6"/>
        <v>BS017</v>
      </c>
      <c r="D85" t="str">
        <f t="shared" si="7"/>
        <v>BS_CONS_LOAN</v>
      </c>
      <c r="E85" t="str">
        <f t="shared" si="8"/>
        <v>Dynamic</v>
      </c>
      <c r="F85">
        <f ca="1">IF(AND(ISNUMBER($F$289),$B$208=1),$F$289,HLOOKUP(INDIRECT(ADDRESS(2,COLUMN())),OFFSET($BN$2,0,0,ROW()-1,60),ROW()-1,FALSE))</f>
        <v>43489</v>
      </c>
      <c r="G85" t="str">
        <f ca="1">IF(AND(ISNUMBER($G$289),$B$208=1),$G$289,HLOOKUP(INDIRECT(ADDRESS(2,COLUMN())),OFFSET($BN$2,0,0,ROW()-1,60),ROW()-1,FALSE))</f>
        <v/>
      </c>
      <c r="H85">
        <f ca="1">IF(AND(ISNUMBER($H$289),$B$208=1),$H$289,HLOOKUP(INDIRECT(ADDRESS(2,COLUMN())),OFFSET($BN$2,0,0,ROW()-1,60),ROW()-1,FALSE))</f>
        <v>31007</v>
      </c>
      <c r="I85" t="str">
        <f ca="1">IF(AND(ISNUMBER($I$289),$B$208=1),$I$289,HLOOKUP(INDIRECT(ADDRESS(2,COLUMN())),OFFSET($BN$2,0,0,ROW()-1,60),ROW()-1,FALSE))</f>
        <v/>
      </c>
      <c r="J85">
        <f ca="1">IF(AND(ISNUMBER($J$289),$B$208=1),$J$289,HLOOKUP(INDIRECT(ADDRESS(2,COLUMN())),OFFSET($BN$2,0,0,ROW()-1,60),ROW()-1,FALSE))</f>
        <v>32071</v>
      </c>
      <c r="K85" t="str">
        <f ca="1">IF(AND(ISNUMBER($K$289),$B$208=1),$K$289,HLOOKUP(INDIRECT(ADDRESS(2,COLUMN())),OFFSET($BN$2,0,0,ROW()-1,60),ROW()-1,FALSE))</f>
        <v/>
      </c>
      <c r="L85">
        <f ca="1">IF(AND(ISNUMBER($L$289),$B$208=1),$L$289,HLOOKUP(INDIRECT(ADDRESS(2,COLUMN())),OFFSET($BN$2,0,0,ROW()-1,60),ROW()-1,FALSE))</f>
        <v>33037</v>
      </c>
      <c r="M85" t="str">
        <f ca="1">IF(AND(ISNUMBER($M$289),$B$208=1),$M$289,HLOOKUP(INDIRECT(ADDRESS(2,COLUMN())),OFFSET($BN$2,0,0,ROW()-1,60),ROW()-1,FALSE))</f>
        <v/>
      </c>
      <c r="N85">
        <f ca="1">IF(AND(ISNUMBER($N$289),$B$208=1),$N$289,HLOOKUP(INDIRECT(ADDRESS(2,COLUMN())),OFFSET($BN$2,0,0,ROW()-1,60),ROW()-1,FALSE))</f>
        <v>34449</v>
      </c>
      <c r="O85" t="str">
        <f ca="1">IF(AND(ISNUMBER($O$289),$B$208=1),$O$289,HLOOKUP(INDIRECT(ADDRESS(2,COLUMN())),OFFSET($BN$2,0,0,ROW()-1,60),ROW()-1,FALSE))</f>
        <v/>
      </c>
      <c r="P85">
        <f ca="1">IF(AND(ISNUMBER($P$289),$B$208=1),$P$289,HLOOKUP(INDIRECT(ADDRESS(2,COLUMN())),OFFSET($BN$2,0,0,ROW()-1,60),ROW()-1,FALSE))</f>
        <v>35874</v>
      </c>
      <c r="Q85" t="str">
        <f ca="1">IF(AND(ISNUMBER($Q$289),$B$208=1),$Q$289,HLOOKUP(INDIRECT(ADDRESS(2,COLUMN())),OFFSET($BN$2,0,0,ROW()-1,60),ROW()-1,FALSE))</f>
        <v/>
      </c>
      <c r="R85">
        <f ca="1">IF(AND(ISNUMBER($R$289),$B$208=1),$R$289,HLOOKUP(INDIRECT(ADDRESS(2,COLUMN())),OFFSET($BN$2,0,0,ROW()-1,60),ROW()-1,FALSE))</f>
        <v>33596</v>
      </c>
      <c r="S85" t="str">
        <f ca="1">IF(AND(ISNUMBER($S$289),$B$208=1),$S$289,HLOOKUP(INDIRECT(ADDRESS(2,COLUMN())),OFFSET($BN$2,0,0,ROW()-1,60),ROW()-1,FALSE))</f>
        <v/>
      </c>
      <c r="T85" t="str">
        <f ca="1">IF(AND(ISNUMBER($T$289),$B$208=1),$T$289,HLOOKUP(INDIRECT(ADDRESS(2,COLUMN())),OFFSET($BN$2,0,0,ROW()-1,60),ROW()-1,FALSE))</f>
        <v/>
      </c>
      <c r="U85" t="str">
        <f ca="1">IF(AND(ISNUMBER($U$289),$B$208=1),$U$289,HLOOKUP(INDIRECT(ADDRESS(2,COLUMN())),OFFSET($BN$2,0,0,ROW()-1,60),ROW()-1,FALSE))</f>
        <v/>
      </c>
      <c r="V85">
        <f ca="1">IF(AND(ISNUMBER($V$289),$B$208=1),$V$289,HLOOKUP(INDIRECT(ADDRESS(2,COLUMN())),OFFSET($BN$2,0,0,ROW()-1,60),ROW()-1,FALSE))</f>
        <v>30654</v>
      </c>
      <c r="W85" t="str">
        <f ca="1">IF(AND(ISNUMBER($W$289),$B$208=1),$W$289,HLOOKUP(INDIRECT(ADDRESS(2,COLUMN())),OFFSET($BN$2,0,0,ROW()-1,60),ROW()-1,FALSE))</f>
        <v/>
      </c>
      <c r="X85" t="str">
        <f ca="1">IF(AND(ISNUMBER($X$289),$B$208=1),$X$289,HLOOKUP(INDIRECT(ADDRESS(2,COLUMN())),OFFSET($BN$2,0,0,ROW()-1,60),ROW()-1,FALSE))</f>
        <v/>
      </c>
      <c r="Y85" t="str">
        <f ca="1">IF(AND(ISNUMBER($Y$289),$B$208=1),$Y$289,HLOOKUP(INDIRECT(ADDRESS(2,COLUMN())),OFFSET($BN$2,0,0,ROW()-1,60),ROW()-1,FALSE))</f>
        <v/>
      </c>
      <c r="Z85" t="str">
        <f ca="1">IF(AND(ISNUMBER($Z$289),$B$208=1),$Z$289,HLOOKUP(INDIRECT(ADDRESS(2,COLUMN())),OFFSET($BN$2,0,0,ROW()-1,60),ROW()-1,FALSE))</f>
        <v/>
      </c>
      <c r="AA85" t="str">
        <f ca="1">IF(AND(ISNUMBER($AA$289),$B$208=1),$AA$289,HLOOKUP(INDIRECT(ADDRESS(2,COLUMN())),OFFSET($BN$2,0,0,ROW()-1,60),ROW()-1,FALSE))</f>
        <v/>
      </c>
      <c r="AB85" t="str">
        <f ca="1">IF(AND(ISNUMBER($AB$289),$B$208=1),$AB$289,HLOOKUP(INDIRECT(ADDRESS(2,COLUMN())),OFFSET($BN$2,0,0,ROW()-1,60),ROW()-1,FALSE))</f>
        <v/>
      </c>
      <c r="AC85" t="str">
        <f ca="1">IF(AND(ISNUMBER($AC$289),$B$208=1),$AC$289,HLOOKUP(INDIRECT(ADDRESS(2,COLUMN())),OFFSET($BN$2,0,0,ROW()-1,60),ROW()-1,FALSE))</f>
        <v/>
      </c>
      <c r="AD85" t="str">
        <f ca="1">IF(AND(ISNUMBER($AD$289),$B$208=1),$AD$289,HLOOKUP(INDIRECT(ADDRESS(2,COLUMN())),OFFSET($BN$2,0,0,ROW()-1,60),ROW()-1,FALSE))</f>
        <v/>
      </c>
      <c r="AE85" t="str">
        <f ca="1">IF(AND(ISNUMBER($AE$289),$B$208=1),$AE$289,HLOOKUP(INDIRECT(ADDRESS(2,COLUMN())),OFFSET($BN$2,0,0,ROW()-1,60),ROW()-1,FALSE))</f>
        <v/>
      </c>
      <c r="AF85" t="str">
        <f ca="1">IF(AND(ISNUMBER($AF$289),$B$208=1),$AF$289,HLOOKUP(INDIRECT(ADDRESS(2,COLUMN())),OFFSET($BN$2,0,0,ROW()-1,60),ROW()-1,FALSE))</f>
        <v/>
      </c>
      <c r="AG85" t="str">
        <f ca="1">IF(AND(ISNUMBER($AG$289),$B$208=1),$AG$289,HLOOKUP(INDIRECT(ADDRESS(2,COLUMN())),OFFSET($BN$2,0,0,ROW()-1,60),ROW()-1,FALSE))</f>
        <v/>
      </c>
      <c r="AH85" t="str">
        <f ca="1">IF(AND(ISNUMBER($AH$289),$B$208=1),$AH$289,HLOOKUP(INDIRECT(ADDRESS(2,COLUMN())),OFFSET($BN$2,0,0,ROW()-1,60),ROW()-1,FALSE))</f>
        <v/>
      </c>
      <c r="AI85" t="str">
        <f ca="1">IF(AND(ISNUMBER($AI$289),$B$208=1),$AI$289,HLOOKUP(INDIRECT(ADDRESS(2,COLUMN())),OFFSET($BN$2,0,0,ROW()-1,60),ROW()-1,FALSE))</f>
        <v/>
      </c>
      <c r="AJ85" t="str">
        <f ca="1">IF(AND(ISNUMBER($AJ$289),$B$208=1),$AJ$289,HLOOKUP(INDIRECT(ADDRESS(2,COLUMN())),OFFSET($BN$2,0,0,ROW()-1,60),ROW()-1,FALSE))</f>
        <v/>
      </c>
      <c r="AK85" t="str">
        <f ca="1">IF(AND(ISNUMBER($AK$289),$B$208=1),$AK$289,HLOOKUP(INDIRECT(ADDRESS(2,COLUMN())),OFFSET($BN$2,0,0,ROW()-1,60),ROW()-1,FALSE))</f>
        <v/>
      </c>
      <c r="AL85" t="str">
        <f ca="1">IF(AND(ISNUMBER($AL$289),$B$208=1),$AL$289,HLOOKUP(INDIRECT(ADDRESS(2,COLUMN())),OFFSET($BN$2,0,0,ROW()-1,60),ROW()-1,FALSE))</f>
        <v/>
      </c>
      <c r="AM85" t="str">
        <f ca="1">IF(AND(ISNUMBER($AM$289),$B$208=1),$AM$289,HLOOKUP(INDIRECT(ADDRESS(2,COLUMN())),OFFSET($BN$2,0,0,ROW()-1,60),ROW()-1,FALSE))</f>
        <v/>
      </c>
      <c r="AN85">
        <f ca="1">IF(AND(ISNUMBER($AN$289),$B$208=1),$AN$289,HLOOKUP(INDIRECT(ADDRESS(2,COLUMN())),OFFSET($BN$2,0,0,ROW()-1,60),ROW()-1,FALSE))</f>
        <v>1193</v>
      </c>
      <c r="AO85">
        <f ca="1">IF(AND(ISNUMBER($AO$289),$B$208=1),$AO$289,HLOOKUP(INDIRECT(ADDRESS(2,COLUMN())),OFFSET($BN$2,0,0,ROW()-1,60),ROW()-1,FALSE))</f>
        <v>1149</v>
      </c>
      <c r="AP85" t="str">
        <f ca="1">IF(AND(ISNUMBER($AP$289),$B$208=1),$AP$289,HLOOKUP(INDIRECT(ADDRESS(2,COLUMN())),OFFSET($BN$2,0,0,ROW()-1,60),ROW()-1,FALSE))</f>
        <v/>
      </c>
      <c r="AQ85" t="str">
        <f ca="1">IF(AND(ISNUMBER($AQ$289),$B$208=1),$AQ$289,HLOOKUP(INDIRECT(ADDRESS(2,COLUMN())),OFFSET($BN$2,0,0,ROW()-1,60),ROW()-1,FALSE))</f>
        <v/>
      </c>
      <c r="AR85" t="str">
        <f ca="1">IF(AND(ISNUMBER($AR$289),$B$208=1),$AR$289,HLOOKUP(INDIRECT(ADDRESS(2,COLUMN())),OFFSET($BN$2,0,0,ROW()-1,60),ROW()-1,FALSE))</f>
        <v/>
      </c>
      <c r="AS85" t="str">
        <f ca="1">IF(AND(ISNUMBER($AS$289),$B$208=1),$AS$289,HLOOKUP(INDIRECT(ADDRESS(2,COLUMN())),OFFSET($BN$2,0,0,ROW()-1,60),ROW()-1,FALSE))</f>
        <v/>
      </c>
      <c r="AT85" t="str">
        <f ca="1">IF(AND(ISNUMBER($AT$289),$B$208=1),$AT$289,HLOOKUP(INDIRECT(ADDRESS(2,COLUMN())),OFFSET($BN$2,0,0,ROW()-1,60),ROW()-1,FALSE))</f>
        <v/>
      </c>
      <c r="AU85" t="str">
        <f ca="1">IF(AND(ISNUMBER($AU$289),$B$208=1),$AU$289,HLOOKUP(INDIRECT(ADDRESS(2,COLUMN())),OFFSET($BN$2,0,0,ROW()-1,60),ROW()-1,FALSE))</f>
        <v/>
      </c>
      <c r="AV85" t="str">
        <f ca="1">IF(AND(ISNUMBER($AV$289),$B$208=1),$AV$289,HLOOKUP(INDIRECT(ADDRESS(2,COLUMN())),OFFSET($BN$2,0,0,ROW()-1,60),ROW()-1,FALSE))</f>
        <v/>
      </c>
      <c r="AW85" t="str">
        <f ca="1">IF(AND(ISNUMBER($AW$289),$B$208=1),$AW$289,HLOOKUP(INDIRECT(ADDRESS(2,COLUMN())),OFFSET($BN$2,0,0,ROW()-1,60),ROW()-1,FALSE))</f>
        <v/>
      </c>
      <c r="AX85" t="str">
        <f ca="1">IF(AND(ISNUMBER($AX$289),$B$208=1),$AX$289,HLOOKUP(INDIRECT(ADDRESS(2,COLUMN())),OFFSET($BN$2,0,0,ROW()-1,60),ROW()-1,FALSE))</f>
        <v/>
      </c>
      <c r="AY85" t="str">
        <f ca="1">IF(AND(ISNUMBER($AY$289),$B$208=1),$AY$289,HLOOKUP(INDIRECT(ADDRESS(2,COLUMN())),OFFSET($BN$2,0,0,ROW()-1,60),ROW()-1,FALSE))</f>
        <v/>
      </c>
      <c r="AZ85" t="str">
        <f ca="1">IF(AND(ISNUMBER($AZ$289),$B$208=1),$AZ$289,HLOOKUP(INDIRECT(ADDRESS(2,COLUMN())),OFFSET($BN$2,0,0,ROW()-1,60),ROW()-1,FALSE))</f>
        <v/>
      </c>
      <c r="BA85" t="str">
        <f ca="1">IF(AND(ISNUMBER($BA$289),$B$208=1),$BA$289,HLOOKUP(INDIRECT(ADDRESS(2,COLUMN())),OFFSET($BN$2,0,0,ROW()-1,60),ROW()-1,FALSE))</f>
        <v/>
      </c>
      <c r="BB85" t="str">
        <f ca="1">IF(AND(ISNUMBER($BB$289),$B$208=1),$BB$289,HLOOKUP(INDIRECT(ADDRESS(2,COLUMN())),OFFSET($BN$2,0,0,ROW()-1,60),ROW()-1,FALSE))</f>
        <v/>
      </c>
      <c r="BC85" t="str">
        <f ca="1">IF(AND(ISNUMBER($BC$289),$B$208=1),$BC$289,HLOOKUP(INDIRECT(ADDRESS(2,COLUMN())),OFFSET($BN$2,0,0,ROW()-1,60),ROW()-1,FALSE))</f>
        <v/>
      </c>
      <c r="BD85" t="str">
        <f ca="1">IF(AND(ISNUMBER($BD$289),$B$208=1),$BD$289,HLOOKUP(INDIRECT(ADDRESS(2,COLUMN())),OFFSET($BN$2,0,0,ROW()-1,60),ROW()-1,FALSE))</f>
        <v/>
      </c>
      <c r="BE85" t="str">
        <f ca="1">IF(AND(ISNUMBER($BE$289),$B$208=1),$BE$289,HLOOKUP(INDIRECT(ADDRESS(2,COLUMN())),OFFSET($BN$2,0,0,ROW()-1,60),ROW()-1,FALSE))</f>
        <v/>
      </c>
      <c r="BF85" t="str">
        <f ca="1">IF(AND(ISNUMBER($BF$289),$B$208=1),$BF$289,HLOOKUP(INDIRECT(ADDRESS(2,COLUMN())),OFFSET($BN$2,0,0,ROW()-1,60),ROW()-1,FALSE))</f>
        <v/>
      </c>
      <c r="BG85" t="str">
        <f ca="1">IF(AND(ISNUMBER($BG$289),$B$208=1),$BG$289,HLOOKUP(INDIRECT(ADDRESS(2,COLUMN())),OFFSET($BN$2,0,0,ROW()-1,60),ROW()-1,FALSE))</f>
        <v/>
      </c>
      <c r="BH85" t="str">
        <f ca="1">IF(AND(ISNUMBER($BH$289),$B$208=1),$BH$289,HLOOKUP(INDIRECT(ADDRESS(2,COLUMN())),OFFSET($BN$2,0,0,ROW()-1,60),ROW()-1,FALSE))</f>
        <v/>
      </c>
      <c r="BI85" t="str">
        <f ca="1">IF(AND(ISNUMBER($BI$289),$B$208=1),$BI$289,HLOOKUP(INDIRECT(ADDRESS(2,COLUMN())),OFFSET($BN$2,0,0,ROW()-1,60),ROW()-1,FALSE))</f>
        <v/>
      </c>
      <c r="BJ85" t="str">
        <f ca="1">IF(AND(ISNUMBER($BJ$289),$B$208=1),$BJ$289,HLOOKUP(INDIRECT(ADDRESS(2,COLUMN())),OFFSET($BN$2,0,0,ROW()-1,60),ROW()-1,FALSE))</f>
        <v/>
      </c>
      <c r="BK85" t="str">
        <f ca="1">IF(AND(ISNUMBER($BK$289),$B$208=1),$BK$289,HLOOKUP(INDIRECT(ADDRESS(2,COLUMN())),OFFSET($BN$2,0,0,ROW()-1,60),ROW()-1,FALSE))</f>
        <v/>
      </c>
      <c r="BL85" t="str">
        <f ca="1">IF(AND(ISNUMBER($BL$289),$B$208=1),$BL$289,HLOOKUP(INDIRECT(ADDRESS(2,COLUMN())),OFFSET($BN$2,0,0,ROW()-1,60),ROW()-1,FALSE))</f>
        <v/>
      </c>
      <c r="BM85" t="str">
        <f ca="1">IF(AND(ISNUMBER($BM$289),$B$208=1),$BM$289,HLOOKUP(INDIRECT(ADDRESS(2,COLUMN())),OFFSET($BN$2,0,0,ROW()-1,60),ROW()-1,FALSE))</f>
        <v/>
      </c>
      <c r="BN85">
        <f>43489</f>
        <v>43489</v>
      </c>
      <c r="BO85" t="str">
        <f>""</f>
        <v/>
      </c>
      <c r="BP85">
        <f>31007</f>
        <v>31007</v>
      </c>
      <c r="BQ85" t="str">
        <f>""</f>
        <v/>
      </c>
      <c r="BR85">
        <f>32071</f>
        <v>32071</v>
      </c>
      <c r="BS85" t="str">
        <f>""</f>
        <v/>
      </c>
      <c r="BT85">
        <f>33037</f>
        <v>33037</v>
      </c>
      <c r="BU85" t="str">
        <f>""</f>
        <v/>
      </c>
      <c r="BV85">
        <f>34449</f>
        <v>34449</v>
      </c>
      <c r="BW85" t="str">
        <f>""</f>
        <v/>
      </c>
      <c r="BX85">
        <f>35874</f>
        <v>35874</v>
      </c>
      <c r="BY85" t="str">
        <f>""</f>
        <v/>
      </c>
      <c r="BZ85">
        <f>33596</f>
        <v>33596</v>
      </c>
      <c r="CA85" t="str">
        <f>""</f>
        <v/>
      </c>
      <c r="CB85" t="str">
        <f>""</f>
        <v/>
      </c>
      <c r="CC85" t="str">
        <f>""</f>
        <v/>
      </c>
      <c r="CD85">
        <f>30654</f>
        <v>30654</v>
      </c>
      <c r="CE85" t="str">
        <f>""</f>
        <v/>
      </c>
      <c r="CF85" t="str">
        <f>""</f>
        <v/>
      </c>
      <c r="CG85" t="str">
        <f>""</f>
        <v/>
      </c>
      <c r="CH85" t="str">
        <f>""</f>
        <v/>
      </c>
      <c r="CI85" t="str">
        <f>""</f>
        <v/>
      </c>
      <c r="CJ85" t="str">
        <f>""</f>
        <v/>
      </c>
      <c r="CK85" t="str">
        <f>""</f>
        <v/>
      </c>
      <c r="CL85" t="str">
        <f>""</f>
        <v/>
      </c>
      <c r="CM85" t="str">
        <f>""</f>
        <v/>
      </c>
      <c r="CN85" t="str">
        <f>""</f>
        <v/>
      </c>
      <c r="CO85" t="str">
        <f>""</f>
        <v/>
      </c>
      <c r="CP85" t="str">
        <f>""</f>
        <v/>
      </c>
      <c r="CQ85" t="str">
        <f>""</f>
        <v/>
      </c>
      <c r="CR85" t="str">
        <f>""</f>
        <v/>
      </c>
      <c r="CS85" t="str">
        <f>""</f>
        <v/>
      </c>
      <c r="CT85" t="str">
        <f>""</f>
        <v/>
      </c>
      <c r="CU85" t="str">
        <f>""</f>
        <v/>
      </c>
      <c r="CV85">
        <f>1193</f>
        <v>1193</v>
      </c>
      <c r="CW85">
        <f>1149</f>
        <v>1149</v>
      </c>
      <c r="CX85" t="str">
        <f>""</f>
        <v/>
      </c>
      <c r="CY85" t="str">
        <f>""</f>
        <v/>
      </c>
      <c r="CZ85" t="str">
        <f>""</f>
        <v/>
      </c>
      <c r="DA85" t="str">
        <f>""</f>
        <v/>
      </c>
      <c r="DB85" t="str">
        <f>""</f>
        <v/>
      </c>
      <c r="DC85" t="str">
        <f>""</f>
        <v/>
      </c>
      <c r="DD85" t="str">
        <f>""</f>
        <v/>
      </c>
      <c r="DE85" t="str">
        <f>""</f>
        <v/>
      </c>
      <c r="DF85" t="str">
        <f>""</f>
        <v/>
      </c>
      <c r="DG85" t="str">
        <f>""</f>
        <v/>
      </c>
      <c r="DH85" t="str">
        <f>""</f>
        <v/>
      </c>
      <c r="DI85" t="str">
        <f>""</f>
        <v/>
      </c>
      <c r="DJ85" t="str">
        <f>""</f>
        <v/>
      </c>
      <c r="DK85" t="str">
        <f>""</f>
        <v/>
      </c>
      <c r="DL85" t="str">
        <f>""</f>
        <v/>
      </c>
      <c r="DM85" t="str">
        <f>""</f>
        <v/>
      </c>
      <c r="DN85" t="str">
        <f>""</f>
        <v/>
      </c>
      <c r="DO85" t="str">
        <f>""</f>
        <v/>
      </c>
      <c r="DP85" t="str">
        <f>""</f>
        <v/>
      </c>
      <c r="DQ85" t="str">
        <f>""</f>
        <v/>
      </c>
      <c r="DR85" t="str">
        <f>""</f>
        <v/>
      </c>
      <c r="DS85" t="str">
        <f>""</f>
        <v/>
      </c>
      <c r="DT85" t="str">
        <f>""</f>
        <v/>
      </c>
      <c r="DU85" t="str">
        <f>""</f>
        <v/>
      </c>
    </row>
    <row r="86" spans="1:125" x14ac:dyDescent="0.25">
      <c r="A86" t="str">
        <f>"    BNP Paribas SA"</f>
        <v xml:space="preserve">    BNP Paribas SA</v>
      </c>
      <c r="B86" t="str">
        <f>"BNP FP Equity"</f>
        <v>BNP FP Equity</v>
      </c>
      <c r="C86" t="str">
        <f t="shared" si="6"/>
        <v>BS017</v>
      </c>
      <c r="D86" t="str">
        <f t="shared" si="7"/>
        <v>BS_CONS_LOAN</v>
      </c>
      <c r="E86" t="str">
        <f t="shared" si="8"/>
        <v>Dynamic</v>
      </c>
      <c r="F86">
        <f ca="1">IF(AND(ISNUMBER($F$290),$B$208=1),$F$290,HLOOKUP(INDIRECT(ADDRESS(2,COLUMN())),OFFSET($BN$2,0,0,ROW()-1,60),ROW()-1,FALSE))</f>
        <v>916560</v>
      </c>
      <c r="G86" t="str">
        <f ca="1">IF(AND(ISNUMBER($G$290),$B$208=1),$G$290,HLOOKUP(INDIRECT(ADDRESS(2,COLUMN())),OFFSET($BN$2,0,0,ROW()-1,60),ROW()-1,FALSE))</f>
        <v/>
      </c>
      <c r="H86">
        <f ca="1">IF(AND(ISNUMBER($H$290),$B$208=1),$H$290,HLOOKUP(INDIRECT(ADDRESS(2,COLUMN())),OFFSET($BN$2,0,0,ROW()-1,60),ROW()-1,FALSE))</f>
        <v>888804</v>
      </c>
      <c r="I86" t="str">
        <f ca="1">IF(AND(ISNUMBER($I$290),$B$208=1),$I$290,HLOOKUP(INDIRECT(ADDRESS(2,COLUMN())),OFFSET($BN$2,0,0,ROW()-1,60),ROW()-1,FALSE))</f>
        <v/>
      </c>
      <c r="J86">
        <f ca="1">IF(AND(ISNUMBER($J$290),$B$208=1),$J$290,HLOOKUP(INDIRECT(ADDRESS(2,COLUMN())),OFFSET($BN$2,0,0,ROW()-1,60),ROW()-1,FALSE))</f>
        <v>876213</v>
      </c>
      <c r="K86" t="str">
        <f ca="1">IF(AND(ISNUMBER($K$290),$B$208=1),$K$290,HLOOKUP(INDIRECT(ADDRESS(2,COLUMN())),OFFSET($BN$2,0,0,ROW()-1,60),ROW()-1,FALSE))</f>
        <v/>
      </c>
      <c r="L86">
        <f ca="1">IF(AND(ISNUMBER($L$290),$B$208=1),$L$290,HLOOKUP(INDIRECT(ADDRESS(2,COLUMN())),OFFSET($BN$2,0,0,ROW()-1,60),ROW()-1,FALSE))</f>
        <v>869971</v>
      </c>
      <c r="M86" t="str">
        <f ca="1">IF(AND(ISNUMBER($M$290),$B$208=1),$M$290,HLOOKUP(INDIRECT(ADDRESS(2,COLUMN())),OFFSET($BN$2,0,0,ROW()-1,60),ROW()-1,FALSE))</f>
        <v/>
      </c>
      <c r="N86">
        <f ca="1">IF(AND(ISNUMBER($N$290),$B$208=1),$N$290,HLOOKUP(INDIRECT(ADDRESS(2,COLUMN())),OFFSET($BN$2,0,0,ROW()-1,60),ROW()-1,FALSE))</f>
        <v>874508</v>
      </c>
      <c r="O86" t="str">
        <f ca="1">IF(AND(ISNUMBER($O$290),$B$208=1),$O$290,HLOOKUP(INDIRECT(ADDRESS(2,COLUMN())),OFFSET($BN$2,0,0,ROW()-1,60),ROW()-1,FALSE))</f>
        <v/>
      </c>
      <c r="P86">
        <f ca="1">IF(AND(ISNUMBER($P$290),$B$208=1),$P$290,HLOOKUP(INDIRECT(ADDRESS(2,COLUMN())),OFFSET($BN$2,0,0,ROW()-1,60),ROW()-1,FALSE))</f>
        <v>874320</v>
      </c>
      <c r="Q86" t="str">
        <f ca="1">IF(AND(ISNUMBER($Q$290),$B$208=1),$Q$290,HLOOKUP(INDIRECT(ADDRESS(2,COLUMN())),OFFSET($BN$2,0,0,ROW()-1,60),ROW()-1,FALSE))</f>
        <v/>
      </c>
      <c r="R86">
        <f ca="1">IF(AND(ISNUMBER($R$290),$B$208=1),$R$290,HLOOKUP(INDIRECT(ADDRESS(2,COLUMN())),OFFSET($BN$2,0,0,ROW()-1,60),ROW()-1,FALSE))</f>
        <v>833594</v>
      </c>
      <c r="S86" t="str">
        <f ca="1">IF(AND(ISNUMBER($S$290),$B$208=1),$S$290,HLOOKUP(INDIRECT(ADDRESS(2,COLUMN())),OFFSET($BN$2,0,0,ROW()-1,60),ROW()-1,FALSE))</f>
        <v/>
      </c>
      <c r="T86">
        <f ca="1">IF(AND(ISNUMBER($T$290),$B$208=1),$T$290,HLOOKUP(INDIRECT(ADDRESS(2,COLUMN())),OFFSET($BN$2,0,0,ROW()-1,60),ROW()-1,FALSE))</f>
        <v>846594</v>
      </c>
      <c r="U86" t="str">
        <f ca="1">IF(AND(ISNUMBER($U$290),$B$208=1),$U$290,HLOOKUP(INDIRECT(ADDRESS(2,COLUMN())),OFFSET($BN$2,0,0,ROW()-1,60),ROW()-1,FALSE))</f>
        <v/>
      </c>
      <c r="V86">
        <f ca="1">IF(AND(ISNUMBER($V$290),$B$208=1),$V$290,HLOOKUP(INDIRECT(ADDRESS(2,COLUMN())),OFFSET($BN$2,0,0,ROW()-1,60),ROW()-1,FALSE))</f>
        <v>829656</v>
      </c>
      <c r="W86" t="str">
        <f ca="1">IF(AND(ISNUMBER($W$290),$B$208=1),$W$290,HLOOKUP(INDIRECT(ADDRESS(2,COLUMN())),OFFSET($BN$2,0,0,ROW()-1,60),ROW()-1,FALSE))</f>
        <v/>
      </c>
      <c r="X86">
        <f ca="1">IF(AND(ISNUMBER($X$290),$B$208=1),$X$290,HLOOKUP(INDIRECT(ADDRESS(2,COLUMN())),OFFSET($BN$2,0,0,ROW()-1,60),ROW()-1,FALSE))</f>
        <v>849521</v>
      </c>
      <c r="Y86" t="str">
        <f ca="1">IF(AND(ISNUMBER($Y$290),$B$208=1),$Y$290,HLOOKUP(INDIRECT(ADDRESS(2,COLUMN())),OFFSET($BN$2,0,0,ROW()-1,60),ROW()-1,FALSE))</f>
        <v/>
      </c>
      <c r="Z86">
        <f ca="1">IF(AND(ISNUMBER($Z$290),$B$208=1),$Z$290,HLOOKUP(INDIRECT(ADDRESS(2,COLUMN())),OFFSET($BN$2,0,0,ROW()-1,60),ROW()-1,FALSE))</f>
        <v>825740</v>
      </c>
      <c r="AA86" t="str">
        <f ca="1">IF(AND(ISNUMBER($AA$290),$B$208=1),$AA$290,HLOOKUP(INDIRECT(ADDRESS(2,COLUMN())),OFFSET($BN$2,0,0,ROW()-1,60),ROW()-1,FALSE))</f>
        <v/>
      </c>
      <c r="AB86">
        <f ca="1">IF(AND(ISNUMBER($AB$290),$B$208=1),$AB$290,HLOOKUP(INDIRECT(ADDRESS(2,COLUMN())),OFFSET($BN$2,0,0,ROW()-1,60),ROW()-1,FALSE))</f>
        <v>813292</v>
      </c>
      <c r="AC86" t="str">
        <f ca="1">IF(AND(ISNUMBER($AC$290),$B$208=1),$AC$290,HLOOKUP(INDIRECT(ADDRESS(2,COLUMN())),OFFSET($BN$2,0,0,ROW()-1,60),ROW()-1,FALSE))</f>
        <v/>
      </c>
      <c r="AD86">
        <f ca="1">IF(AND(ISNUMBER($AD$290),$B$208=1),$AD$290,HLOOKUP(INDIRECT(ADDRESS(2,COLUMN())),OFFSET($BN$2,0,0,ROW()-1,60),ROW()-1,FALSE))</f>
        <v>789016</v>
      </c>
      <c r="AE86" t="str">
        <f ca="1">IF(AND(ISNUMBER($AE$290),$B$208=1),$AE$290,HLOOKUP(INDIRECT(ADDRESS(2,COLUMN())),OFFSET($BN$2,0,0,ROW()-1,60),ROW()-1,FALSE))</f>
        <v/>
      </c>
      <c r="AF86">
        <f ca="1">IF(AND(ISNUMBER($AF$290),$B$208=1),$AF$290,HLOOKUP(INDIRECT(ADDRESS(2,COLUMN())),OFFSET($BN$2,0,0,ROW()-1,60),ROW()-1,FALSE))</f>
        <v>773679</v>
      </c>
      <c r="AG86" t="str">
        <f ca="1">IF(AND(ISNUMBER($AG$290),$B$208=1),$AG$290,HLOOKUP(INDIRECT(ADDRESS(2,COLUMN())),OFFSET($BN$2,0,0,ROW()-1,60),ROW()-1,FALSE))</f>
        <v/>
      </c>
      <c r="AH86">
        <f ca="1">IF(AND(ISNUMBER($AH$290),$B$208=1),$AH$290,HLOOKUP(INDIRECT(ADDRESS(2,COLUMN())),OFFSET($BN$2,0,0,ROW()-1,60),ROW()-1,FALSE))</f>
        <v>757917</v>
      </c>
      <c r="AI86" t="str">
        <f ca="1">IF(AND(ISNUMBER($AI$290),$B$208=1),$AI$290,HLOOKUP(INDIRECT(ADDRESS(2,COLUMN())),OFFSET($BN$2,0,0,ROW()-1,60),ROW()-1,FALSE))</f>
        <v/>
      </c>
      <c r="AJ86">
        <f ca="1">IF(AND(ISNUMBER($AJ$290),$B$208=1),$AJ$290,HLOOKUP(INDIRECT(ADDRESS(2,COLUMN())),OFFSET($BN$2,0,0,ROW()-1,60),ROW()-1,FALSE))</f>
        <v>739148</v>
      </c>
      <c r="AK86" t="str">
        <f ca="1">IF(AND(ISNUMBER($AK$290),$B$208=1),$AK$290,HLOOKUP(INDIRECT(ADDRESS(2,COLUMN())),OFFSET($BN$2,0,0,ROW()-1,60),ROW()-1,FALSE))</f>
        <v/>
      </c>
      <c r="AL86" t="str">
        <f ca="1">IF(AND(ISNUMBER($AL$290),$B$208=1),$AL$290,HLOOKUP(INDIRECT(ADDRESS(2,COLUMN())),OFFSET($BN$2,0,0,ROW()-1,60),ROW()-1,FALSE))</f>
        <v/>
      </c>
      <c r="AM86" t="str">
        <f ca="1">IF(AND(ISNUMBER($AM$290),$B$208=1),$AM$290,HLOOKUP(INDIRECT(ADDRESS(2,COLUMN())),OFFSET($BN$2,0,0,ROW()-1,60),ROW()-1,FALSE))</f>
        <v/>
      </c>
      <c r="AN86">
        <f ca="1">IF(AND(ISNUMBER($AN$290),$B$208=1),$AN$290,HLOOKUP(INDIRECT(ADDRESS(2,COLUMN())),OFFSET($BN$2,0,0,ROW()-1,60),ROW()-1,FALSE))</f>
        <v>717488</v>
      </c>
      <c r="AO86" t="str">
        <f ca="1">IF(AND(ISNUMBER($AO$290),$B$208=1),$AO$290,HLOOKUP(INDIRECT(ADDRESS(2,COLUMN())),OFFSET($BN$2,0,0,ROW()-1,60),ROW()-1,FALSE))</f>
        <v/>
      </c>
      <c r="AP86">
        <f ca="1">IF(AND(ISNUMBER($AP$290),$B$208=1),$AP$290,HLOOKUP(INDIRECT(ADDRESS(2,COLUMN())),OFFSET($BN$2,0,0,ROW()-1,60),ROW()-1,FALSE))</f>
        <v>703243</v>
      </c>
      <c r="AQ86" t="str">
        <f ca="1">IF(AND(ISNUMBER($AQ$290),$B$208=1),$AQ$290,HLOOKUP(INDIRECT(ADDRESS(2,COLUMN())),OFFSET($BN$2,0,0,ROW()-1,60),ROW()-1,FALSE))</f>
        <v/>
      </c>
      <c r="AR86" t="str">
        <f ca="1">IF(AND(ISNUMBER($AR$290),$B$208=1),$AR$290,HLOOKUP(INDIRECT(ADDRESS(2,COLUMN())),OFFSET($BN$2,0,0,ROW()-1,60),ROW()-1,FALSE))</f>
        <v/>
      </c>
      <c r="AS86" t="str">
        <f ca="1">IF(AND(ISNUMBER($AS$290),$B$208=1),$AS$290,HLOOKUP(INDIRECT(ADDRESS(2,COLUMN())),OFFSET($BN$2,0,0,ROW()-1,60),ROW()-1,FALSE))</f>
        <v/>
      </c>
      <c r="AT86">
        <f ca="1">IF(AND(ISNUMBER($AT$290),$B$208=1),$AT$290,HLOOKUP(INDIRECT(ADDRESS(2,COLUMN())),OFFSET($BN$2,0,0,ROW()-1,60),ROW()-1,FALSE))</f>
        <v>681989</v>
      </c>
      <c r="AU86" t="str">
        <f ca="1">IF(AND(ISNUMBER($AU$290),$B$208=1),$AU$290,HLOOKUP(INDIRECT(ADDRESS(2,COLUMN())),OFFSET($BN$2,0,0,ROW()-1,60),ROW()-1,FALSE))</f>
        <v/>
      </c>
      <c r="AV86">
        <f ca="1">IF(AND(ISNUMBER($AV$290),$B$208=1),$AV$290,HLOOKUP(INDIRECT(ADDRESS(2,COLUMN())),OFFSET($BN$2,0,0,ROW()-1,60),ROW()-1,FALSE))</f>
        <v>643197</v>
      </c>
      <c r="AW86" t="str">
        <f ca="1">IF(AND(ISNUMBER($AW$290),$B$208=1),$AW$290,HLOOKUP(INDIRECT(ADDRESS(2,COLUMN())),OFFSET($BN$2,0,0,ROW()-1,60),ROW()-1,FALSE))</f>
        <v/>
      </c>
      <c r="AX86" t="str">
        <f ca="1">IF(AND(ISNUMBER($AX$290),$B$208=1),$AX$290,HLOOKUP(INDIRECT(ADDRESS(2,COLUMN())),OFFSET($BN$2,0,0,ROW()-1,60),ROW()-1,FALSE))</f>
        <v/>
      </c>
      <c r="AY86" t="str">
        <f ca="1">IF(AND(ISNUMBER($AY$290),$B$208=1),$AY$290,HLOOKUP(INDIRECT(ADDRESS(2,COLUMN())),OFFSET($BN$2,0,0,ROW()-1,60),ROW()-1,FALSE))</f>
        <v/>
      </c>
      <c r="AZ86" t="str">
        <f ca="1">IF(AND(ISNUMBER($AZ$290),$B$208=1),$AZ$290,HLOOKUP(INDIRECT(ADDRESS(2,COLUMN())),OFFSET($BN$2,0,0,ROW()-1,60),ROW()-1,FALSE))</f>
        <v/>
      </c>
      <c r="BA86" t="str">
        <f ca="1">IF(AND(ISNUMBER($BA$290),$B$208=1),$BA$290,HLOOKUP(INDIRECT(ADDRESS(2,COLUMN())),OFFSET($BN$2,0,0,ROW()-1,60),ROW()-1,FALSE))</f>
        <v/>
      </c>
      <c r="BB86" t="str">
        <f ca="1">IF(AND(ISNUMBER($BB$290),$B$208=1),$BB$290,HLOOKUP(INDIRECT(ADDRESS(2,COLUMN())),OFFSET($BN$2,0,0,ROW()-1,60),ROW()-1,FALSE))</f>
        <v/>
      </c>
      <c r="BC86" t="str">
        <f ca="1">IF(AND(ISNUMBER($BC$290),$B$208=1),$BC$290,HLOOKUP(INDIRECT(ADDRESS(2,COLUMN())),OFFSET($BN$2,0,0,ROW()-1,60),ROW()-1,FALSE))</f>
        <v/>
      </c>
      <c r="BD86" t="str">
        <f ca="1">IF(AND(ISNUMBER($BD$290),$B$208=1),$BD$290,HLOOKUP(INDIRECT(ADDRESS(2,COLUMN())),OFFSET($BN$2,0,0,ROW()-1,60),ROW()-1,FALSE))</f>
        <v/>
      </c>
      <c r="BE86" t="str">
        <f ca="1">IF(AND(ISNUMBER($BE$290),$B$208=1),$BE$290,HLOOKUP(INDIRECT(ADDRESS(2,COLUMN())),OFFSET($BN$2,0,0,ROW()-1,60),ROW()-1,FALSE))</f>
        <v/>
      </c>
      <c r="BF86" t="str">
        <f ca="1">IF(AND(ISNUMBER($BF$290),$B$208=1),$BF$290,HLOOKUP(INDIRECT(ADDRESS(2,COLUMN())),OFFSET($BN$2,0,0,ROW()-1,60),ROW()-1,FALSE))</f>
        <v/>
      </c>
      <c r="BG86" t="str">
        <f ca="1">IF(AND(ISNUMBER($BG$290),$B$208=1),$BG$290,HLOOKUP(INDIRECT(ADDRESS(2,COLUMN())),OFFSET($BN$2,0,0,ROW()-1,60),ROW()-1,FALSE))</f>
        <v/>
      </c>
      <c r="BH86" t="str">
        <f ca="1">IF(AND(ISNUMBER($BH$290),$B$208=1),$BH$290,HLOOKUP(INDIRECT(ADDRESS(2,COLUMN())),OFFSET($BN$2,0,0,ROW()-1,60),ROW()-1,FALSE))</f>
        <v/>
      </c>
      <c r="BI86" t="str">
        <f ca="1">IF(AND(ISNUMBER($BI$290),$B$208=1),$BI$290,HLOOKUP(INDIRECT(ADDRESS(2,COLUMN())),OFFSET($BN$2,0,0,ROW()-1,60),ROW()-1,FALSE))</f>
        <v/>
      </c>
      <c r="BJ86" t="str">
        <f ca="1">IF(AND(ISNUMBER($BJ$290),$B$208=1),$BJ$290,HLOOKUP(INDIRECT(ADDRESS(2,COLUMN())),OFFSET($BN$2,0,0,ROW()-1,60),ROW()-1,FALSE))</f>
        <v/>
      </c>
      <c r="BK86" t="str">
        <f ca="1">IF(AND(ISNUMBER($BK$290),$B$208=1),$BK$290,HLOOKUP(INDIRECT(ADDRESS(2,COLUMN())),OFFSET($BN$2,0,0,ROW()-1,60),ROW()-1,FALSE))</f>
        <v/>
      </c>
      <c r="BL86" t="str">
        <f ca="1">IF(AND(ISNUMBER($BL$290),$B$208=1),$BL$290,HLOOKUP(INDIRECT(ADDRESS(2,COLUMN())),OFFSET($BN$2,0,0,ROW()-1,60),ROW()-1,FALSE))</f>
        <v/>
      </c>
      <c r="BM86" t="str">
        <f ca="1">IF(AND(ISNUMBER($BM$290),$B$208=1),$BM$290,HLOOKUP(INDIRECT(ADDRESS(2,COLUMN())),OFFSET($BN$2,0,0,ROW()-1,60),ROW()-1,FALSE))</f>
        <v/>
      </c>
      <c r="BN86">
        <f>916560</f>
        <v>916560</v>
      </c>
      <c r="BO86" t="str">
        <f>""</f>
        <v/>
      </c>
      <c r="BP86">
        <f>888804</f>
        <v>888804</v>
      </c>
      <c r="BQ86" t="str">
        <f>""</f>
        <v/>
      </c>
      <c r="BR86">
        <f>876213</f>
        <v>876213</v>
      </c>
      <c r="BS86" t="str">
        <f>""</f>
        <v/>
      </c>
      <c r="BT86">
        <f>869971</f>
        <v>869971</v>
      </c>
      <c r="BU86" t="str">
        <f>""</f>
        <v/>
      </c>
      <c r="BV86">
        <f>874508</f>
        <v>874508</v>
      </c>
      <c r="BW86" t="str">
        <f>""</f>
        <v/>
      </c>
      <c r="BX86">
        <f>874320</f>
        <v>874320</v>
      </c>
      <c r="BY86" t="str">
        <f>""</f>
        <v/>
      </c>
      <c r="BZ86">
        <f>833594</f>
        <v>833594</v>
      </c>
      <c r="CA86" t="str">
        <f>""</f>
        <v/>
      </c>
      <c r="CB86">
        <f>846594</f>
        <v>846594</v>
      </c>
      <c r="CC86" t="str">
        <f>""</f>
        <v/>
      </c>
      <c r="CD86">
        <f>829656</f>
        <v>829656</v>
      </c>
      <c r="CE86" t="str">
        <f>""</f>
        <v/>
      </c>
      <c r="CF86">
        <f>849521</f>
        <v>849521</v>
      </c>
      <c r="CG86" t="str">
        <f>""</f>
        <v/>
      </c>
      <c r="CH86">
        <f>825740</f>
        <v>825740</v>
      </c>
      <c r="CI86" t="str">
        <f>""</f>
        <v/>
      </c>
      <c r="CJ86">
        <f>813292</f>
        <v>813292</v>
      </c>
      <c r="CK86" t="str">
        <f>""</f>
        <v/>
      </c>
      <c r="CL86">
        <f>789016</f>
        <v>789016</v>
      </c>
      <c r="CM86" t="str">
        <f>""</f>
        <v/>
      </c>
      <c r="CN86">
        <f>773679</f>
        <v>773679</v>
      </c>
      <c r="CO86" t="str">
        <f>""</f>
        <v/>
      </c>
      <c r="CP86">
        <f>757917</f>
        <v>757917</v>
      </c>
      <c r="CQ86" t="str">
        <f>""</f>
        <v/>
      </c>
      <c r="CR86">
        <f>739148</f>
        <v>739148</v>
      </c>
      <c r="CS86" t="str">
        <f>""</f>
        <v/>
      </c>
      <c r="CT86" t="str">
        <f>""</f>
        <v/>
      </c>
      <c r="CU86" t="str">
        <f>""</f>
        <v/>
      </c>
      <c r="CV86">
        <f>717488</f>
        <v>717488</v>
      </c>
      <c r="CW86" t="str">
        <f>""</f>
        <v/>
      </c>
      <c r="CX86">
        <f>703243</f>
        <v>703243</v>
      </c>
      <c r="CY86" t="str">
        <f>""</f>
        <v/>
      </c>
      <c r="CZ86" t="str">
        <f>""</f>
        <v/>
      </c>
      <c r="DA86" t="str">
        <f>""</f>
        <v/>
      </c>
      <c r="DB86">
        <f>681989</f>
        <v>681989</v>
      </c>
      <c r="DC86" t="str">
        <f>""</f>
        <v/>
      </c>
      <c r="DD86">
        <f>643197</f>
        <v>643197</v>
      </c>
      <c r="DE86" t="str">
        <f>""</f>
        <v/>
      </c>
      <c r="DF86" t="str">
        <f>""</f>
        <v/>
      </c>
      <c r="DG86" t="str">
        <f>""</f>
        <v/>
      </c>
      <c r="DH86" t="str">
        <f>""</f>
        <v/>
      </c>
      <c r="DI86" t="str">
        <f>""</f>
        <v/>
      </c>
      <c r="DJ86" t="str">
        <f>""</f>
        <v/>
      </c>
      <c r="DK86" t="str">
        <f>""</f>
        <v/>
      </c>
      <c r="DL86" t="str">
        <f>""</f>
        <v/>
      </c>
      <c r="DM86" t="str">
        <f>""</f>
        <v/>
      </c>
      <c r="DN86" t="str">
        <f>""</f>
        <v/>
      </c>
      <c r="DO86" t="str">
        <f>""</f>
        <v/>
      </c>
      <c r="DP86" t="str">
        <f>""</f>
        <v/>
      </c>
      <c r="DQ86" t="str">
        <f>""</f>
        <v/>
      </c>
      <c r="DR86" t="str">
        <f>""</f>
        <v/>
      </c>
      <c r="DS86" t="str">
        <f>""</f>
        <v/>
      </c>
      <c r="DT86" t="str">
        <f>""</f>
        <v/>
      </c>
      <c r="DU86" t="str">
        <f>""</f>
        <v/>
      </c>
    </row>
    <row r="87" spans="1:125" x14ac:dyDescent="0.25">
      <c r="A87" t="str">
        <f>"    Banco BPM SpA"</f>
        <v xml:space="preserve">    Banco BPM SpA</v>
      </c>
      <c r="B87" t="str">
        <f>"BAMI IM Equity"</f>
        <v>BAMI IM Equity</v>
      </c>
      <c r="C87" t="str">
        <f t="shared" si="6"/>
        <v>BS017</v>
      </c>
      <c r="D87" t="str">
        <f t="shared" si="7"/>
        <v>BS_CONS_LOAN</v>
      </c>
      <c r="E87" t="str">
        <f t="shared" si="8"/>
        <v>Dynamic</v>
      </c>
      <c r="F87" t="str">
        <f ca="1">IF(AND(ISNUMBER($F$291),$B$208=1),$F$291,HLOOKUP(INDIRECT(ADDRESS(2,COLUMN())),OFFSET($BN$2,0,0,ROW()-1,60),ROW()-1,FALSE))</f>
        <v/>
      </c>
      <c r="G87" t="str">
        <f ca="1">IF(AND(ISNUMBER($G$291),$B$208=1),$G$291,HLOOKUP(INDIRECT(ADDRESS(2,COLUMN())),OFFSET($BN$2,0,0,ROW()-1,60),ROW()-1,FALSE))</f>
        <v/>
      </c>
      <c r="H87">
        <f ca="1">IF(AND(ISNUMBER($H$291),$B$208=1),$H$291,HLOOKUP(INDIRECT(ADDRESS(2,COLUMN())),OFFSET($BN$2,0,0,ROW()-1,60),ROW()-1,FALSE))</f>
        <v>84949.145000000004</v>
      </c>
      <c r="I87" t="str">
        <f ca="1">IF(AND(ISNUMBER($I$291),$B$208=1),$I$291,HLOOKUP(INDIRECT(ADDRESS(2,COLUMN())),OFFSET($BN$2,0,0,ROW()-1,60),ROW()-1,FALSE))</f>
        <v/>
      </c>
      <c r="J87">
        <f ca="1">IF(AND(ISNUMBER($J$291),$B$208=1),$J$291,HLOOKUP(INDIRECT(ADDRESS(2,COLUMN())),OFFSET($BN$2,0,0,ROW()-1,60),ROW()-1,FALSE))</f>
        <v>86610</v>
      </c>
      <c r="K87" t="str">
        <f ca="1">IF(AND(ISNUMBER($K$291),$B$208=1),$K$291,HLOOKUP(INDIRECT(ADDRESS(2,COLUMN())),OFFSET($BN$2,0,0,ROW()-1,60),ROW()-1,FALSE))</f>
        <v/>
      </c>
      <c r="L87">
        <f ca="1">IF(AND(ISNUMBER($L$291),$B$208=1),$L$291,HLOOKUP(INDIRECT(ADDRESS(2,COLUMN())),OFFSET($BN$2,0,0,ROW()-1,60),ROW()-1,FALSE))</f>
        <v>90270.850999999995</v>
      </c>
      <c r="M87" t="str">
        <f ca="1">IF(AND(ISNUMBER($M$291),$B$208=1),$M$291,HLOOKUP(INDIRECT(ADDRESS(2,COLUMN())),OFFSET($BN$2,0,0,ROW()-1,60),ROW()-1,FALSE))</f>
        <v/>
      </c>
      <c r="N87">
        <f ca="1">IF(AND(ISNUMBER($N$291),$B$208=1),$N$291,HLOOKUP(INDIRECT(ADDRESS(2,COLUMN())),OFFSET($BN$2,0,0,ROW()-1,60),ROW()-1,FALSE))</f>
        <v>91559.573999999993</v>
      </c>
      <c r="O87" t="str">
        <f ca="1">IF(AND(ISNUMBER($O$291),$B$208=1),$O$291,HLOOKUP(INDIRECT(ADDRESS(2,COLUMN())),OFFSET($BN$2,0,0,ROW()-1,60),ROW()-1,FALSE))</f>
        <v/>
      </c>
      <c r="P87">
        <f ca="1">IF(AND(ISNUMBER($P$291),$B$208=1),$P$291,HLOOKUP(INDIRECT(ADDRESS(2,COLUMN())),OFFSET($BN$2,0,0,ROW()-1,60),ROW()-1,FALSE))</f>
        <v>92207.303</v>
      </c>
      <c r="Q87" t="str">
        <f ca="1">IF(AND(ISNUMBER($Q$291),$B$208=1),$Q$291,HLOOKUP(INDIRECT(ADDRESS(2,COLUMN())),OFFSET($BN$2,0,0,ROW()-1,60),ROW()-1,FALSE))</f>
        <v/>
      </c>
      <c r="R87">
        <f ca="1">IF(AND(ISNUMBER($R$291),$B$208=1),$R$291,HLOOKUP(INDIRECT(ADDRESS(2,COLUMN())),OFFSET($BN$2,0,0,ROW()-1,60),ROW()-1,FALSE))</f>
        <v>89179.028000000006</v>
      </c>
      <c r="S87" t="str">
        <f ca="1">IF(AND(ISNUMBER($S$291),$B$208=1),$S$291,HLOOKUP(INDIRECT(ADDRESS(2,COLUMN())),OFFSET($BN$2,0,0,ROW()-1,60),ROW()-1,FALSE))</f>
        <v/>
      </c>
      <c r="T87">
        <f ca="1">IF(AND(ISNUMBER($T$291),$B$208=1),$T$291,HLOOKUP(INDIRECT(ADDRESS(2,COLUMN())),OFFSET($BN$2,0,0,ROW()-1,60),ROW()-1,FALSE))</f>
        <v>88940.827000000005</v>
      </c>
      <c r="U87" t="str">
        <f ca="1">IF(AND(ISNUMBER($U$291),$B$208=1),$U$291,HLOOKUP(INDIRECT(ADDRESS(2,COLUMN())),OFFSET($BN$2,0,0,ROW()-1,60),ROW()-1,FALSE))</f>
        <v/>
      </c>
      <c r="V87">
        <f ca="1">IF(AND(ISNUMBER($V$291),$B$208=1),$V$291,HLOOKUP(INDIRECT(ADDRESS(2,COLUMN())),OFFSET($BN$2,0,0,ROW()-1,60),ROW()-1,FALSE))</f>
        <v>86822.320999999996</v>
      </c>
      <c r="W87" t="str">
        <f ca="1">IF(AND(ISNUMBER($W$291),$B$208=1),$W$291,HLOOKUP(INDIRECT(ADDRESS(2,COLUMN())),OFFSET($BN$2,0,0,ROW()-1,60),ROW()-1,FALSE))</f>
        <v/>
      </c>
      <c r="X87">
        <f ca="1">IF(AND(ISNUMBER($X$291),$B$208=1),$X$291,HLOOKUP(INDIRECT(ADDRESS(2,COLUMN())),OFFSET($BN$2,0,0,ROW()-1,60),ROW()-1,FALSE))</f>
        <v>82066.695999999996</v>
      </c>
      <c r="Y87" t="str">
        <f ca="1">IF(AND(ISNUMBER($Y$291),$B$208=1),$Y$291,HLOOKUP(INDIRECT(ADDRESS(2,COLUMN())),OFFSET($BN$2,0,0,ROW()-1,60),ROW()-1,FALSE))</f>
        <v/>
      </c>
      <c r="Z87">
        <f ca="1">IF(AND(ISNUMBER($Z$291),$B$208=1),$Z$291,HLOOKUP(INDIRECT(ADDRESS(2,COLUMN())),OFFSET($BN$2,0,0,ROW()-1,60),ROW()-1,FALSE))</f>
        <v>78707.923999999999</v>
      </c>
      <c r="AA87" t="str">
        <f ca="1">IF(AND(ISNUMBER($AA$291),$B$208=1),$AA$291,HLOOKUP(INDIRECT(ADDRESS(2,COLUMN())),OFFSET($BN$2,0,0,ROW()-1,60),ROW()-1,FALSE))</f>
        <v/>
      </c>
      <c r="AB87">
        <f ca="1">IF(AND(ISNUMBER($AB$291),$B$208=1),$AB$291,HLOOKUP(INDIRECT(ADDRESS(2,COLUMN())),OFFSET($BN$2,0,0,ROW()-1,60),ROW()-1,FALSE))</f>
        <v>76506.846000000005</v>
      </c>
      <c r="AC87" t="str">
        <f ca="1">IF(AND(ISNUMBER($AC$291),$B$208=1),$AC$291,HLOOKUP(INDIRECT(ADDRESS(2,COLUMN())),OFFSET($BN$2,0,0,ROW()-1,60),ROW()-1,FALSE))</f>
        <v/>
      </c>
      <c r="AD87">
        <f ca="1">IF(AND(ISNUMBER($AD$291),$B$208=1),$AD$291,HLOOKUP(INDIRECT(ADDRESS(2,COLUMN())),OFFSET($BN$2,0,0,ROW()-1,60),ROW()-1,FALSE))</f>
        <v>75819.822</v>
      </c>
      <c r="AE87" t="str">
        <f ca="1">IF(AND(ISNUMBER($AE$291),$B$208=1),$AE$291,HLOOKUP(INDIRECT(ADDRESS(2,COLUMN())),OFFSET($BN$2,0,0,ROW()-1,60),ROW()-1,FALSE))</f>
        <v/>
      </c>
      <c r="AF87">
        <f ca="1">IF(AND(ISNUMBER($AF$291),$B$208=1),$AF$291,HLOOKUP(INDIRECT(ADDRESS(2,COLUMN())),OFFSET($BN$2,0,0,ROW()-1,60),ROW()-1,FALSE))</f>
        <v>75106.342000000004</v>
      </c>
      <c r="AG87" t="str">
        <f ca="1">IF(AND(ISNUMBER($AG$291),$B$208=1),$AG$291,HLOOKUP(INDIRECT(ADDRESS(2,COLUMN())),OFFSET($BN$2,0,0,ROW()-1,60),ROW()-1,FALSE))</f>
        <v/>
      </c>
      <c r="AH87">
        <f ca="1">IF(AND(ISNUMBER($AH$291),$B$208=1),$AH$291,HLOOKUP(INDIRECT(ADDRESS(2,COLUMN())),OFFSET($BN$2,0,0,ROW()-1,60),ROW()-1,FALSE))</f>
        <v>78094.652000000002</v>
      </c>
      <c r="AI87" t="str">
        <f ca="1">IF(AND(ISNUMBER($AI$291),$B$208=1),$AI$291,HLOOKUP(INDIRECT(ADDRESS(2,COLUMN())),OFFSET($BN$2,0,0,ROW()-1,60),ROW()-1,FALSE))</f>
        <v/>
      </c>
      <c r="AJ87">
        <f ca="1">IF(AND(ISNUMBER($AJ$291),$B$208=1),$AJ$291,HLOOKUP(INDIRECT(ADDRESS(2,COLUMN())),OFFSET($BN$2,0,0,ROW()-1,60),ROW()-1,FALSE))</f>
        <v>73713.349000000002</v>
      </c>
      <c r="AK87" t="str">
        <f ca="1">IF(AND(ISNUMBER($AK$291),$B$208=1),$AK$291,HLOOKUP(INDIRECT(ADDRESS(2,COLUMN())),OFFSET($BN$2,0,0,ROW()-1,60),ROW()-1,FALSE))</f>
        <v/>
      </c>
      <c r="AL87" t="str">
        <f ca="1">IF(AND(ISNUMBER($AL$291),$B$208=1),$AL$291,HLOOKUP(INDIRECT(ADDRESS(2,COLUMN())),OFFSET($BN$2,0,0,ROW()-1,60),ROW()-1,FALSE))</f>
        <v/>
      </c>
      <c r="AM87" t="str">
        <f ca="1">IF(AND(ISNUMBER($AM$291),$B$208=1),$AM$291,HLOOKUP(INDIRECT(ADDRESS(2,COLUMN())),OFFSET($BN$2,0,0,ROW()-1,60),ROW()-1,FALSE))</f>
        <v/>
      </c>
      <c r="AN87">
        <f ca="1">IF(AND(ISNUMBER($AN$291),$B$208=1),$AN$291,HLOOKUP(INDIRECT(ADDRESS(2,COLUMN())),OFFSET($BN$2,0,0,ROW()-1,60),ROW()-1,FALSE))</f>
        <v>49482.906000000003</v>
      </c>
      <c r="AO87" t="str">
        <f ca="1">IF(AND(ISNUMBER($AO$291),$B$208=1),$AO$291,HLOOKUP(INDIRECT(ADDRESS(2,COLUMN())),OFFSET($BN$2,0,0,ROW()-1,60),ROW()-1,FALSE))</f>
        <v/>
      </c>
      <c r="AP87">
        <f ca="1">IF(AND(ISNUMBER($AP$291),$B$208=1),$AP$291,HLOOKUP(INDIRECT(ADDRESS(2,COLUMN())),OFFSET($BN$2,0,0,ROW()-1,60),ROW()-1,FALSE))</f>
        <v>49974.133999999998</v>
      </c>
      <c r="AQ87">
        <f ca="1">IF(AND(ISNUMBER($AQ$291),$B$208=1),$AQ$291,HLOOKUP(INDIRECT(ADDRESS(2,COLUMN())),OFFSET($BN$2,0,0,ROW()-1,60),ROW()-1,FALSE))</f>
        <v>50719.671999999999</v>
      </c>
      <c r="AR87">
        <f ca="1">IF(AND(ISNUMBER($AR$291),$B$208=1),$AR$291,HLOOKUP(INDIRECT(ADDRESS(2,COLUMN())),OFFSET($BN$2,0,0,ROW()-1,60),ROW()-1,FALSE))</f>
        <v>51440.141000000003</v>
      </c>
      <c r="AS87">
        <f ca="1">IF(AND(ISNUMBER($AS$291),$B$208=1),$AS$291,HLOOKUP(INDIRECT(ADDRESS(2,COLUMN())),OFFSET($BN$2,0,0,ROW()-1,60),ROW()-1,FALSE))</f>
        <v>51038.976000000002</v>
      </c>
      <c r="AT87">
        <f ca="1">IF(AND(ISNUMBER($AT$291),$B$208=1),$AT$291,HLOOKUP(INDIRECT(ADDRESS(2,COLUMN())),OFFSET($BN$2,0,0,ROW()-1,60),ROW()-1,FALSE))</f>
        <v>50205.669000000002</v>
      </c>
      <c r="AU87">
        <f ca="1">IF(AND(ISNUMBER($AU$291),$B$208=1),$AU$291,HLOOKUP(INDIRECT(ADDRESS(2,COLUMN())),OFFSET($BN$2,0,0,ROW()-1,60),ROW()-1,FALSE))</f>
        <v>52322.938000000002</v>
      </c>
      <c r="AV87">
        <f ca="1">IF(AND(ISNUMBER($AV$291),$B$208=1),$AV$291,HLOOKUP(INDIRECT(ADDRESS(2,COLUMN())),OFFSET($BN$2,0,0,ROW()-1,60),ROW()-1,FALSE))</f>
        <v>53614.652999999998</v>
      </c>
      <c r="AW87">
        <f ca="1">IF(AND(ISNUMBER($AW$291),$B$208=1),$AW$291,HLOOKUP(INDIRECT(ADDRESS(2,COLUMN())),OFFSET($BN$2,0,0,ROW()-1,60),ROW()-1,FALSE))</f>
        <v>54478.824999999997</v>
      </c>
      <c r="AX87">
        <f ca="1">IF(AND(ISNUMBER($AX$291),$B$208=1),$AX$291,HLOOKUP(INDIRECT(ADDRESS(2,COLUMN())),OFFSET($BN$2,0,0,ROW()-1,60),ROW()-1,FALSE))</f>
        <v>54559.659</v>
      </c>
      <c r="AY87">
        <f ca="1">IF(AND(ISNUMBER($AY$291),$B$208=1),$AY$291,HLOOKUP(INDIRECT(ADDRESS(2,COLUMN())),OFFSET($BN$2,0,0,ROW()-1,60),ROW()-1,FALSE))</f>
        <v>56020.805999999997</v>
      </c>
      <c r="AZ87">
        <f ca="1">IF(AND(ISNUMBER($AZ$291),$B$208=1),$AZ$291,HLOOKUP(INDIRECT(ADDRESS(2,COLUMN())),OFFSET($BN$2,0,0,ROW()-1,60),ROW()-1,FALSE))</f>
        <v>56771.413999999997</v>
      </c>
      <c r="BA87">
        <f ca="1">IF(AND(ISNUMBER($BA$291),$B$208=1),$BA$291,HLOOKUP(INDIRECT(ADDRESS(2,COLUMN())),OFFSET($BN$2,0,0,ROW()-1,60),ROW()-1,FALSE))</f>
        <v>57324.925000000003</v>
      </c>
      <c r="BB87">
        <f ca="1">IF(AND(ISNUMBER($BB$291),$B$208=1),$BB$291,HLOOKUP(INDIRECT(ADDRESS(2,COLUMN())),OFFSET($BN$2,0,0,ROW()-1,60),ROW()-1,FALSE))</f>
        <v>58253.516000000003</v>
      </c>
      <c r="BC87">
        <f ca="1">IF(AND(ISNUMBER($BC$291),$B$208=1),$BC$291,HLOOKUP(INDIRECT(ADDRESS(2,COLUMN())),OFFSET($BN$2,0,0,ROW()-1,60),ROW()-1,FALSE))</f>
        <v>58683.571000000004</v>
      </c>
      <c r="BD87">
        <f ca="1">IF(AND(ISNUMBER($BD$291),$B$208=1),$BD$291,HLOOKUP(INDIRECT(ADDRESS(2,COLUMN())),OFFSET($BN$2,0,0,ROW()-1,60),ROW()-1,FALSE))</f>
        <v>59829.540999999997</v>
      </c>
      <c r="BE87">
        <f ca="1">IF(AND(ISNUMBER($BE$291),$B$208=1),$BE$291,HLOOKUP(INDIRECT(ADDRESS(2,COLUMN())),OFFSET($BN$2,0,0,ROW()-1,60),ROW()-1,FALSE))</f>
        <v>60816.735999999997</v>
      </c>
      <c r="BF87">
        <f ca="1">IF(AND(ISNUMBER($BF$291),$B$208=1),$BF$291,HLOOKUP(INDIRECT(ADDRESS(2,COLUMN())),OFFSET($BN$2,0,0,ROW()-1,60),ROW()-1,FALSE))</f>
        <v>61901.678999999996</v>
      </c>
      <c r="BG87">
        <f ca="1">IF(AND(ISNUMBER($BG$291),$B$208=1),$BG$291,HLOOKUP(INDIRECT(ADDRESS(2,COLUMN())),OFFSET($BN$2,0,0,ROW()-1,60),ROW()-1,FALSE))</f>
        <v>63028.372000000003</v>
      </c>
      <c r="BH87">
        <f ca="1">IF(AND(ISNUMBER($BH$291),$B$208=1),$BH$291,HLOOKUP(INDIRECT(ADDRESS(2,COLUMN())),OFFSET($BN$2,0,0,ROW()-1,60),ROW()-1,FALSE))</f>
        <v>63959.446000000004</v>
      </c>
      <c r="BI87">
        <f ca="1">IF(AND(ISNUMBER($BI$291),$B$208=1),$BI$291,HLOOKUP(INDIRECT(ADDRESS(2,COLUMN())),OFFSET($BN$2,0,0,ROW()-1,60),ROW()-1,FALSE))</f>
        <v>63989.58</v>
      </c>
      <c r="BJ87">
        <f ca="1">IF(AND(ISNUMBER($BJ$291),$B$208=1),$BJ$291,HLOOKUP(INDIRECT(ADDRESS(2,COLUMN())),OFFSET($BN$2,0,0,ROW()-1,60),ROW()-1,FALSE))</f>
        <v>62395.552000000003</v>
      </c>
      <c r="BK87">
        <f ca="1">IF(AND(ISNUMBER($BK$291),$B$208=1),$BK$291,HLOOKUP(INDIRECT(ADDRESS(2,COLUMN())),OFFSET($BN$2,0,0,ROW()-1,60),ROW()-1,FALSE))</f>
        <v>62137.050999999999</v>
      </c>
      <c r="BL87">
        <f ca="1">IF(AND(ISNUMBER($BL$291),$B$208=1),$BL$291,HLOOKUP(INDIRECT(ADDRESS(2,COLUMN())),OFFSET($BN$2,0,0,ROW()-1,60),ROW()-1,FALSE))</f>
        <v>62373.406000000003</v>
      </c>
      <c r="BM87">
        <f ca="1">IF(AND(ISNUMBER($BM$291),$B$208=1),$BM$291,HLOOKUP(INDIRECT(ADDRESS(2,COLUMN())),OFFSET($BN$2,0,0,ROW()-1,60),ROW()-1,FALSE))</f>
        <v>60677.786</v>
      </c>
      <c r="BN87" t="str">
        <f>""</f>
        <v/>
      </c>
      <c r="BO87" t="str">
        <f>""</f>
        <v/>
      </c>
      <c r="BP87">
        <f>84949.145</f>
        <v>84949.145000000004</v>
      </c>
      <c r="BQ87" t="str">
        <f>""</f>
        <v/>
      </c>
      <c r="BR87">
        <f>86610</f>
        <v>86610</v>
      </c>
      <c r="BS87" t="str">
        <f>""</f>
        <v/>
      </c>
      <c r="BT87">
        <f>90270.851</f>
        <v>90270.850999999995</v>
      </c>
      <c r="BU87" t="str">
        <f>""</f>
        <v/>
      </c>
      <c r="BV87">
        <f>91559.574</f>
        <v>91559.573999999993</v>
      </c>
      <c r="BW87" t="str">
        <f>""</f>
        <v/>
      </c>
      <c r="BX87">
        <f>92207.303</f>
        <v>92207.303</v>
      </c>
      <c r="BY87" t="str">
        <f>""</f>
        <v/>
      </c>
      <c r="BZ87">
        <f>89179.028</f>
        <v>89179.028000000006</v>
      </c>
      <c r="CA87" t="str">
        <f>""</f>
        <v/>
      </c>
      <c r="CB87">
        <f>88940.827</f>
        <v>88940.827000000005</v>
      </c>
      <c r="CC87" t="str">
        <f>""</f>
        <v/>
      </c>
      <c r="CD87">
        <f>86822.321</f>
        <v>86822.320999999996</v>
      </c>
      <c r="CE87" t="str">
        <f>""</f>
        <v/>
      </c>
      <c r="CF87">
        <f>82066.696</f>
        <v>82066.695999999996</v>
      </c>
      <c r="CG87" t="str">
        <f>""</f>
        <v/>
      </c>
      <c r="CH87">
        <f>78707.924</f>
        <v>78707.923999999999</v>
      </c>
      <c r="CI87" t="str">
        <f>""</f>
        <v/>
      </c>
      <c r="CJ87">
        <f>76506.846</f>
        <v>76506.846000000005</v>
      </c>
      <c r="CK87" t="str">
        <f>""</f>
        <v/>
      </c>
      <c r="CL87">
        <f>75819.822</f>
        <v>75819.822</v>
      </c>
      <c r="CM87" t="str">
        <f>""</f>
        <v/>
      </c>
      <c r="CN87">
        <f>75106.342</f>
        <v>75106.342000000004</v>
      </c>
      <c r="CO87" t="str">
        <f>""</f>
        <v/>
      </c>
      <c r="CP87">
        <f>78094.652</f>
        <v>78094.652000000002</v>
      </c>
      <c r="CQ87" t="str">
        <f>""</f>
        <v/>
      </c>
      <c r="CR87">
        <f>73713.349</f>
        <v>73713.349000000002</v>
      </c>
      <c r="CS87" t="str">
        <f>""</f>
        <v/>
      </c>
      <c r="CT87" t="str">
        <f>""</f>
        <v/>
      </c>
      <c r="CU87" t="str">
        <f>""</f>
        <v/>
      </c>
      <c r="CV87">
        <f>49482.906</f>
        <v>49482.906000000003</v>
      </c>
      <c r="CW87" t="str">
        <f>""</f>
        <v/>
      </c>
      <c r="CX87">
        <f>49974.134</f>
        <v>49974.133999999998</v>
      </c>
      <c r="CY87">
        <f>50719.672</f>
        <v>50719.671999999999</v>
      </c>
      <c r="CZ87">
        <f>51440.141</f>
        <v>51440.141000000003</v>
      </c>
      <c r="DA87">
        <f>51038.976</f>
        <v>51038.976000000002</v>
      </c>
      <c r="DB87">
        <f>50205.669</f>
        <v>50205.669000000002</v>
      </c>
      <c r="DC87">
        <f>52322.938</f>
        <v>52322.938000000002</v>
      </c>
      <c r="DD87">
        <f>53614.653</f>
        <v>53614.652999999998</v>
      </c>
      <c r="DE87">
        <f>54478.825</f>
        <v>54478.824999999997</v>
      </c>
      <c r="DF87">
        <f>54559.659</f>
        <v>54559.659</v>
      </c>
      <c r="DG87">
        <f>56020.806</f>
        <v>56020.805999999997</v>
      </c>
      <c r="DH87">
        <f>56771.414</f>
        <v>56771.413999999997</v>
      </c>
      <c r="DI87">
        <f>57324.925</f>
        <v>57324.925000000003</v>
      </c>
      <c r="DJ87">
        <f>58253.516</f>
        <v>58253.516000000003</v>
      </c>
      <c r="DK87">
        <f>58683.571</f>
        <v>58683.571000000004</v>
      </c>
      <c r="DL87">
        <f>59829.541</f>
        <v>59829.540999999997</v>
      </c>
      <c r="DM87">
        <f>60816.736</f>
        <v>60816.735999999997</v>
      </c>
      <c r="DN87">
        <f>61901.679</f>
        <v>61901.678999999996</v>
      </c>
      <c r="DO87">
        <f>63028.372</f>
        <v>63028.372000000003</v>
      </c>
      <c r="DP87">
        <f>63959.446</f>
        <v>63959.446000000004</v>
      </c>
      <c r="DQ87">
        <f>63989.58</f>
        <v>63989.58</v>
      </c>
      <c r="DR87">
        <f>62395.552</f>
        <v>62395.552000000003</v>
      </c>
      <c r="DS87">
        <f>62137.051</f>
        <v>62137.050999999999</v>
      </c>
      <c r="DT87">
        <f>62373.406</f>
        <v>62373.406000000003</v>
      </c>
      <c r="DU87">
        <f>60677.786</f>
        <v>60677.786</v>
      </c>
    </row>
    <row r="88" spans="1:125" x14ac:dyDescent="0.25">
      <c r="A88" t="str">
        <f>"    Banco Bilbao Vizcaya Argentaria SA"</f>
        <v xml:space="preserve">    Banco Bilbao Vizcaya Argentaria SA</v>
      </c>
      <c r="B88" t="str">
        <f>"BBVA SM Equity"</f>
        <v>BBVA SM Equity</v>
      </c>
      <c r="C88" t="str">
        <f t="shared" si="6"/>
        <v>BS017</v>
      </c>
      <c r="D88" t="str">
        <f t="shared" si="7"/>
        <v>BS_CONS_LOAN</v>
      </c>
      <c r="E88" t="str">
        <f t="shared" si="8"/>
        <v>Dynamic</v>
      </c>
      <c r="F88">
        <f ca="1">IF(AND(ISNUMBER($F$292),$B$208=1),$F$292,HLOOKUP(INDIRECT(ADDRESS(2,COLUMN())),OFFSET($BN$2,0,0,ROW()-1,60),ROW()-1,FALSE))</f>
        <v>384431</v>
      </c>
      <c r="G88">
        <f ca="1">IF(AND(ISNUMBER($G$292),$B$208=1),$G$292,HLOOKUP(INDIRECT(ADDRESS(2,COLUMN())),OFFSET($BN$2,0,0,ROW()-1,60),ROW()-1,FALSE))</f>
        <v>158697</v>
      </c>
      <c r="H88">
        <f ca="1">IF(AND(ISNUMBER($H$292),$B$208=1),$H$292,HLOOKUP(INDIRECT(ADDRESS(2,COLUMN())),OFFSET($BN$2,0,0,ROW()-1,60),ROW()-1,FALSE))</f>
        <v>161807</v>
      </c>
      <c r="I88">
        <f ca="1">IF(AND(ISNUMBER($I$292),$B$208=1),$I$292,HLOOKUP(INDIRECT(ADDRESS(2,COLUMN())),OFFSET($BN$2,0,0,ROW()-1,60),ROW()-1,FALSE))</f>
        <v>161878</v>
      </c>
      <c r="J88">
        <f ca="1">IF(AND(ISNUMBER($J$292),$B$208=1),$J$292,HLOOKUP(INDIRECT(ADDRESS(2,COLUMN())),OFFSET($BN$2,0,0,ROW()-1,60),ROW()-1,FALSE))</f>
        <v>205562</v>
      </c>
      <c r="K88">
        <f ca="1">IF(AND(ISNUMBER($K$292),$B$208=1),$K$292,HLOOKUP(INDIRECT(ADDRESS(2,COLUMN())),OFFSET($BN$2,0,0,ROW()-1,60),ROW()-1,FALSE))</f>
        <v>153328</v>
      </c>
      <c r="L88">
        <f ca="1">IF(AND(ISNUMBER($L$292),$B$208=1),$L$292,HLOOKUP(INDIRECT(ADDRESS(2,COLUMN())),OFFSET($BN$2,0,0,ROW()-1,60),ROW()-1,FALSE))</f>
        <v>151247</v>
      </c>
      <c r="M88">
        <f ca="1">IF(AND(ISNUMBER($M$292),$B$208=1),$M$292,HLOOKUP(INDIRECT(ADDRESS(2,COLUMN())),OFFSET($BN$2,0,0,ROW()-1,60),ROW()-1,FALSE))</f>
        <v>148659</v>
      </c>
      <c r="N88">
        <f ca="1">IF(AND(ISNUMBER($N$292),$B$208=1),$N$292,HLOOKUP(INDIRECT(ADDRESS(2,COLUMN())),OFFSET($BN$2,0,0,ROW()-1,60),ROW()-1,FALSE))</f>
        <v>190528</v>
      </c>
      <c r="O88">
        <f ca="1">IF(AND(ISNUMBER($O$292),$B$208=1),$O$292,HLOOKUP(INDIRECT(ADDRESS(2,COLUMN())),OFFSET($BN$2,0,0,ROW()-1,60),ROW()-1,FALSE))</f>
        <v>146024</v>
      </c>
      <c r="P88">
        <f ca="1">IF(AND(ISNUMBER($P$292),$B$208=1),$P$292,HLOOKUP(INDIRECT(ADDRESS(2,COLUMN())),OFFSET($BN$2,0,0,ROW()-1,60),ROW()-1,FALSE))</f>
        <v>143125</v>
      </c>
      <c r="Q88">
        <f ca="1">IF(AND(ISNUMBER($Q$292),$B$208=1),$Q$292,HLOOKUP(INDIRECT(ADDRESS(2,COLUMN())),OFFSET($BN$2,0,0,ROW()-1,60),ROW()-1,FALSE))</f>
        <v>138769</v>
      </c>
      <c r="R88">
        <f ca="1">IF(AND(ISNUMBER($R$292),$B$208=1),$R$292,HLOOKUP(INDIRECT(ADDRESS(2,COLUMN())),OFFSET($BN$2,0,0,ROW()-1,60),ROW()-1,FALSE))</f>
        <v>175680</v>
      </c>
      <c r="S88">
        <f ca="1">IF(AND(ISNUMBER($S$292),$B$208=1),$S$292,HLOOKUP(INDIRECT(ADDRESS(2,COLUMN())),OFFSET($BN$2,0,0,ROW()-1,60),ROW()-1,FALSE))</f>
        <v>136628</v>
      </c>
      <c r="T88">
        <f ca="1">IF(AND(ISNUMBER($T$292),$B$208=1),$T$292,HLOOKUP(INDIRECT(ADDRESS(2,COLUMN())),OFFSET($BN$2,0,0,ROW()-1,60),ROW()-1,FALSE))</f>
        <v>134669</v>
      </c>
      <c r="U88">
        <f ca="1">IF(AND(ISNUMBER($U$292),$B$208=1),$U$292,HLOOKUP(INDIRECT(ADDRESS(2,COLUMN())),OFFSET($BN$2,0,0,ROW()-1,60),ROW()-1,FALSE))</f>
        <v>133241</v>
      </c>
      <c r="V88">
        <f ca="1">IF(AND(ISNUMBER($V$292),$B$208=1),$V$292,HLOOKUP(INDIRECT(ADDRESS(2,COLUMN())),OFFSET($BN$2,0,0,ROW()-1,60),ROW()-1,FALSE))</f>
        <v>175024</v>
      </c>
      <c r="W88">
        <f ca="1">IF(AND(ISNUMBER($W$292),$B$208=1),$W$292,HLOOKUP(INDIRECT(ADDRESS(2,COLUMN())),OFFSET($BN$2,0,0,ROW()-1,60),ROW()-1,FALSE))</f>
        <v>149749</v>
      </c>
      <c r="X88">
        <f ca="1">IF(AND(ISNUMBER($X$292),$B$208=1),$X$292,HLOOKUP(INDIRECT(ADDRESS(2,COLUMN())),OFFSET($BN$2,0,0,ROW()-1,60),ROW()-1,FALSE))</f>
        <v>153077</v>
      </c>
      <c r="Y88">
        <f ca="1">IF(AND(ISNUMBER($Y$292),$B$208=1),$Y$292,HLOOKUP(INDIRECT(ADDRESS(2,COLUMN())),OFFSET($BN$2,0,0,ROW()-1,60),ROW()-1,FALSE))</f>
        <v>134336</v>
      </c>
      <c r="Z88">
        <f ca="1">IF(AND(ISNUMBER($Z$292),$B$208=1),$Z$292,HLOOKUP(INDIRECT(ADDRESS(2,COLUMN())),OFFSET($BN$2,0,0,ROW()-1,60),ROW()-1,FALSE))</f>
        <v>212629</v>
      </c>
      <c r="AA88">
        <f ca="1">IF(AND(ISNUMBER($AA$292),$B$208=1),$AA$292,HLOOKUP(INDIRECT(ADDRESS(2,COLUMN())),OFFSET($BN$2,0,0,ROW()-1,60),ROW()-1,FALSE))</f>
        <v>160571</v>
      </c>
      <c r="AB88">
        <f ca="1">IF(AND(ISNUMBER($AB$292),$B$208=1),$AB$292,HLOOKUP(INDIRECT(ADDRESS(2,COLUMN())),OFFSET($BN$2,0,0,ROW()-1,60),ROW()-1,FALSE))</f>
        <v>161249</v>
      </c>
      <c r="AC88">
        <f ca="1">IF(AND(ISNUMBER($AC$292),$B$208=1),$AC$292,HLOOKUP(INDIRECT(ADDRESS(2,COLUMN())),OFFSET($BN$2,0,0,ROW()-1,60),ROW()-1,FALSE))</f>
        <v>161575</v>
      </c>
      <c r="AD88">
        <f ca="1">IF(AND(ISNUMBER($AD$292),$B$208=1),$AD$292,HLOOKUP(INDIRECT(ADDRESS(2,COLUMN())),OFFSET($BN$2,0,0,ROW()-1,60),ROW()-1,FALSE))</f>
        <v>159974</v>
      </c>
      <c r="AE88">
        <f ca="1">IF(AND(ISNUMBER($AE$292),$B$208=1),$AE$292,HLOOKUP(INDIRECT(ADDRESS(2,COLUMN())),OFFSET($BN$2,0,0,ROW()-1,60),ROW()-1,FALSE))</f>
        <v>169594</v>
      </c>
      <c r="AF88">
        <f ca="1">IF(AND(ISNUMBER($AF$292),$B$208=1),$AF$292,HLOOKUP(INDIRECT(ADDRESS(2,COLUMN())),OFFSET($BN$2,0,0,ROW()-1,60),ROW()-1,FALSE))</f>
        <v>153100</v>
      </c>
      <c r="AG88">
        <f ca="1">IF(AND(ISNUMBER($AG$292),$B$208=1),$AG$292,HLOOKUP(INDIRECT(ADDRESS(2,COLUMN())),OFFSET($BN$2,0,0,ROW()-1,60),ROW()-1,FALSE))</f>
        <v>137382</v>
      </c>
      <c r="AH88">
        <f ca="1">IF(AND(ISNUMBER($AH$292),$B$208=1),$AH$292,HLOOKUP(INDIRECT(ADDRESS(2,COLUMN())),OFFSET($BN$2,0,0,ROW()-1,60),ROW()-1,FALSE))</f>
        <v>159780</v>
      </c>
      <c r="AI88">
        <f ca="1">IF(AND(ISNUMBER($AI$292),$B$208=1),$AI$292,HLOOKUP(INDIRECT(ADDRESS(2,COLUMN())),OFFSET($BN$2,0,0,ROW()-1,60),ROW()-1,FALSE))</f>
        <v>169245</v>
      </c>
      <c r="AJ88">
        <f ca="1">IF(AND(ISNUMBER($AJ$292),$B$208=1),$AJ$292,HLOOKUP(INDIRECT(ADDRESS(2,COLUMN())),OFFSET($BN$2,0,0,ROW()-1,60),ROW()-1,FALSE))</f>
        <v>169948</v>
      </c>
      <c r="AK88">
        <f ca="1">IF(AND(ISNUMBER($AK$292),$B$208=1),$AK$292,HLOOKUP(INDIRECT(ADDRESS(2,COLUMN())),OFFSET($BN$2,0,0,ROW()-1,60),ROW()-1,FALSE))</f>
        <v>173167</v>
      </c>
      <c r="AL88">
        <f ca="1">IF(AND(ISNUMBER($AL$292),$B$208=1),$AL$292,HLOOKUP(INDIRECT(ADDRESS(2,COLUMN())),OFFSET($BN$2,0,0,ROW()-1,60),ROW()-1,FALSE))</f>
        <v>226549</v>
      </c>
      <c r="AM88">
        <f ca="1">IF(AND(ISNUMBER($AM$292),$B$208=1),$AM$292,HLOOKUP(INDIRECT(ADDRESS(2,COLUMN())),OFFSET($BN$2,0,0,ROW()-1,60),ROW()-1,FALSE))</f>
        <v>171775</v>
      </c>
      <c r="AN88">
        <f ca="1">IF(AND(ISNUMBER($AN$292),$B$208=1),$AN$292,HLOOKUP(INDIRECT(ADDRESS(2,COLUMN())),OFFSET($BN$2,0,0,ROW()-1,60),ROW()-1,FALSE))</f>
        <v>177350</v>
      </c>
      <c r="AO88">
        <f ca="1">IF(AND(ISNUMBER($AO$292),$B$208=1),$AO$292,HLOOKUP(INDIRECT(ADDRESS(2,COLUMN())),OFFSET($BN$2,0,0,ROW()-1,60),ROW()-1,FALSE))</f>
        <v>175462</v>
      </c>
      <c r="AP88">
        <f ca="1">IF(AND(ISNUMBER($AP$292),$B$208=1),$AP$292,HLOOKUP(INDIRECT(ADDRESS(2,COLUMN())),OFFSET($BN$2,0,0,ROW()-1,60),ROW()-1,FALSE))</f>
        <v>225636</v>
      </c>
      <c r="AQ88">
        <f ca="1">IF(AND(ISNUMBER($AQ$292),$B$208=1),$AQ$292,HLOOKUP(INDIRECT(ADDRESS(2,COLUMN())),OFFSET($BN$2,0,0,ROW()-1,60),ROW()-1,FALSE))</f>
        <v>177935</v>
      </c>
      <c r="AR88">
        <f ca="1">IF(AND(ISNUMBER($AR$292),$B$208=1),$AR$292,HLOOKUP(INDIRECT(ADDRESS(2,COLUMN())),OFFSET($BN$2,0,0,ROW()-1,60),ROW()-1,FALSE))</f>
        <v>181356</v>
      </c>
      <c r="AS88">
        <f ca="1">IF(AND(ISNUMBER($AS$292),$B$208=1),$AS$292,HLOOKUP(INDIRECT(ADDRESS(2,COLUMN())),OFFSET($BN$2,0,0,ROW()-1,60),ROW()-1,FALSE))</f>
        <v>160938</v>
      </c>
      <c r="AT88">
        <f ca="1">IF(AND(ISNUMBER($AT$292),$B$208=1),$AT$292,HLOOKUP(INDIRECT(ADDRESS(2,COLUMN())),OFFSET($BN$2,0,0,ROW()-1,60),ROW()-1,FALSE))</f>
        <v>157477</v>
      </c>
      <c r="AU88">
        <f ca="1">IF(AND(ISNUMBER($AU$292),$B$208=1),$AU$292,HLOOKUP(INDIRECT(ADDRESS(2,COLUMN())),OFFSET($BN$2,0,0,ROW()-1,60),ROW()-1,FALSE))</f>
        <v>162301</v>
      </c>
      <c r="AV88">
        <f ca="1">IF(AND(ISNUMBER($AV$292),$B$208=1),$AV$292,HLOOKUP(INDIRECT(ADDRESS(2,COLUMN())),OFFSET($BN$2,0,0,ROW()-1,60),ROW()-1,FALSE))</f>
        <v>167789</v>
      </c>
      <c r="AW88">
        <f ca="1">IF(AND(ISNUMBER($AW$292),$B$208=1),$AW$292,HLOOKUP(INDIRECT(ADDRESS(2,COLUMN())),OFFSET($BN$2,0,0,ROW()-1,60),ROW()-1,FALSE))</f>
        <v>168460</v>
      </c>
      <c r="AX88">
        <f ca="1">IF(AND(ISNUMBER($AX$292),$B$208=1),$AX$292,HLOOKUP(INDIRECT(ADDRESS(2,COLUMN())),OFFSET($BN$2,0,0,ROW()-1,60),ROW()-1,FALSE))</f>
        <v>149891</v>
      </c>
      <c r="AY88" t="str">
        <f ca="1">IF(AND(ISNUMBER($AY$292),$B$208=1),$AY$292,HLOOKUP(INDIRECT(ADDRESS(2,COLUMN())),OFFSET($BN$2,0,0,ROW()-1,60),ROW()-1,FALSE))</f>
        <v/>
      </c>
      <c r="AZ88">
        <f ca="1">IF(AND(ISNUMBER($AZ$292),$B$208=1),$AZ$292,HLOOKUP(INDIRECT(ADDRESS(2,COLUMN())),OFFSET($BN$2,0,0,ROW()-1,60),ROW()-1,FALSE))</f>
        <v>186513</v>
      </c>
      <c r="BA88">
        <f ca="1">IF(AND(ISNUMBER($BA$292),$B$208=1),$BA$292,HLOOKUP(INDIRECT(ADDRESS(2,COLUMN())),OFFSET($BN$2,0,0,ROW()-1,60),ROW()-1,FALSE))</f>
        <v>192543</v>
      </c>
      <c r="BB88">
        <f ca="1">IF(AND(ISNUMBER($BB$292),$B$208=1),$BB$292,HLOOKUP(INDIRECT(ADDRESS(2,COLUMN())),OFFSET($BN$2,0,0,ROW()-1,60),ROW()-1,FALSE))</f>
        <v>151243</v>
      </c>
      <c r="BC88" t="str">
        <f ca="1">IF(AND(ISNUMBER($BC$292),$B$208=1),$BC$292,HLOOKUP(INDIRECT(ADDRESS(2,COLUMN())),OFFSET($BN$2,0,0,ROW()-1,60),ROW()-1,FALSE))</f>
        <v/>
      </c>
      <c r="BD88" t="str">
        <f ca="1">IF(AND(ISNUMBER($BD$292),$B$208=1),$BD$292,HLOOKUP(INDIRECT(ADDRESS(2,COLUMN())),OFFSET($BN$2,0,0,ROW()-1,60),ROW()-1,FALSE))</f>
        <v/>
      </c>
      <c r="BE88" t="str">
        <f ca="1">IF(AND(ISNUMBER($BE$292),$B$208=1),$BE$292,HLOOKUP(INDIRECT(ADDRESS(2,COLUMN())),OFFSET($BN$2,0,0,ROW()-1,60),ROW()-1,FALSE))</f>
        <v/>
      </c>
      <c r="BF88">
        <f ca="1">IF(AND(ISNUMBER($BF$292),$B$208=1),$BF$292,HLOOKUP(INDIRECT(ADDRESS(2,COLUMN())),OFFSET($BN$2,0,0,ROW()-1,60),ROW()-1,FALSE))</f>
        <v>139063</v>
      </c>
      <c r="BG88" t="str">
        <f ca="1">IF(AND(ISNUMBER($BG$292),$B$208=1),$BG$292,HLOOKUP(INDIRECT(ADDRESS(2,COLUMN())),OFFSET($BN$2,0,0,ROW()-1,60),ROW()-1,FALSE))</f>
        <v/>
      </c>
      <c r="BH88" t="str">
        <f ca="1">IF(AND(ISNUMBER($BH$292),$B$208=1),$BH$292,HLOOKUP(INDIRECT(ADDRESS(2,COLUMN())),OFFSET($BN$2,0,0,ROW()-1,60),ROW()-1,FALSE))</f>
        <v/>
      </c>
      <c r="BI88" t="str">
        <f ca="1">IF(AND(ISNUMBER($BI$292),$B$208=1),$BI$292,HLOOKUP(INDIRECT(ADDRESS(2,COLUMN())),OFFSET($BN$2,0,0,ROW()-1,60),ROW()-1,FALSE))</f>
        <v/>
      </c>
      <c r="BJ88">
        <f ca="1">IF(AND(ISNUMBER($BJ$292),$B$208=1),$BJ$292,HLOOKUP(INDIRECT(ADDRESS(2,COLUMN())),OFFSET($BN$2,0,0,ROW()-1,60),ROW()-1,FALSE))</f>
        <v>135868</v>
      </c>
      <c r="BK88" t="str">
        <f ca="1">IF(AND(ISNUMBER($BK$292),$B$208=1),$BK$292,HLOOKUP(INDIRECT(ADDRESS(2,COLUMN())),OFFSET($BN$2,0,0,ROW()-1,60),ROW()-1,FALSE))</f>
        <v/>
      </c>
      <c r="BL88" t="str">
        <f ca="1">IF(AND(ISNUMBER($BL$292),$B$208=1),$BL$292,HLOOKUP(INDIRECT(ADDRESS(2,COLUMN())),OFFSET($BN$2,0,0,ROW()-1,60),ROW()-1,FALSE))</f>
        <v/>
      </c>
      <c r="BM88" t="str">
        <f ca="1">IF(AND(ISNUMBER($BM$292),$B$208=1),$BM$292,HLOOKUP(INDIRECT(ADDRESS(2,COLUMN())),OFFSET($BN$2,0,0,ROW()-1,60),ROW()-1,FALSE))</f>
        <v/>
      </c>
      <c r="BN88">
        <f>384431</f>
        <v>384431</v>
      </c>
      <c r="BO88">
        <f>158697</f>
        <v>158697</v>
      </c>
      <c r="BP88">
        <f>161807</f>
        <v>161807</v>
      </c>
      <c r="BQ88">
        <f>161878</f>
        <v>161878</v>
      </c>
      <c r="BR88">
        <f>205562</f>
        <v>205562</v>
      </c>
      <c r="BS88">
        <f>153328</f>
        <v>153328</v>
      </c>
      <c r="BT88">
        <f>151247</f>
        <v>151247</v>
      </c>
      <c r="BU88">
        <f>148659</f>
        <v>148659</v>
      </c>
      <c r="BV88">
        <f>190528</f>
        <v>190528</v>
      </c>
      <c r="BW88">
        <f>146024</f>
        <v>146024</v>
      </c>
      <c r="BX88">
        <f>143125</f>
        <v>143125</v>
      </c>
      <c r="BY88">
        <f>138769</f>
        <v>138769</v>
      </c>
      <c r="BZ88">
        <f>175680</f>
        <v>175680</v>
      </c>
      <c r="CA88">
        <f>136628</f>
        <v>136628</v>
      </c>
      <c r="CB88">
        <f>134669</f>
        <v>134669</v>
      </c>
      <c r="CC88">
        <f>133241</f>
        <v>133241</v>
      </c>
      <c r="CD88">
        <f>175024</f>
        <v>175024</v>
      </c>
      <c r="CE88">
        <f>149749</f>
        <v>149749</v>
      </c>
      <c r="CF88">
        <f>153077</f>
        <v>153077</v>
      </c>
      <c r="CG88">
        <f>134336</f>
        <v>134336</v>
      </c>
      <c r="CH88">
        <f>212629</f>
        <v>212629</v>
      </c>
      <c r="CI88">
        <f>160571</f>
        <v>160571</v>
      </c>
      <c r="CJ88">
        <f>161249</f>
        <v>161249</v>
      </c>
      <c r="CK88">
        <f>161575</f>
        <v>161575</v>
      </c>
      <c r="CL88">
        <f>159974</f>
        <v>159974</v>
      </c>
      <c r="CM88">
        <f>169594</f>
        <v>169594</v>
      </c>
      <c r="CN88">
        <f>153100</f>
        <v>153100</v>
      </c>
      <c r="CO88">
        <f>137382</f>
        <v>137382</v>
      </c>
      <c r="CP88">
        <f>159780</f>
        <v>159780</v>
      </c>
      <c r="CQ88">
        <f>169245</f>
        <v>169245</v>
      </c>
      <c r="CR88">
        <f>169948</f>
        <v>169948</v>
      </c>
      <c r="CS88">
        <f>173167</f>
        <v>173167</v>
      </c>
      <c r="CT88">
        <f>226549</f>
        <v>226549</v>
      </c>
      <c r="CU88">
        <f>171775</f>
        <v>171775</v>
      </c>
      <c r="CV88">
        <f>177350</f>
        <v>177350</v>
      </c>
      <c r="CW88">
        <f>175462</f>
        <v>175462</v>
      </c>
      <c r="CX88">
        <f>225636</f>
        <v>225636</v>
      </c>
      <c r="CY88">
        <f>177935</f>
        <v>177935</v>
      </c>
      <c r="CZ88">
        <f>181356</f>
        <v>181356</v>
      </c>
      <c r="DA88">
        <f>160938</f>
        <v>160938</v>
      </c>
      <c r="DB88">
        <f>157477</f>
        <v>157477</v>
      </c>
      <c r="DC88">
        <f>162301</f>
        <v>162301</v>
      </c>
      <c r="DD88">
        <f>167789</f>
        <v>167789</v>
      </c>
      <c r="DE88">
        <f>168460</f>
        <v>168460</v>
      </c>
      <c r="DF88">
        <f>149891</f>
        <v>149891</v>
      </c>
      <c r="DG88" t="str">
        <f>""</f>
        <v/>
      </c>
      <c r="DH88">
        <f>186513</f>
        <v>186513</v>
      </c>
      <c r="DI88">
        <f>192543</f>
        <v>192543</v>
      </c>
      <c r="DJ88">
        <f>151243</f>
        <v>151243</v>
      </c>
      <c r="DK88" t="str">
        <f>""</f>
        <v/>
      </c>
      <c r="DL88" t="str">
        <f>""</f>
        <v/>
      </c>
      <c r="DM88" t="str">
        <f>""</f>
        <v/>
      </c>
      <c r="DN88">
        <f>139063</f>
        <v>139063</v>
      </c>
      <c r="DO88" t="str">
        <f>""</f>
        <v/>
      </c>
      <c r="DP88" t="str">
        <f>""</f>
        <v/>
      </c>
      <c r="DQ88" t="str">
        <f>""</f>
        <v/>
      </c>
      <c r="DR88">
        <f>135868</f>
        <v>135868</v>
      </c>
      <c r="DS88" t="str">
        <f>""</f>
        <v/>
      </c>
      <c r="DT88" t="str">
        <f>""</f>
        <v/>
      </c>
      <c r="DU88" t="str">
        <f>""</f>
        <v/>
      </c>
    </row>
    <row r="89" spans="1:125" x14ac:dyDescent="0.25">
      <c r="A89" t="str">
        <f>"    Bank of Ireland Group PLC"</f>
        <v xml:space="preserve">    Bank of Ireland Group PLC</v>
      </c>
      <c r="B89" t="str">
        <f>"BIRG ID Equity"</f>
        <v>BIRG ID Equity</v>
      </c>
      <c r="C89" t="str">
        <f t="shared" si="6"/>
        <v>BS017</v>
      </c>
      <c r="D89" t="str">
        <f t="shared" si="7"/>
        <v>BS_CONS_LOAN</v>
      </c>
      <c r="E89" t="str">
        <f t="shared" si="8"/>
        <v>Dynamic</v>
      </c>
      <c r="F89" t="str">
        <f ca="1">IF(AND(ISNUMBER($F$293),$B$208=1),$F$293,HLOOKUP(INDIRECT(ADDRESS(2,COLUMN())),OFFSET($BN$2,0,0,ROW()-1,60),ROW()-1,FALSE))</f>
        <v/>
      </c>
      <c r="G89" t="str">
        <f ca="1">IF(AND(ISNUMBER($G$293),$B$208=1),$G$293,HLOOKUP(INDIRECT(ADDRESS(2,COLUMN())),OFFSET($BN$2,0,0,ROW()-1,60),ROW()-1,FALSE))</f>
        <v/>
      </c>
      <c r="H89" t="str">
        <f ca="1">IF(AND(ISNUMBER($H$293),$B$208=1),$H$293,HLOOKUP(INDIRECT(ADDRESS(2,COLUMN())),OFFSET($BN$2,0,0,ROW()-1,60),ROW()-1,FALSE))</f>
        <v/>
      </c>
      <c r="I89" t="str">
        <f ca="1">IF(AND(ISNUMBER($I$293),$B$208=1),$I$293,HLOOKUP(INDIRECT(ADDRESS(2,COLUMN())),OFFSET($BN$2,0,0,ROW()-1,60),ROW()-1,FALSE))</f>
        <v/>
      </c>
      <c r="J89" t="str">
        <f ca="1">IF(AND(ISNUMBER($J$293),$B$208=1),$J$293,HLOOKUP(INDIRECT(ADDRESS(2,COLUMN())),OFFSET($BN$2,0,0,ROW()-1,60),ROW()-1,FALSE))</f>
        <v/>
      </c>
      <c r="K89" t="str">
        <f ca="1">IF(AND(ISNUMBER($K$293),$B$208=1),$K$293,HLOOKUP(INDIRECT(ADDRESS(2,COLUMN())),OFFSET($BN$2,0,0,ROW()-1,60),ROW()-1,FALSE))</f>
        <v/>
      </c>
      <c r="L89" t="str">
        <f ca="1">IF(AND(ISNUMBER($L$293),$B$208=1),$L$293,HLOOKUP(INDIRECT(ADDRESS(2,COLUMN())),OFFSET($BN$2,0,0,ROW()-1,60),ROW()-1,FALSE))</f>
        <v/>
      </c>
      <c r="M89" t="str">
        <f ca="1">IF(AND(ISNUMBER($M$293),$B$208=1),$M$293,HLOOKUP(INDIRECT(ADDRESS(2,COLUMN())),OFFSET($BN$2,0,0,ROW()-1,60),ROW()-1,FALSE))</f>
        <v/>
      </c>
      <c r="N89" t="str">
        <f ca="1">IF(AND(ISNUMBER($N$293),$B$208=1),$N$293,HLOOKUP(INDIRECT(ADDRESS(2,COLUMN())),OFFSET($BN$2,0,0,ROW()-1,60),ROW()-1,FALSE))</f>
        <v/>
      </c>
      <c r="O89" t="str">
        <f ca="1">IF(AND(ISNUMBER($O$293),$B$208=1),$O$293,HLOOKUP(INDIRECT(ADDRESS(2,COLUMN())),OFFSET($BN$2,0,0,ROW()-1,60),ROW()-1,FALSE))</f>
        <v/>
      </c>
      <c r="P89" t="str">
        <f ca="1">IF(AND(ISNUMBER($P$293),$B$208=1),$P$293,HLOOKUP(INDIRECT(ADDRESS(2,COLUMN())),OFFSET($BN$2,0,0,ROW()-1,60),ROW()-1,FALSE))</f>
        <v/>
      </c>
      <c r="Q89" t="str">
        <f ca="1">IF(AND(ISNUMBER($Q$293),$B$208=1),$Q$293,HLOOKUP(INDIRECT(ADDRESS(2,COLUMN())),OFFSET($BN$2,0,0,ROW()-1,60),ROW()-1,FALSE))</f>
        <v/>
      </c>
      <c r="R89" t="str">
        <f ca="1">IF(AND(ISNUMBER($R$293),$B$208=1),$R$293,HLOOKUP(INDIRECT(ADDRESS(2,COLUMN())),OFFSET($BN$2,0,0,ROW()-1,60),ROW()-1,FALSE))</f>
        <v/>
      </c>
      <c r="S89" t="str">
        <f ca="1">IF(AND(ISNUMBER($S$293),$B$208=1),$S$293,HLOOKUP(INDIRECT(ADDRESS(2,COLUMN())),OFFSET($BN$2,0,0,ROW()-1,60),ROW()-1,FALSE))</f>
        <v/>
      </c>
      <c r="T89" t="str">
        <f ca="1">IF(AND(ISNUMBER($T$293),$B$208=1),$T$293,HLOOKUP(INDIRECT(ADDRESS(2,COLUMN())),OFFSET($BN$2,0,0,ROW()-1,60),ROW()-1,FALSE))</f>
        <v/>
      </c>
      <c r="U89" t="str">
        <f ca="1">IF(AND(ISNUMBER($U$293),$B$208=1),$U$293,HLOOKUP(INDIRECT(ADDRESS(2,COLUMN())),OFFSET($BN$2,0,0,ROW()-1,60),ROW()-1,FALSE))</f>
        <v/>
      </c>
      <c r="V89" t="str">
        <f ca="1">IF(AND(ISNUMBER($V$293),$B$208=1),$V$293,HLOOKUP(INDIRECT(ADDRESS(2,COLUMN())),OFFSET($BN$2,0,0,ROW()-1,60),ROW()-1,FALSE))</f>
        <v/>
      </c>
      <c r="W89" t="str">
        <f ca="1">IF(AND(ISNUMBER($W$293),$B$208=1),$W$293,HLOOKUP(INDIRECT(ADDRESS(2,COLUMN())),OFFSET($BN$2,0,0,ROW()-1,60),ROW()-1,FALSE))</f>
        <v/>
      </c>
      <c r="X89" t="str">
        <f ca="1">IF(AND(ISNUMBER($X$293),$B$208=1),$X$293,HLOOKUP(INDIRECT(ADDRESS(2,COLUMN())),OFFSET($BN$2,0,0,ROW()-1,60),ROW()-1,FALSE))</f>
        <v/>
      </c>
      <c r="Y89" t="str">
        <f ca="1">IF(AND(ISNUMBER($Y$293),$B$208=1),$Y$293,HLOOKUP(INDIRECT(ADDRESS(2,COLUMN())),OFFSET($BN$2,0,0,ROW()-1,60),ROW()-1,FALSE))</f>
        <v/>
      </c>
      <c r="Z89" t="str">
        <f ca="1">IF(AND(ISNUMBER($Z$293),$B$208=1),$Z$293,HLOOKUP(INDIRECT(ADDRESS(2,COLUMN())),OFFSET($BN$2,0,0,ROW()-1,60),ROW()-1,FALSE))</f>
        <v/>
      </c>
      <c r="AA89" t="str">
        <f ca="1">IF(AND(ISNUMBER($AA$293),$B$208=1),$AA$293,HLOOKUP(INDIRECT(ADDRESS(2,COLUMN())),OFFSET($BN$2,0,0,ROW()-1,60),ROW()-1,FALSE))</f>
        <v/>
      </c>
      <c r="AB89" t="str">
        <f ca="1">IF(AND(ISNUMBER($AB$293),$B$208=1),$AB$293,HLOOKUP(INDIRECT(ADDRESS(2,COLUMN())),OFFSET($BN$2,0,0,ROW()-1,60),ROW()-1,FALSE))</f>
        <v/>
      </c>
      <c r="AC89" t="str">
        <f ca="1">IF(AND(ISNUMBER($AC$293),$B$208=1),$AC$293,HLOOKUP(INDIRECT(ADDRESS(2,COLUMN())),OFFSET($BN$2,0,0,ROW()-1,60),ROW()-1,FALSE))</f>
        <v/>
      </c>
      <c r="AD89" t="str">
        <f ca="1">IF(AND(ISNUMBER($AD$293),$B$208=1),$AD$293,HLOOKUP(INDIRECT(ADDRESS(2,COLUMN())),OFFSET($BN$2,0,0,ROW()-1,60),ROW()-1,FALSE))</f>
        <v/>
      </c>
      <c r="AE89" t="str">
        <f ca="1">IF(AND(ISNUMBER($AE$293),$B$208=1),$AE$293,HLOOKUP(INDIRECT(ADDRESS(2,COLUMN())),OFFSET($BN$2,0,0,ROW()-1,60),ROW()-1,FALSE))</f>
        <v/>
      </c>
      <c r="AF89" t="str">
        <f ca="1">IF(AND(ISNUMBER($AF$293),$B$208=1),$AF$293,HLOOKUP(INDIRECT(ADDRESS(2,COLUMN())),OFFSET($BN$2,0,0,ROW()-1,60),ROW()-1,FALSE))</f>
        <v/>
      </c>
      <c r="AG89" t="str">
        <f ca="1">IF(AND(ISNUMBER($AG$293),$B$208=1),$AG$293,HLOOKUP(INDIRECT(ADDRESS(2,COLUMN())),OFFSET($BN$2,0,0,ROW()-1,60),ROW()-1,FALSE))</f>
        <v/>
      </c>
      <c r="AH89" t="str">
        <f ca="1">IF(AND(ISNUMBER($AH$293),$B$208=1),$AH$293,HLOOKUP(INDIRECT(ADDRESS(2,COLUMN())),OFFSET($BN$2,0,0,ROW()-1,60),ROW()-1,FALSE))</f>
        <v/>
      </c>
      <c r="AI89" t="str">
        <f ca="1">IF(AND(ISNUMBER($AI$293),$B$208=1),$AI$293,HLOOKUP(INDIRECT(ADDRESS(2,COLUMN())),OFFSET($BN$2,0,0,ROW()-1,60),ROW()-1,FALSE))</f>
        <v/>
      </c>
      <c r="AJ89" t="str">
        <f ca="1">IF(AND(ISNUMBER($AJ$293),$B$208=1),$AJ$293,HLOOKUP(INDIRECT(ADDRESS(2,COLUMN())),OFFSET($BN$2,0,0,ROW()-1,60),ROW()-1,FALSE))</f>
        <v/>
      </c>
      <c r="AK89" t="str">
        <f ca="1">IF(AND(ISNUMBER($AK$293),$B$208=1),$AK$293,HLOOKUP(INDIRECT(ADDRESS(2,COLUMN())),OFFSET($BN$2,0,0,ROW()-1,60),ROW()-1,FALSE))</f>
        <v/>
      </c>
      <c r="AL89" t="str">
        <f ca="1">IF(AND(ISNUMBER($AL$293),$B$208=1),$AL$293,HLOOKUP(INDIRECT(ADDRESS(2,COLUMN())),OFFSET($BN$2,0,0,ROW()-1,60),ROW()-1,FALSE))</f>
        <v/>
      </c>
      <c r="AM89" t="str">
        <f ca="1">IF(AND(ISNUMBER($AM$293),$B$208=1),$AM$293,HLOOKUP(INDIRECT(ADDRESS(2,COLUMN())),OFFSET($BN$2,0,0,ROW()-1,60),ROW()-1,FALSE))</f>
        <v/>
      </c>
      <c r="AN89" t="str">
        <f ca="1">IF(AND(ISNUMBER($AN$293),$B$208=1),$AN$293,HLOOKUP(INDIRECT(ADDRESS(2,COLUMN())),OFFSET($BN$2,0,0,ROW()-1,60),ROW()-1,FALSE))</f>
        <v/>
      </c>
      <c r="AO89" t="str">
        <f ca="1">IF(AND(ISNUMBER($AO$293),$B$208=1),$AO$293,HLOOKUP(INDIRECT(ADDRESS(2,COLUMN())),OFFSET($BN$2,0,0,ROW()-1,60),ROW()-1,FALSE))</f>
        <v/>
      </c>
      <c r="AP89" t="str">
        <f ca="1">IF(AND(ISNUMBER($AP$293),$B$208=1),$AP$293,HLOOKUP(INDIRECT(ADDRESS(2,COLUMN())),OFFSET($BN$2,0,0,ROW()-1,60),ROW()-1,FALSE))</f>
        <v/>
      </c>
      <c r="AQ89" t="str">
        <f ca="1">IF(AND(ISNUMBER($AQ$293),$B$208=1),$AQ$293,HLOOKUP(INDIRECT(ADDRESS(2,COLUMN())),OFFSET($BN$2,0,0,ROW()-1,60),ROW()-1,FALSE))</f>
        <v/>
      </c>
      <c r="AR89" t="str">
        <f ca="1">IF(AND(ISNUMBER($AR$293),$B$208=1),$AR$293,HLOOKUP(INDIRECT(ADDRESS(2,COLUMN())),OFFSET($BN$2,0,0,ROW()-1,60),ROW()-1,FALSE))</f>
        <v/>
      </c>
      <c r="AS89" t="str">
        <f ca="1">IF(AND(ISNUMBER($AS$293),$B$208=1),$AS$293,HLOOKUP(INDIRECT(ADDRESS(2,COLUMN())),OFFSET($BN$2,0,0,ROW()-1,60),ROW()-1,FALSE))</f>
        <v/>
      </c>
      <c r="AT89" t="str">
        <f ca="1">IF(AND(ISNUMBER($AT$293),$B$208=1),$AT$293,HLOOKUP(INDIRECT(ADDRESS(2,COLUMN())),OFFSET($BN$2,0,0,ROW()-1,60),ROW()-1,FALSE))</f>
        <v/>
      </c>
      <c r="AU89" t="str">
        <f ca="1">IF(AND(ISNUMBER($AU$293),$B$208=1),$AU$293,HLOOKUP(INDIRECT(ADDRESS(2,COLUMN())),OFFSET($BN$2,0,0,ROW()-1,60),ROW()-1,FALSE))</f>
        <v/>
      </c>
      <c r="AV89" t="str">
        <f ca="1">IF(AND(ISNUMBER($AV$293),$B$208=1),$AV$293,HLOOKUP(INDIRECT(ADDRESS(2,COLUMN())),OFFSET($BN$2,0,0,ROW()-1,60),ROW()-1,FALSE))</f>
        <v/>
      </c>
      <c r="AW89" t="str">
        <f ca="1">IF(AND(ISNUMBER($AW$293),$B$208=1),$AW$293,HLOOKUP(INDIRECT(ADDRESS(2,COLUMN())),OFFSET($BN$2,0,0,ROW()-1,60),ROW()-1,FALSE))</f>
        <v/>
      </c>
      <c r="AX89" t="str">
        <f ca="1">IF(AND(ISNUMBER($AX$293),$B$208=1),$AX$293,HLOOKUP(INDIRECT(ADDRESS(2,COLUMN())),OFFSET($BN$2,0,0,ROW()-1,60),ROW()-1,FALSE))</f>
        <v/>
      </c>
      <c r="AY89" t="str">
        <f ca="1">IF(AND(ISNUMBER($AY$293),$B$208=1),$AY$293,HLOOKUP(INDIRECT(ADDRESS(2,COLUMN())),OFFSET($BN$2,0,0,ROW()-1,60),ROW()-1,FALSE))</f>
        <v/>
      </c>
      <c r="AZ89" t="str">
        <f ca="1">IF(AND(ISNUMBER($AZ$293),$B$208=1),$AZ$293,HLOOKUP(INDIRECT(ADDRESS(2,COLUMN())),OFFSET($BN$2,0,0,ROW()-1,60),ROW()-1,FALSE))</f>
        <v/>
      </c>
      <c r="BA89" t="str">
        <f ca="1">IF(AND(ISNUMBER($BA$293),$B$208=1),$BA$293,HLOOKUP(INDIRECT(ADDRESS(2,COLUMN())),OFFSET($BN$2,0,0,ROW()-1,60),ROW()-1,FALSE))</f>
        <v/>
      </c>
      <c r="BB89" t="str">
        <f ca="1">IF(AND(ISNUMBER($BB$293),$B$208=1),$BB$293,HLOOKUP(INDIRECT(ADDRESS(2,COLUMN())),OFFSET($BN$2,0,0,ROW()-1,60),ROW()-1,FALSE))</f>
        <v/>
      </c>
      <c r="BC89" t="str">
        <f ca="1">IF(AND(ISNUMBER($BC$293),$B$208=1),$BC$293,HLOOKUP(INDIRECT(ADDRESS(2,COLUMN())),OFFSET($BN$2,0,0,ROW()-1,60),ROW()-1,FALSE))</f>
        <v/>
      </c>
      <c r="BD89" t="str">
        <f ca="1">IF(AND(ISNUMBER($BD$293),$B$208=1),$BD$293,HLOOKUP(INDIRECT(ADDRESS(2,COLUMN())),OFFSET($BN$2,0,0,ROW()-1,60),ROW()-1,FALSE))</f>
        <v/>
      </c>
      <c r="BE89" t="str">
        <f ca="1">IF(AND(ISNUMBER($BE$293),$B$208=1),$BE$293,HLOOKUP(INDIRECT(ADDRESS(2,COLUMN())),OFFSET($BN$2,0,0,ROW()-1,60),ROW()-1,FALSE))</f>
        <v/>
      </c>
      <c r="BF89" t="str">
        <f ca="1">IF(AND(ISNUMBER($BF$293),$B$208=1),$BF$293,HLOOKUP(INDIRECT(ADDRESS(2,COLUMN())),OFFSET($BN$2,0,0,ROW()-1,60),ROW()-1,FALSE))</f>
        <v/>
      </c>
      <c r="BG89" t="str">
        <f ca="1">IF(AND(ISNUMBER($BG$293),$B$208=1),$BG$293,HLOOKUP(INDIRECT(ADDRESS(2,COLUMN())),OFFSET($BN$2,0,0,ROW()-1,60),ROW()-1,FALSE))</f>
        <v/>
      </c>
      <c r="BH89" t="str">
        <f ca="1">IF(AND(ISNUMBER($BH$293),$B$208=1),$BH$293,HLOOKUP(INDIRECT(ADDRESS(2,COLUMN())),OFFSET($BN$2,0,0,ROW()-1,60),ROW()-1,FALSE))</f>
        <v/>
      </c>
      <c r="BI89" t="str">
        <f ca="1">IF(AND(ISNUMBER($BI$293),$B$208=1),$BI$293,HLOOKUP(INDIRECT(ADDRESS(2,COLUMN())),OFFSET($BN$2,0,0,ROW()-1,60),ROW()-1,FALSE))</f>
        <v/>
      </c>
      <c r="BJ89" t="str">
        <f ca="1">IF(AND(ISNUMBER($BJ$293),$B$208=1),$BJ$293,HLOOKUP(INDIRECT(ADDRESS(2,COLUMN())),OFFSET($BN$2,0,0,ROW()-1,60),ROW()-1,FALSE))</f>
        <v/>
      </c>
      <c r="BK89" t="str">
        <f ca="1">IF(AND(ISNUMBER($BK$293),$B$208=1),$BK$293,HLOOKUP(INDIRECT(ADDRESS(2,COLUMN())),OFFSET($BN$2,0,0,ROW()-1,60),ROW()-1,FALSE))</f>
        <v/>
      </c>
      <c r="BL89" t="str">
        <f ca="1">IF(AND(ISNUMBER($BL$293),$B$208=1),$BL$293,HLOOKUP(INDIRECT(ADDRESS(2,COLUMN())),OFFSET($BN$2,0,0,ROW()-1,60),ROW()-1,FALSE))</f>
        <v/>
      </c>
      <c r="BM89" t="str">
        <f ca="1">IF(AND(ISNUMBER($BM$293),$B$208=1),$BM$293,HLOOKUP(INDIRECT(ADDRESS(2,COLUMN())),OFFSET($BN$2,0,0,ROW()-1,60),ROW()-1,FALSE))</f>
        <v/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  <c r="BT89" t="str">
        <f>""</f>
        <v/>
      </c>
      <c r="BU89" t="str">
        <f>""</f>
        <v/>
      </c>
      <c r="BV89" t="str">
        <f>""</f>
        <v/>
      </c>
      <c r="BW89" t="str">
        <f>""</f>
        <v/>
      </c>
      <c r="BX89" t="str">
        <f>""</f>
        <v/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  <c r="CH89" t="str">
        <f>""</f>
        <v/>
      </c>
      <c r="CI89" t="str">
        <f>""</f>
        <v/>
      </c>
      <c r="CJ89" t="str">
        <f>""</f>
        <v/>
      </c>
      <c r="CK89" t="str">
        <f>""</f>
        <v/>
      </c>
      <c r="CL89" t="str">
        <f>""</f>
        <v/>
      </c>
      <c r="CM89" t="str">
        <f>""</f>
        <v/>
      </c>
      <c r="CN89" t="str">
        <f>""</f>
        <v/>
      </c>
      <c r="CO89" t="str">
        <f>""</f>
        <v/>
      </c>
      <c r="CP89" t="str">
        <f>""</f>
        <v/>
      </c>
      <c r="CQ89" t="str">
        <f>""</f>
        <v/>
      </c>
      <c r="CR89" t="str">
        <f>""</f>
        <v/>
      </c>
      <c r="CS89" t="str">
        <f>""</f>
        <v/>
      </c>
      <c r="CT89" t="str">
        <f>""</f>
        <v/>
      </c>
      <c r="CU89" t="str">
        <f>""</f>
        <v/>
      </c>
      <c r="CV89" t="str">
        <f>""</f>
        <v/>
      </c>
      <c r="CW89" t="str">
        <f>""</f>
        <v/>
      </c>
      <c r="CX89" t="str">
        <f>""</f>
        <v/>
      </c>
      <c r="CY89" t="str">
        <f>""</f>
        <v/>
      </c>
      <c r="CZ89" t="str">
        <f>""</f>
        <v/>
      </c>
      <c r="DA89" t="str">
        <f>""</f>
        <v/>
      </c>
      <c r="DB89" t="str">
        <f>""</f>
        <v/>
      </c>
      <c r="DC89" t="str">
        <f>""</f>
        <v/>
      </c>
      <c r="DD89" t="str">
        <f>""</f>
        <v/>
      </c>
      <c r="DE89" t="str">
        <f>""</f>
        <v/>
      </c>
      <c r="DF89" t="str">
        <f>""</f>
        <v/>
      </c>
      <c r="DG89" t="str">
        <f>""</f>
        <v/>
      </c>
      <c r="DH89" t="str">
        <f>""</f>
        <v/>
      </c>
      <c r="DI89" t="str">
        <f>""</f>
        <v/>
      </c>
      <c r="DJ89" t="str">
        <f>""</f>
        <v/>
      </c>
      <c r="DK89" t="str">
        <f>""</f>
        <v/>
      </c>
      <c r="DL89" t="str">
        <f>""</f>
        <v/>
      </c>
      <c r="DM89" t="str">
        <f>""</f>
        <v/>
      </c>
      <c r="DN89" t="str">
        <f>""</f>
        <v/>
      </c>
      <c r="DO89" t="str">
        <f>""</f>
        <v/>
      </c>
      <c r="DP89" t="str">
        <f>""</f>
        <v/>
      </c>
      <c r="DQ89" t="str">
        <f>""</f>
        <v/>
      </c>
      <c r="DR89" t="str">
        <f>""</f>
        <v/>
      </c>
      <c r="DS89" t="str">
        <f>""</f>
        <v/>
      </c>
      <c r="DT89" t="str">
        <f>""</f>
        <v/>
      </c>
      <c r="DU89" t="str">
        <f>""</f>
        <v/>
      </c>
    </row>
    <row r="90" spans="1:125" x14ac:dyDescent="0.25">
      <c r="A90" t="str">
        <f>"    Bankinter SA"</f>
        <v xml:space="preserve">    Bankinter SA</v>
      </c>
      <c r="B90" t="str">
        <f>"BKT SM Equity"</f>
        <v>BKT SM Equity</v>
      </c>
      <c r="C90" t="str">
        <f t="shared" si="6"/>
        <v>BS017</v>
      </c>
      <c r="D90" t="str">
        <f t="shared" si="7"/>
        <v>BS_CONS_LOAN</v>
      </c>
      <c r="E90" t="str">
        <f t="shared" si="8"/>
        <v>Dynamic</v>
      </c>
      <c r="F90">
        <f ca="1">IF(AND(ISNUMBER($F$294),$B$208=1),$F$294,HLOOKUP(INDIRECT(ADDRESS(2,COLUMN())),OFFSET($BN$2,0,0,ROW()-1,60),ROW()-1,FALSE))</f>
        <v>58857.932000000001</v>
      </c>
      <c r="G90">
        <f ca="1">IF(AND(ISNUMBER($G$294),$B$208=1),$G$294,HLOOKUP(INDIRECT(ADDRESS(2,COLUMN())),OFFSET($BN$2,0,0,ROW()-1,60),ROW()-1,FALSE))</f>
        <v>57547.974000000002</v>
      </c>
      <c r="H90">
        <f ca="1">IF(AND(ISNUMBER($H$294),$B$208=1),$H$294,HLOOKUP(INDIRECT(ADDRESS(2,COLUMN())),OFFSET($BN$2,0,0,ROW()-1,60),ROW()-1,FALSE))</f>
        <v>57250.588000000003</v>
      </c>
      <c r="I90">
        <f ca="1">IF(AND(ISNUMBER($I$294),$B$208=1),$I$294,HLOOKUP(INDIRECT(ADDRESS(2,COLUMN())),OFFSET($BN$2,0,0,ROW()-1,60),ROW()-1,FALSE))</f>
        <v>56068.328999999998</v>
      </c>
      <c r="J90">
        <f ca="1">IF(AND(ISNUMBER($J$294),$B$208=1),$J$294,HLOOKUP(INDIRECT(ADDRESS(2,COLUMN())),OFFSET($BN$2,0,0,ROW()-1,60),ROW()-1,FALSE))</f>
        <v>43219.29</v>
      </c>
      <c r="K90">
        <f ca="1">IF(AND(ISNUMBER($K$294),$B$208=1),$K$294,HLOOKUP(INDIRECT(ADDRESS(2,COLUMN())),OFFSET($BN$2,0,0,ROW()-1,60),ROW()-1,FALSE))</f>
        <v>54771.262000000002</v>
      </c>
      <c r="L90">
        <f ca="1">IF(AND(ISNUMBER($L$294),$B$208=1),$L$294,HLOOKUP(INDIRECT(ADDRESS(2,COLUMN())),OFFSET($BN$2,0,0,ROW()-1,60),ROW()-1,FALSE))</f>
        <v>54846.351999999999</v>
      </c>
      <c r="M90">
        <f ca="1">IF(AND(ISNUMBER($M$294),$B$208=1),$M$294,HLOOKUP(INDIRECT(ADDRESS(2,COLUMN())),OFFSET($BN$2,0,0,ROW()-1,60),ROW()-1,FALSE))</f>
        <v>54247.400999999998</v>
      </c>
      <c r="N90">
        <f ca="1">IF(AND(ISNUMBER($N$294),$B$208=1),$N$294,HLOOKUP(INDIRECT(ADDRESS(2,COLUMN())),OFFSET($BN$2,0,0,ROW()-1,60),ROW()-1,FALSE))</f>
        <v>42224.108999999997</v>
      </c>
      <c r="O90">
        <f ca="1">IF(AND(ISNUMBER($O$294),$B$208=1),$O$294,HLOOKUP(INDIRECT(ADDRESS(2,COLUMN())),OFFSET($BN$2,0,0,ROW()-1,60),ROW()-1,FALSE))</f>
        <v>52797</v>
      </c>
      <c r="P90">
        <f ca="1">IF(AND(ISNUMBER($P$294),$B$208=1),$P$294,HLOOKUP(INDIRECT(ADDRESS(2,COLUMN())),OFFSET($BN$2,0,0,ROW()-1,60),ROW()-1,FALSE))</f>
        <v>52582.173999999999</v>
      </c>
      <c r="Q90">
        <f ca="1">IF(AND(ISNUMBER($Q$294),$B$208=1),$Q$294,HLOOKUP(INDIRECT(ADDRESS(2,COLUMN())),OFFSET($BN$2,0,0,ROW()-1,60),ROW()-1,FALSE))</f>
        <v>51550.817999999999</v>
      </c>
      <c r="R90">
        <f ca="1">IF(AND(ISNUMBER($R$294),$B$208=1),$R$294,HLOOKUP(INDIRECT(ADDRESS(2,COLUMN())),OFFSET($BN$2,0,0,ROW()-1,60),ROW()-1,FALSE))</f>
        <v>38963.892</v>
      </c>
      <c r="S90">
        <f ca="1">IF(AND(ISNUMBER($S$294),$B$208=1),$S$294,HLOOKUP(INDIRECT(ADDRESS(2,COLUMN())),OFFSET($BN$2,0,0,ROW()-1,60),ROW()-1,FALSE))</f>
        <v>49646.392999999996</v>
      </c>
      <c r="T90">
        <f ca="1">IF(AND(ISNUMBER($T$294),$B$208=1),$T$294,HLOOKUP(INDIRECT(ADDRESS(2,COLUMN())),OFFSET($BN$2,0,0,ROW()-1,60),ROW()-1,FALSE))</f>
        <v>49486.347000000002</v>
      </c>
      <c r="U90">
        <f ca="1">IF(AND(ISNUMBER($U$294),$B$208=1),$U$294,HLOOKUP(INDIRECT(ADDRESS(2,COLUMN())),OFFSET($BN$2,0,0,ROW()-1,60),ROW()-1,FALSE))</f>
        <v>48806.277000000002</v>
      </c>
      <c r="V90">
        <f ca="1">IF(AND(ISNUMBER($V$294),$B$208=1),$V$294,HLOOKUP(INDIRECT(ADDRESS(2,COLUMN())),OFFSET($BN$2,0,0,ROW()-1,60),ROW()-1,FALSE))</f>
        <v>36122.279000000002</v>
      </c>
      <c r="W90">
        <f ca="1">IF(AND(ISNUMBER($W$294),$B$208=1),$W$294,HLOOKUP(INDIRECT(ADDRESS(2,COLUMN())),OFFSET($BN$2,0,0,ROW()-1,60),ROW()-1,FALSE))</f>
        <v>47606.36</v>
      </c>
      <c r="X90">
        <f ca="1">IF(AND(ISNUMBER($X$294),$B$208=1),$X$294,HLOOKUP(INDIRECT(ADDRESS(2,COLUMN())),OFFSET($BN$2,0,0,ROW()-1,60),ROW()-1,FALSE))</f>
        <v>47523.099000000002</v>
      </c>
      <c r="Y90">
        <f ca="1">IF(AND(ISNUMBER($Y$294),$B$208=1),$Y$294,HLOOKUP(INDIRECT(ADDRESS(2,COLUMN())),OFFSET($BN$2,0,0,ROW()-1,60),ROW()-1,FALSE))</f>
        <v>43934.684999999998</v>
      </c>
      <c r="Z90">
        <f ca="1">IF(AND(ISNUMBER($Z$294),$B$208=1),$Z$294,HLOOKUP(INDIRECT(ADDRESS(2,COLUMN())),OFFSET($BN$2,0,0,ROW()-1,60),ROW()-1,FALSE))</f>
        <v>35494.807000000001</v>
      </c>
      <c r="AA90">
        <f ca="1">IF(AND(ISNUMBER($AA$294),$B$208=1),$AA$294,HLOOKUP(INDIRECT(ADDRESS(2,COLUMN())),OFFSET($BN$2,0,0,ROW()-1,60),ROW()-1,FALSE))</f>
        <v>42673.508000000002</v>
      </c>
      <c r="AB90">
        <f ca="1">IF(AND(ISNUMBER($AB$294),$B$208=1),$AB$294,HLOOKUP(INDIRECT(ADDRESS(2,COLUMN())),OFFSET($BN$2,0,0,ROW()-1,60),ROW()-1,FALSE))</f>
        <v>41872.561000000002</v>
      </c>
      <c r="AC90">
        <f ca="1">IF(AND(ISNUMBER($AC$294),$B$208=1),$AC$294,HLOOKUP(INDIRECT(ADDRESS(2,COLUMN())),OFFSET($BN$2,0,0,ROW()-1,60),ROW()-1,FALSE))</f>
        <v>39975.972999999998</v>
      </c>
      <c r="AD90">
        <f ca="1">IF(AND(ISNUMBER($AD$294),$B$208=1),$AD$294,HLOOKUP(INDIRECT(ADDRESS(2,COLUMN())),OFFSET($BN$2,0,0,ROW()-1,60),ROW()-1,FALSE))</f>
        <v>41587.021000000001</v>
      </c>
      <c r="AE90">
        <f ca="1">IF(AND(ISNUMBER($AE$294),$B$208=1),$AE$294,HLOOKUP(INDIRECT(ADDRESS(2,COLUMN())),OFFSET($BN$2,0,0,ROW()-1,60),ROW()-1,FALSE))</f>
        <v>39056.707000000002</v>
      </c>
      <c r="AF90">
        <f ca="1">IF(AND(ISNUMBER($AF$294),$B$208=1),$AF$294,HLOOKUP(INDIRECT(ADDRESS(2,COLUMN())),OFFSET($BN$2,0,0,ROW()-1,60),ROW()-1,FALSE))</f>
        <v>38928.252999999997</v>
      </c>
      <c r="AG90">
        <f ca="1">IF(AND(ISNUMBER($AG$294),$B$208=1),$AG$294,HLOOKUP(INDIRECT(ADDRESS(2,COLUMN())),OFFSET($BN$2,0,0,ROW()-1,60),ROW()-1,FALSE))</f>
        <v>38337.082000000002</v>
      </c>
      <c r="AH90">
        <f ca="1">IF(AND(ISNUMBER($AH$294),$B$208=1),$AH$294,HLOOKUP(INDIRECT(ADDRESS(2,COLUMN())),OFFSET($BN$2,0,0,ROW()-1,60),ROW()-1,FALSE))</f>
        <v>39775.760000000002</v>
      </c>
      <c r="AI90">
        <f ca="1">IF(AND(ISNUMBER($AI$294),$B$208=1),$AI$294,HLOOKUP(INDIRECT(ADDRESS(2,COLUMN())),OFFSET($BN$2,0,0,ROW()-1,60),ROW()-1,FALSE))</f>
        <v>37751.453000000001</v>
      </c>
      <c r="AJ90">
        <f ca="1">IF(AND(ISNUMBER($AJ$294),$B$208=1),$AJ$294,HLOOKUP(INDIRECT(ADDRESS(2,COLUMN())),OFFSET($BN$2,0,0,ROW()-1,60),ROW()-1,FALSE))</f>
        <v>37672.718999999997</v>
      </c>
      <c r="AK90">
        <f ca="1">IF(AND(ISNUMBER($AK$294),$B$208=1),$AK$294,HLOOKUP(INDIRECT(ADDRESS(2,COLUMN())),OFFSET($BN$2,0,0,ROW()-1,60),ROW()-1,FALSE))</f>
        <v>37632.394999999997</v>
      </c>
      <c r="AL90">
        <f ca="1">IF(AND(ISNUMBER($AL$294),$B$208=1),$AL$294,HLOOKUP(INDIRECT(ADDRESS(2,COLUMN())),OFFSET($BN$2,0,0,ROW()-1,60),ROW()-1,FALSE))</f>
        <v>39017.902999999998</v>
      </c>
      <c r="AM90">
        <f ca="1">IF(AND(ISNUMBER($AM$294),$B$208=1),$AM$294,HLOOKUP(INDIRECT(ADDRESS(2,COLUMN())),OFFSET($BN$2,0,0,ROW()-1,60),ROW()-1,FALSE))</f>
        <v>37370.953999999998</v>
      </c>
      <c r="AN90">
        <f ca="1">IF(AND(ISNUMBER($AN$294),$B$208=1),$AN$294,HLOOKUP(INDIRECT(ADDRESS(2,COLUMN())),OFFSET($BN$2,0,0,ROW()-1,60),ROW()-1,FALSE))</f>
        <v>37387.131000000001</v>
      </c>
      <c r="AO90">
        <f ca="1">IF(AND(ISNUMBER($AO$294),$B$208=1),$AO$294,HLOOKUP(INDIRECT(ADDRESS(2,COLUMN())),OFFSET($BN$2,0,0,ROW()-1,60),ROW()-1,FALSE))</f>
        <v>32440.958999999999</v>
      </c>
      <c r="AP90">
        <f ca="1">IF(AND(ISNUMBER($AP$294),$B$208=1),$AP$294,HLOOKUP(INDIRECT(ADDRESS(2,COLUMN())),OFFSET($BN$2,0,0,ROW()-1,60),ROW()-1,FALSE))</f>
        <v>27057.811000000002</v>
      </c>
      <c r="AQ90">
        <f ca="1">IF(AND(ISNUMBER($AQ$294),$B$208=1),$AQ$294,HLOOKUP(INDIRECT(ADDRESS(2,COLUMN())),OFFSET($BN$2,0,0,ROW()-1,60),ROW()-1,FALSE))</f>
        <v>32792.656000000003</v>
      </c>
      <c r="AR90">
        <f ca="1">IF(AND(ISNUMBER($AR$294),$B$208=1),$AR$294,HLOOKUP(INDIRECT(ADDRESS(2,COLUMN())),OFFSET($BN$2,0,0,ROW()-1,60),ROW()-1,FALSE))</f>
        <v>31584.697</v>
      </c>
      <c r="AS90">
        <f ca="1">IF(AND(ISNUMBER($AS$294),$B$208=1),$AS$294,HLOOKUP(INDIRECT(ADDRESS(2,COLUMN())),OFFSET($BN$2,0,0,ROW()-1,60),ROW()-1,FALSE))</f>
        <v>31436.537</v>
      </c>
      <c r="AT90">
        <f ca="1">IF(AND(ISNUMBER($AT$294),$B$208=1),$AT$294,HLOOKUP(INDIRECT(ADDRESS(2,COLUMN())),OFFSET($BN$2,0,0,ROW()-1,60),ROW()-1,FALSE))</f>
        <v>26621.56</v>
      </c>
      <c r="AU90">
        <f ca="1">IF(AND(ISNUMBER($AU$294),$B$208=1),$AU$294,HLOOKUP(INDIRECT(ADDRESS(2,COLUMN())),OFFSET($BN$2,0,0,ROW()-1,60),ROW()-1,FALSE))</f>
        <v>31510.721000000001</v>
      </c>
      <c r="AV90">
        <f ca="1">IF(AND(ISNUMBER($AV$294),$B$208=1),$AV$294,HLOOKUP(INDIRECT(ADDRESS(2,COLUMN())),OFFSET($BN$2,0,0,ROW()-1,60),ROW()-1,FALSE))</f>
        <v>29983.838</v>
      </c>
      <c r="AW90">
        <f ca="1">IF(AND(ISNUMBER($AW$294),$B$208=1),$AW$294,HLOOKUP(INDIRECT(ADDRESS(2,COLUMN())),OFFSET($BN$2,0,0,ROW()-1,60),ROW()-1,FALSE))</f>
        <v>29388.879000000001</v>
      </c>
      <c r="AX90">
        <f ca="1">IF(AND(ISNUMBER($AX$294),$B$208=1),$AX$294,HLOOKUP(INDIRECT(ADDRESS(2,COLUMN())),OFFSET($BN$2,0,0,ROW()-1,60),ROW()-1,FALSE))</f>
        <v>26291.585999999999</v>
      </c>
      <c r="AY90">
        <f ca="1">IF(AND(ISNUMBER($AY$294),$B$208=1),$AY$294,HLOOKUP(INDIRECT(ADDRESS(2,COLUMN())),OFFSET($BN$2,0,0,ROW()-1,60),ROW()-1,FALSE))</f>
        <v>30071.09</v>
      </c>
      <c r="AZ90">
        <f ca="1">IF(AND(ISNUMBER($AZ$294),$B$208=1),$AZ$294,HLOOKUP(INDIRECT(ADDRESS(2,COLUMN())),OFFSET($BN$2,0,0,ROW()-1,60),ROW()-1,FALSE))</f>
        <v>27569.749</v>
      </c>
      <c r="BA90">
        <f ca="1">IF(AND(ISNUMBER($BA$294),$B$208=1),$BA$294,HLOOKUP(INDIRECT(ADDRESS(2,COLUMN())),OFFSET($BN$2,0,0,ROW()-1,60),ROW()-1,FALSE))</f>
        <v>27751.511999999999</v>
      </c>
      <c r="BB90">
        <f ca="1">IF(AND(ISNUMBER($BB$294),$B$208=1),$BB$294,HLOOKUP(INDIRECT(ADDRESS(2,COLUMN())),OFFSET($BN$2,0,0,ROW()-1,60),ROW()-1,FALSE))</f>
        <v>28511.360000000001</v>
      </c>
      <c r="BC90">
        <f ca="1">IF(AND(ISNUMBER($BC$294),$B$208=1),$BC$294,HLOOKUP(INDIRECT(ADDRESS(2,COLUMN())),OFFSET($BN$2,0,0,ROW()-1,60),ROW()-1,FALSE))</f>
        <v>28307.025000000001</v>
      </c>
      <c r="BD90">
        <f ca="1">IF(AND(ISNUMBER($BD$294),$B$208=1),$BD$294,HLOOKUP(INDIRECT(ADDRESS(2,COLUMN())),OFFSET($BN$2,0,0,ROW()-1,60),ROW()-1,FALSE))</f>
        <v>28220.675999999999</v>
      </c>
      <c r="BE90">
        <f ca="1">IF(AND(ISNUMBER($BE$294),$B$208=1),$BE$294,HLOOKUP(INDIRECT(ADDRESS(2,COLUMN())),OFFSET($BN$2,0,0,ROW()-1,60),ROW()-1,FALSE))</f>
        <v>28363.109</v>
      </c>
      <c r="BF90">
        <f ca="1">IF(AND(ISNUMBER($BF$294),$B$208=1),$BF$294,HLOOKUP(INDIRECT(ADDRESS(2,COLUMN())),OFFSET($BN$2,0,0,ROW()-1,60),ROW()-1,FALSE))</f>
        <v>739.56200000000001</v>
      </c>
      <c r="BG90">
        <f ca="1">IF(AND(ISNUMBER($BG$294),$B$208=1),$BG$294,HLOOKUP(INDIRECT(ADDRESS(2,COLUMN())),OFFSET($BN$2,0,0,ROW()-1,60),ROW()-1,FALSE))</f>
        <v>29241.355</v>
      </c>
      <c r="BH90">
        <f ca="1">IF(AND(ISNUMBER($BH$294),$B$208=1),$BH$294,HLOOKUP(INDIRECT(ADDRESS(2,COLUMN())),OFFSET($BN$2,0,0,ROW()-1,60),ROW()-1,FALSE))</f>
        <v>29113.455999999998</v>
      </c>
      <c r="BI90">
        <f ca="1">IF(AND(ISNUMBER($BI$294),$B$208=1),$BI$294,HLOOKUP(INDIRECT(ADDRESS(2,COLUMN())),OFFSET($BN$2,0,0,ROW()-1,60),ROW()-1,FALSE))</f>
        <v>29256.573</v>
      </c>
      <c r="BJ90">
        <f ca="1">IF(AND(ISNUMBER($BJ$294),$B$208=1),$BJ$294,HLOOKUP(INDIRECT(ADDRESS(2,COLUMN())),OFFSET($BN$2,0,0,ROW()-1,60),ROW()-1,FALSE))</f>
        <v>31223.083999999999</v>
      </c>
      <c r="BK90">
        <f ca="1">IF(AND(ISNUMBER($BK$294),$B$208=1),$BK$294,HLOOKUP(INDIRECT(ADDRESS(2,COLUMN())),OFFSET($BN$2,0,0,ROW()-1,60),ROW()-1,FALSE))</f>
        <v>29951.109</v>
      </c>
      <c r="BL90">
        <f ca="1">IF(AND(ISNUMBER($BL$294),$B$208=1),$BL$294,HLOOKUP(INDIRECT(ADDRESS(2,COLUMN())),OFFSET($BN$2,0,0,ROW()-1,60),ROW()-1,FALSE))</f>
        <v>29915.382000000001</v>
      </c>
      <c r="BM90">
        <f ca="1">IF(AND(ISNUMBER($BM$294),$B$208=1),$BM$294,HLOOKUP(INDIRECT(ADDRESS(2,COLUMN())),OFFSET($BN$2,0,0,ROW()-1,60),ROW()-1,FALSE))</f>
        <v>28794.464</v>
      </c>
      <c r="BN90">
        <f>58857.932</f>
        <v>58857.932000000001</v>
      </c>
      <c r="BO90">
        <f>57547.974</f>
        <v>57547.974000000002</v>
      </c>
      <c r="BP90">
        <f>57250.588</f>
        <v>57250.588000000003</v>
      </c>
      <c r="BQ90">
        <f>56068.329</f>
        <v>56068.328999999998</v>
      </c>
      <c r="BR90">
        <f>43219.29</f>
        <v>43219.29</v>
      </c>
      <c r="BS90">
        <f>54771.262</f>
        <v>54771.262000000002</v>
      </c>
      <c r="BT90">
        <f>54846.352</f>
        <v>54846.351999999999</v>
      </c>
      <c r="BU90">
        <f>54247.401</f>
        <v>54247.400999999998</v>
      </c>
      <c r="BV90">
        <f>42224.109</f>
        <v>42224.108999999997</v>
      </c>
      <c r="BW90">
        <f>52797</f>
        <v>52797</v>
      </c>
      <c r="BX90">
        <f>52582.174</f>
        <v>52582.173999999999</v>
      </c>
      <c r="BY90">
        <f>51550.818</f>
        <v>51550.817999999999</v>
      </c>
      <c r="BZ90">
        <f>38963.892</f>
        <v>38963.892</v>
      </c>
      <c r="CA90">
        <f>49646.393</f>
        <v>49646.392999999996</v>
      </c>
      <c r="CB90">
        <f>49486.347</f>
        <v>49486.347000000002</v>
      </c>
      <c r="CC90">
        <f>48806.277</f>
        <v>48806.277000000002</v>
      </c>
      <c r="CD90">
        <f>36122.279</f>
        <v>36122.279000000002</v>
      </c>
      <c r="CE90">
        <f>47606.36</f>
        <v>47606.36</v>
      </c>
      <c r="CF90">
        <f>47523.099</f>
        <v>47523.099000000002</v>
      </c>
      <c r="CG90">
        <f>43934.685</f>
        <v>43934.684999999998</v>
      </c>
      <c r="CH90">
        <f>35494.807</f>
        <v>35494.807000000001</v>
      </c>
      <c r="CI90">
        <f>42673.508</f>
        <v>42673.508000000002</v>
      </c>
      <c r="CJ90">
        <f>41872.561</f>
        <v>41872.561000000002</v>
      </c>
      <c r="CK90">
        <f>39975.973</f>
        <v>39975.972999999998</v>
      </c>
      <c r="CL90">
        <f>41587.021</f>
        <v>41587.021000000001</v>
      </c>
      <c r="CM90">
        <f>39056.707</f>
        <v>39056.707000000002</v>
      </c>
      <c r="CN90">
        <f>38928.253</f>
        <v>38928.252999999997</v>
      </c>
      <c r="CO90">
        <f>38337.082</f>
        <v>38337.082000000002</v>
      </c>
      <c r="CP90">
        <f>39775.76</f>
        <v>39775.760000000002</v>
      </c>
      <c r="CQ90">
        <f>37751.453</f>
        <v>37751.453000000001</v>
      </c>
      <c r="CR90">
        <f>37672.719</f>
        <v>37672.718999999997</v>
      </c>
      <c r="CS90">
        <f>37632.395</f>
        <v>37632.394999999997</v>
      </c>
      <c r="CT90">
        <f>39017.903</f>
        <v>39017.902999999998</v>
      </c>
      <c r="CU90">
        <f>37370.954</f>
        <v>37370.953999999998</v>
      </c>
      <c r="CV90">
        <f>37387.131</f>
        <v>37387.131000000001</v>
      </c>
      <c r="CW90">
        <f>32440.959</f>
        <v>32440.958999999999</v>
      </c>
      <c r="CX90">
        <f>27057.811</f>
        <v>27057.811000000002</v>
      </c>
      <c r="CY90">
        <f>32792.656</f>
        <v>32792.656000000003</v>
      </c>
      <c r="CZ90">
        <f>31584.697</f>
        <v>31584.697</v>
      </c>
      <c r="DA90">
        <f>31436.537</f>
        <v>31436.537</v>
      </c>
      <c r="DB90">
        <f>26621.56</f>
        <v>26621.56</v>
      </c>
      <c r="DC90">
        <f>31510.721</f>
        <v>31510.721000000001</v>
      </c>
      <c r="DD90">
        <f>29983.838</f>
        <v>29983.838</v>
      </c>
      <c r="DE90">
        <f>29388.879</f>
        <v>29388.879000000001</v>
      </c>
      <c r="DF90">
        <f>26291.586</f>
        <v>26291.585999999999</v>
      </c>
      <c r="DG90">
        <f>30071.09</f>
        <v>30071.09</v>
      </c>
      <c r="DH90">
        <f>27569.749</f>
        <v>27569.749</v>
      </c>
      <c r="DI90">
        <f>27751.512</f>
        <v>27751.511999999999</v>
      </c>
      <c r="DJ90">
        <f>28511.36</f>
        <v>28511.360000000001</v>
      </c>
      <c r="DK90">
        <f>28307.025</f>
        <v>28307.025000000001</v>
      </c>
      <c r="DL90">
        <f>28220.676</f>
        <v>28220.675999999999</v>
      </c>
      <c r="DM90">
        <f>28363.109</f>
        <v>28363.109</v>
      </c>
      <c r="DN90">
        <f>739.562</f>
        <v>739.56200000000001</v>
      </c>
      <c r="DO90">
        <f>29241.355</f>
        <v>29241.355</v>
      </c>
      <c r="DP90">
        <f>29113.456</f>
        <v>29113.455999999998</v>
      </c>
      <c r="DQ90">
        <f>29256.573</f>
        <v>29256.573</v>
      </c>
      <c r="DR90">
        <f>31223.084</f>
        <v>31223.083999999999</v>
      </c>
      <c r="DS90">
        <f>29951.109</f>
        <v>29951.109</v>
      </c>
      <c r="DT90">
        <f>29915.382</f>
        <v>29915.382000000001</v>
      </c>
      <c r="DU90">
        <f>28794.464</f>
        <v>28794.464</v>
      </c>
    </row>
    <row r="91" spans="1:125" x14ac:dyDescent="0.25">
      <c r="A91" t="str">
        <f>"    CaixaBank SA"</f>
        <v xml:space="preserve">    CaixaBank SA</v>
      </c>
      <c r="B91" t="str">
        <f>"CABK SM Equity"</f>
        <v>CABK SM Equity</v>
      </c>
      <c r="C91" t="str">
        <f t="shared" si="6"/>
        <v>BS017</v>
      </c>
      <c r="D91" t="str">
        <f t="shared" si="7"/>
        <v>BS_CONS_LOAN</v>
      </c>
      <c r="E91" t="str">
        <f t="shared" si="8"/>
        <v>Dynamic</v>
      </c>
      <c r="F91">
        <f ca="1">IF(AND(ISNUMBER($F$295),$B$208=1),$F$295,HLOOKUP(INDIRECT(ADDRESS(2,COLUMN())),OFFSET($BN$2,0,0,ROW()-1,60),ROW()-1,FALSE))</f>
        <v>155207</v>
      </c>
      <c r="G91">
        <f ca="1">IF(AND(ISNUMBER($G$295),$B$208=1),$G$295,HLOOKUP(INDIRECT(ADDRESS(2,COLUMN())),OFFSET($BN$2,0,0,ROW()-1,60),ROW()-1,FALSE))</f>
        <v>154333</v>
      </c>
      <c r="H91">
        <f ca="1">IF(AND(ISNUMBER($H$295),$B$208=1),$H$295,HLOOKUP(INDIRECT(ADDRESS(2,COLUMN())),OFFSET($BN$2,0,0,ROW()-1,60),ROW()-1,FALSE))</f>
        <v>153363</v>
      </c>
      <c r="I91">
        <f ca="1">IF(AND(ISNUMBER($I$295),$B$208=1),$I$295,HLOOKUP(INDIRECT(ADDRESS(2,COLUMN())),OFFSET($BN$2,0,0,ROW()-1,60),ROW()-1,FALSE))</f>
        <v>152828</v>
      </c>
      <c r="J91">
        <f ca="1">IF(AND(ISNUMBER($J$295),$B$208=1),$J$295,HLOOKUP(INDIRECT(ADDRESS(2,COLUMN())),OFFSET($BN$2,0,0,ROW()-1,60),ROW()-1,FALSE))</f>
        <v>175808</v>
      </c>
      <c r="K91">
        <f ca="1">IF(AND(ISNUMBER($K$295),$B$208=1),$K$295,HLOOKUP(INDIRECT(ADDRESS(2,COLUMN())),OFFSET($BN$2,0,0,ROW()-1,60),ROW()-1,FALSE))</f>
        <v>153358</v>
      </c>
      <c r="L91">
        <f ca="1">IF(AND(ISNUMBER($L$295),$B$208=1),$L$295,HLOOKUP(INDIRECT(ADDRESS(2,COLUMN())),OFFSET($BN$2,0,0,ROW()-1,60),ROW()-1,FALSE))</f>
        <v>154981</v>
      </c>
      <c r="M91">
        <f ca="1">IF(AND(ISNUMBER($M$295),$B$208=1),$M$295,HLOOKUP(INDIRECT(ADDRESS(2,COLUMN())),OFFSET($BN$2,0,0,ROW()-1,60),ROW()-1,FALSE))</f>
        <v>156378</v>
      </c>
      <c r="N91">
        <f ca="1">IF(AND(ISNUMBER($N$295),$B$208=1),$N$295,HLOOKUP(INDIRECT(ADDRESS(2,COLUMN())),OFFSET($BN$2,0,0,ROW()-1,60),ROW()-1,FALSE))</f>
        <v>183867</v>
      </c>
      <c r="O91">
        <f ca="1">IF(AND(ISNUMBER($O$295),$B$208=1),$O$295,HLOOKUP(INDIRECT(ADDRESS(2,COLUMN())),OFFSET($BN$2,0,0,ROW()-1,60),ROW()-1,FALSE))</f>
        <v>159008</v>
      </c>
      <c r="P91">
        <f ca="1">IF(AND(ISNUMBER($P$295),$B$208=1),$P$295,HLOOKUP(INDIRECT(ADDRESS(2,COLUMN())),OFFSET($BN$2,0,0,ROW()-1,60),ROW()-1,FALSE))</f>
        <v>186128</v>
      </c>
      <c r="Q91">
        <f ca="1">IF(AND(ISNUMBER($Q$295),$B$208=1),$Q$295,HLOOKUP(INDIRECT(ADDRESS(2,COLUMN())),OFFSET($BN$2,0,0,ROW()-1,60),ROW()-1,FALSE))</f>
        <v>157491</v>
      </c>
      <c r="R91">
        <f ca="1">IF(AND(ISNUMBER($R$295),$B$208=1),$R$295,HLOOKUP(INDIRECT(ADDRESS(2,COLUMN())),OFFSET($BN$2,0,0,ROW()-1,60),ROW()-1,FALSE))</f>
        <v>184751</v>
      </c>
      <c r="S91">
        <f ca="1">IF(AND(ISNUMBER($S$295),$B$208=1),$S$295,HLOOKUP(INDIRECT(ADDRESS(2,COLUMN())),OFFSET($BN$2,0,0,ROW()-1,60),ROW()-1,FALSE))</f>
        <v>187177</v>
      </c>
      <c r="T91">
        <f ca="1">IF(AND(ISNUMBER($T$295),$B$208=1),$T$295,HLOOKUP(INDIRECT(ADDRESS(2,COLUMN())),OFFSET($BN$2,0,0,ROW()-1,60),ROW()-1,FALSE))</f>
        <v>192592</v>
      </c>
      <c r="U91">
        <f ca="1">IF(AND(ISNUMBER($U$295),$B$208=1),$U$295,HLOOKUP(INDIRECT(ADDRESS(2,COLUMN())),OFFSET($BN$2,0,0,ROW()-1,60),ROW()-1,FALSE))</f>
        <v>164322</v>
      </c>
      <c r="V91">
        <f ca="1">IF(AND(ISNUMBER($V$295),$B$208=1),$V$295,HLOOKUP(INDIRECT(ADDRESS(2,COLUMN())),OFFSET($BN$2,0,0,ROW()-1,60),ROW()-1,FALSE))</f>
        <v>120649</v>
      </c>
      <c r="W91">
        <f ca="1">IF(AND(ISNUMBER($W$295),$B$208=1),$W$295,HLOOKUP(INDIRECT(ADDRESS(2,COLUMN())),OFFSET($BN$2,0,0,ROW()-1,60),ROW()-1,FALSE))</f>
        <v>121757</v>
      </c>
      <c r="X91">
        <f ca="1">IF(AND(ISNUMBER($X$295),$B$208=1),$X$295,HLOOKUP(INDIRECT(ADDRESS(2,COLUMN())),OFFSET($BN$2,0,0,ROW()-1,60),ROW()-1,FALSE))</f>
        <v>124153</v>
      </c>
      <c r="Y91">
        <f ca="1">IF(AND(ISNUMBER($Y$295),$B$208=1),$Y$295,HLOOKUP(INDIRECT(ADDRESS(2,COLUMN())),OFFSET($BN$2,0,0,ROW()-1,60),ROW()-1,FALSE))</f>
        <v>102520</v>
      </c>
      <c r="Z91">
        <f ca="1">IF(AND(ISNUMBER($Z$295),$B$208=1),$Z$295,HLOOKUP(INDIRECT(ADDRESS(2,COLUMN())),OFFSET($BN$2,0,0,ROW()-1,60),ROW()-1,FALSE))</f>
        <v>124334</v>
      </c>
      <c r="AA91">
        <f ca="1">IF(AND(ISNUMBER($AA$295),$B$208=1),$AA$295,HLOOKUP(INDIRECT(ADDRESS(2,COLUMN())),OFFSET($BN$2,0,0,ROW()-1,60),ROW()-1,FALSE))</f>
        <v>125216</v>
      </c>
      <c r="AB91">
        <f ca="1">IF(AND(ISNUMBER($AB$295),$B$208=1),$AB$295,HLOOKUP(INDIRECT(ADDRESS(2,COLUMN())),OFFSET($BN$2,0,0,ROW()-1,60),ROW()-1,FALSE))</f>
        <v>104485</v>
      </c>
      <c r="AC91">
        <f ca="1">IF(AND(ISNUMBER($AC$295),$B$208=1),$AC$295,HLOOKUP(INDIRECT(ADDRESS(2,COLUMN())),OFFSET($BN$2,0,0,ROW()-1,60),ROW()-1,FALSE))</f>
        <v>104418</v>
      </c>
      <c r="AD91">
        <f ca="1">IF(AND(ISNUMBER($AD$295),$B$208=1),$AD$295,HLOOKUP(INDIRECT(ADDRESS(2,COLUMN())),OFFSET($BN$2,0,0,ROW()-1,60),ROW()-1,FALSE))</f>
        <v>127046</v>
      </c>
      <c r="AE91">
        <f ca="1">IF(AND(ISNUMBER($AE$295),$B$208=1),$AE$295,HLOOKUP(INDIRECT(ADDRESS(2,COLUMN())),OFFSET($BN$2,0,0,ROW()-1,60),ROW()-1,FALSE))</f>
        <v>92456</v>
      </c>
      <c r="AF91">
        <f ca="1">IF(AND(ISNUMBER($AF$295),$B$208=1),$AF$295,HLOOKUP(INDIRECT(ADDRESS(2,COLUMN())),OFFSET($BN$2,0,0,ROW()-1,60),ROW()-1,FALSE))</f>
        <v>104152</v>
      </c>
      <c r="AG91">
        <f ca="1">IF(AND(ISNUMBER($AG$295),$B$208=1),$AG$295,HLOOKUP(INDIRECT(ADDRESS(2,COLUMN())),OFFSET($BN$2,0,0,ROW()-1,60),ROW()-1,FALSE))</f>
        <v>104017</v>
      </c>
      <c r="AH91">
        <f ca="1">IF(AND(ISNUMBER($AH$295),$B$208=1),$AH$295,HLOOKUP(INDIRECT(ADDRESS(2,COLUMN())),OFFSET($BN$2,0,0,ROW()-1,60),ROW()-1,FALSE))</f>
        <v>128490</v>
      </c>
      <c r="AI91">
        <f ca="1">IF(AND(ISNUMBER($AI$295),$B$208=1),$AI$295,HLOOKUP(INDIRECT(ADDRESS(2,COLUMN())),OFFSET($BN$2,0,0,ROW()-1,60),ROW()-1,FALSE))</f>
        <v>129127</v>
      </c>
      <c r="AJ91">
        <f ca="1">IF(AND(ISNUMBER($AJ$295),$B$208=1),$AJ$295,HLOOKUP(INDIRECT(ADDRESS(2,COLUMN())),OFFSET($BN$2,0,0,ROW()-1,60),ROW()-1,FALSE))</f>
        <v>131293</v>
      </c>
      <c r="AK91">
        <f ca="1">IF(AND(ISNUMBER($AK$295),$B$208=1),$AK$295,HLOOKUP(INDIRECT(ADDRESS(2,COLUMN())),OFFSET($BN$2,0,0,ROW()-1,60),ROW()-1,FALSE))</f>
        <v>96786</v>
      </c>
      <c r="AL91">
        <f ca="1">IF(AND(ISNUMBER($AL$295),$B$208=1),$AL$295,HLOOKUP(INDIRECT(ADDRESS(2,COLUMN())),OFFSET($BN$2,0,0,ROW()-1,60),ROW()-1,FALSE))</f>
        <v>86405</v>
      </c>
      <c r="AM91">
        <f ca="1">IF(AND(ISNUMBER($AM$295),$B$208=1),$AM$295,HLOOKUP(INDIRECT(ADDRESS(2,COLUMN())),OFFSET($BN$2,0,0,ROW()-1,60),ROW()-1,FALSE))</f>
        <v>87483</v>
      </c>
      <c r="AN91">
        <f ca="1">IF(AND(ISNUMBER($AN$295),$B$208=1),$AN$295,HLOOKUP(INDIRECT(ADDRESS(2,COLUMN())),OFFSET($BN$2,0,0,ROW()-1,60),ROW()-1,FALSE))</f>
        <v>88221</v>
      </c>
      <c r="AO91">
        <f ca="1">IF(AND(ISNUMBER($AO$295),$B$208=1),$AO$295,HLOOKUP(INDIRECT(ADDRESS(2,COLUMN())),OFFSET($BN$2,0,0,ROW()-1,60),ROW()-1,FALSE))</f>
        <v>88651</v>
      </c>
      <c r="AP91">
        <f ca="1">IF(AND(ISNUMBER($AP$295),$B$208=1),$AP$295,HLOOKUP(INDIRECT(ADDRESS(2,COLUMN())),OFFSET($BN$2,0,0,ROW()-1,60),ROW()-1,FALSE))</f>
        <v>89378</v>
      </c>
      <c r="AQ91">
        <f ca="1">IF(AND(ISNUMBER($AQ$295),$B$208=1),$AQ$295,HLOOKUP(INDIRECT(ADDRESS(2,COLUMN())),OFFSET($BN$2,0,0,ROW()-1,60),ROW()-1,FALSE))</f>
        <v>90505</v>
      </c>
      <c r="AR91">
        <f ca="1">IF(AND(ISNUMBER($AR$295),$B$208=1),$AR$295,HLOOKUP(INDIRECT(ADDRESS(2,COLUMN())),OFFSET($BN$2,0,0,ROW()-1,60),ROW()-1,FALSE))</f>
        <v>91465</v>
      </c>
      <c r="AS91">
        <f ca="1">IF(AND(ISNUMBER($AS$295),$B$208=1),$AS$295,HLOOKUP(INDIRECT(ADDRESS(2,COLUMN())),OFFSET($BN$2,0,0,ROW()-1,60),ROW()-1,FALSE))</f>
        <v>92741</v>
      </c>
      <c r="AT91">
        <f ca="1">IF(AND(ISNUMBER($AT$295),$B$208=1),$AT$295,HLOOKUP(INDIRECT(ADDRESS(2,COLUMN())),OFFSET($BN$2,0,0,ROW()-1,60),ROW()-1,FALSE))</f>
        <v>80421</v>
      </c>
      <c r="AU91">
        <f ca="1">IF(AND(ISNUMBER($AU$295),$B$208=1),$AU$295,HLOOKUP(INDIRECT(ADDRESS(2,COLUMN())),OFFSET($BN$2,0,0,ROW()-1,60),ROW()-1,FALSE))</f>
        <v>84518</v>
      </c>
      <c r="AV91">
        <f ca="1">IF(AND(ISNUMBER($AV$295),$B$208=1),$AV$295,HLOOKUP(INDIRECT(ADDRESS(2,COLUMN())),OFFSET($BN$2,0,0,ROW()-1,60),ROW()-1,FALSE))</f>
        <v>85493</v>
      </c>
      <c r="AW91">
        <f ca="1">IF(AND(ISNUMBER($AW$295),$B$208=1),$AW$295,HLOOKUP(INDIRECT(ADDRESS(2,COLUMN())),OFFSET($BN$2,0,0,ROW()-1,60),ROW()-1,FALSE))</f>
        <v>86440</v>
      </c>
      <c r="AX91">
        <f ca="1">IF(AND(ISNUMBER($AX$295),$B$208=1),$AX$295,HLOOKUP(INDIRECT(ADDRESS(2,COLUMN())),OFFSET($BN$2,0,0,ROW()-1,60),ROW()-1,FALSE))</f>
        <v>84412</v>
      </c>
      <c r="AY91">
        <f ca="1">IF(AND(ISNUMBER($AY$295),$B$208=1),$AY$295,HLOOKUP(INDIRECT(ADDRESS(2,COLUMN())),OFFSET($BN$2,0,0,ROW()-1,60),ROW()-1,FALSE))</f>
        <v>88832</v>
      </c>
      <c r="AZ91">
        <f ca="1">IF(AND(ISNUMBER($AZ$295),$B$208=1),$AZ$295,HLOOKUP(INDIRECT(ADDRESS(2,COLUMN())),OFFSET($BN$2,0,0,ROW()-1,60),ROW()-1,FALSE))</f>
        <v>90321</v>
      </c>
      <c r="BA91">
        <f ca="1">IF(AND(ISNUMBER($BA$295),$B$208=1),$BA$295,HLOOKUP(INDIRECT(ADDRESS(2,COLUMN())),OFFSET($BN$2,0,0,ROW()-1,60),ROW()-1,FALSE))</f>
        <v>91640</v>
      </c>
      <c r="BB91">
        <f ca="1">IF(AND(ISNUMBER($BB$295),$B$208=1),$BB$295,HLOOKUP(INDIRECT(ADDRESS(2,COLUMN())),OFFSET($BN$2,0,0,ROW()-1,60),ROW()-1,FALSE))</f>
        <v>87720</v>
      </c>
      <c r="BC91">
        <f ca="1">IF(AND(ISNUMBER($BC$295),$B$208=1),$BC$295,HLOOKUP(INDIRECT(ADDRESS(2,COLUMN())),OFFSET($BN$2,0,0,ROW()-1,60),ROW()-1,FALSE))</f>
        <v>90467</v>
      </c>
      <c r="BD91">
        <f ca="1">IF(AND(ISNUMBER($BD$295),$B$208=1),$BD$295,HLOOKUP(INDIRECT(ADDRESS(2,COLUMN())),OFFSET($BN$2,0,0,ROW()-1,60),ROW()-1,FALSE))</f>
        <v>68700</v>
      </c>
      <c r="BE91">
        <f ca="1">IF(AND(ISNUMBER($BE$295),$B$208=1),$BE$295,HLOOKUP(INDIRECT(ADDRESS(2,COLUMN())),OFFSET($BN$2,0,0,ROW()-1,60),ROW()-1,FALSE))</f>
        <v>69136</v>
      </c>
      <c r="BF91">
        <f ca="1">IF(AND(ISNUMBER($BF$295),$B$208=1),$BF$295,HLOOKUP(INDIRECT(ADDRESS(2,COLUMN())),OFFSET($BN$2,0,0,ROW()-1,60),ROW()-1,FALSE))</f>
        <v>69705</v>
      </c>
      <c r="BG91">
        <f ca="1">IF(AND(ISNUMBER($BG$295),$B$208=1),$BG$295,HLOOKUP(INDIRECT(ADDRESS(2,COLUMN())),OFFSET($BN$2,0,0,ROW()-1,60),ROW()-1,FALSE))</f>
        <v>69931</v>
      </c>
      <c r="BH91">
        <f ca="1">IF(AND(ISNUMBER($BH$295),$B$208=1),$BH$295,HLOOKUP(INDIRECT(ADDRESS(2,COLUMN())),OFFSET($BN$2,0,0,ROW()-1,60),ROW()-1,FALSE))</f>
        <v>70032</v>
      </c>
      <c r="BI91">
        <f ca="1">IF(AND(ISNUMBER($BI$295),$B$208=1),$BI$295,HLOOKUP(INDIRECT(ADDRESS(2,COLUMN())),OFFSET($BN$2,0,0,ROW()-1,60),ROW()-1,FALSE))</f>
        <v>69946</v>
      </c>
      <c r="BJ91">
        <f ca="1">IF(AND(ISNUMBER($BJ$295),$B$208=1),$BJ$295,HLOOKUP(INDIRECT(ADDRESS(2,COLUMN())),OFFSET($BN$2,0,0,ROW()-1,60),ROW()-1,FALSE))</f>
        <v>70054</v>
      </c>
      <c r="BK91">
        <f ca="1">IF(AND(ISNUMBER($BK$295),$B$208=1),$BK$295,HLOOKUP(INDIRECT(ADDRESS(2,COLUMN())),OFFSET($BN$2,0,0,ROW()-1,60),ROW()-1,FALSE))</f>
        <v>67543</v>
      </c>
      <c r="BL91">
        <f ca="1">IF(AND(ISNUMBER($BL$295),$B$208=1),$BL$295,HLOOKUP(INDIRECT(ADDRESS(2,COLUMN())),OFFSET($BN$2,0,0,ROW()-1,60),ROW()-1,FALSE))</f>
        <v>67655</v>
      </c>
      <c r="BM91">
        <f ca="1">IF(AND(ISNUMBER($BM$295),$B$208=1),$BM$295,HLOOKUP(INDIRECT(ADDRESS(2,COLUMN())),OFFSET($BN$2,0,0,ROW()-1,60),ROW()-1,FALSE))</f>
        <v>67061</v>
      </c>
      <c r="BN91">
        <f>155207</f>
        <v>155207</v>
      </c>
      <c r="BO91">
        <f>154333</f>
        <v>154333</v>
      </c>
      <c r="BP91">
        <f>153363</f>
        <v>153363</v>
      </c>
      <c r="BQ91">
        <f>152828</f>
        <v>152828</v>
      </c>
      <c r="BR91">
        <f>175808</f>
        <v>175808</v>
      </c>
      <c r="BS91">
        <f>153358</f>
        <v>153358</v>
      </c>
      <c r="BT91">
        <f>154981</f>
        <v>154981</v>
      </c>
      <c r="BU91">
        <f>156378</f>
        <v>156378</v>
      </c>
      <c r="BV91">
        <f>183867</f>
        <v>183867</v>
      </c>
      <c r="BW91">
        <f>159008</f>
        <v>159008</v>
      </c>
      <c r="BX91">
        <f>186128</f>
        <v>186128</v>
      </c>
      <c r="BY91">
        <f>157491</f>
        <v>157491</v>
      </c>
      <c r="BZ91">
        <f>184751</f>
        <v>184751</v>
      </c>
      <c r="CA91">
        <f>187177</f>
        <v>187177</v>
      </c>
      <c r="CB91">
        <f>192592</f>
        <v>192592</v>
      </c>
      <c r="CC91">
        <f>164322</f>
        <v>164322</v>
      </c>
      <c r="CD91">
        <f>120649</f>
        <v>120649</v>
      </c>
      <c r="CE91">
        <f>121757</f>
        <v>121757</v>
      </c>
      <c r="CF91">
        <f>124153</f>
        <v>124153</v>
      </c>
      <c r="CG91">
        <f>102520</f>
        <v>102520</v>
      </c>
      <c r="CH91">
        <f>124334</f>
        <v>124334</v>
      </c>
      <c r="CI91">
        <f>125216</f>
        <v>125216</v>
      </c>
      <c r="CJ91">
        <f>104485</f>
        <v>104485</v>
      </c>
      <c r="CK91">
        <f>104418</f>
        <v>104418</v>
      </c>
      <c r="CL91">
        <f>127046</f>
        <v>127046</v>
      </c>
      <c r="CM91">
        <f>92456</f>
        <v>92456</v>
      </c>
      <c r="CN91">
        <f>104152</f>
        <v>104152</v>
      </c>
      <c r="CO91">
        <f>104017</f>
        <v>104017</v>
      </c>
      <c r="CP91">
        <f>128490</f>
        <v>128490</v>
      </c>
      <c r="CQ91">
        <f>129127</f>
        <v>129127</v>
      </c>
      <c r="CR91">
        <f>131293</f>
        <v>131293</v>
      </c>
      <c r="CS91">
        <f>96786</f>
        <v>96786</v>
      </c>
      <c r="CT91">
        <f>86405</f>
        <v>86405</v>
      </c>
      <c r="CU91">
        <f>87483</f>
        <v>87483</v>
      </c>
      <c r="CV91">
        <f>88221</f>
        <v>88221</v>
      </c>
      <c r="CW91">
        <f>88651</f>
        <v>88651</v>
      </c>
      <c r="CX91">
        <f>89378</f>
        <v>89378</v>
      </c>
      <c r="CY91">
        <f>90505</f>
        <v>90505</v>
      </c>
      <c r="CZ91">
        <f>91465</f>
        <v>91465</v>
      </c>
      <c r="DA91">
        <f>92741</f>
        <v>92741</v>
      </c>
      <c r="DB91">
        <f>80421</f>
        <v>80421</v>
      </c>
      <c r="DC91">
        <f>84518</f>
        <v>84518</v>
      </c>
      <c r="DD91">
        <f>85493</f>
        <v>85493</v>
      </c>
      <c r="DE91">
        <f>86440</f>
        <v>86440</v>
      </c>
      <c r="DF91">
        <f>84412</f>
        <v>84412</v>
      </c>
      <c r="DG91">
        <f>88832</f>
        <v>88832</v>
      </c>
      <c r="DH91">
        <f>90321</f>
        <v>90321</v>
      </c>
      <c r="DI91">
        <f>91640</f>
        <v>91640</v>
      </c>
      <c r="DJ91">
        <f>87720</f>
        <v>87720</v>
      </c>
      <c r="DK91">
        <f>90467</f>
        <v>90467</v>
      </c>
      <c r="DL91">
        <f>68700</f>
        <v>68700</v>
      </c>
      <c r="DM91">
        <f>69136</f>
        <v>69136</v>
      </c>
      <c r="DN91">
        <f>69705</f>
        <v>69705</v>
      </c>
      <c r="DO91">
        <f>69931</f>
        <v>69931</v>
      </c>
      <c r="DP91">
        <f>70032</f>
        <v>70032</v>
      </c>
      <c r="DQ91">
        <f>69946</f>
        <v>69946</v>
      </c>
      <c r="DR91">
        <f>70054</f>
        <v>70054</v>
      </c>
      <c r="DS91">
        <f>67543</f>
        <v>67543</v>
      </c>
      <c r="DT91">
        <f>67655</f>
        <v>67655</v>
      </c>
      <c r="DU91">
        <f>67061</f>
        <v>67061</v>
      </c>
    </row>
    <row r="92" spans="1:125" x14ac:dyDescent="0.25">
      <c r="A92" t="str">
        <f>"    Commerzbank AG"</f>
        <v xml:space="preserve">    Commerzbank AG</v>
      </c>
      <c r="B92" t="str">
        <f>"CBK GR Equity"</f>
        <v>CBK GR Equity</v>
      </c>
      <c r="C92" t="str">
        <f t="shared" si="6"/>
        <v>BS017</v>
      </c>
      <c r="D92" t="str">
        <f t="shared" si="7"/>
        <v>BS_CONS_LOAN</v>
      </c>
      <c r="E92" t="str">
        <f t="shared" si="8"/>
        <v>Dynamic</v>
      </c>
      <c r="F92" t="str">
        <f ca="1">IF(AND(ISNUMBER($F$296),$B$208=1),$F$296,HLOOKUP(INDIRECT(ADDRESS(2,COLUMN())),OFFSET($BN$2,0,0,ROW()-1,60),ROW()-1,FALSE))</f>
        <v/>
      </c>
      <c r="G92" t="str">
        <f ca="1">IF(AND(ISNUMBER($G$296),$B$208=1),$G$296,HLOOKUP(INDIRECT(ADDRESS(2,COLUMN())),OFFSET($BN$2,0,0,ROW()-1,60),ROW()-1,FALSE))</f>
        <v/>
      </c>
      <c r="H92" t="str">
        <f ca="1">IF(AND(ISNUMBER($H$296),$B$208=1),$H$296,HLOOKUP(INDIRECT(ADDRESS(2,COLUMN())),OFFSET($BN$2,0,0,ROW()-1,60),ROW()-1,FALSE))</f>
        <v/>
      </c>
      <c r="I92" t="str">
        <f ca="1">IF(AND(ISNUMBER($I$296),$B$208=1),$I$296,HLOOKUP(INDIRECT(ADDRESS(2,COLUMN())),OFFSET($BN$2,0,0,ROW()-1,60),ROW()-1,FALSE))</f>
        <v/>
      </c>
      <c r="J92">
        <f ca="1">IF(AND(ISNUMBER($J$296),$B$208=1),$J$296,HLOOKUP(INDIRECT(ADDRESS(2,COLUMN())),OFFSET($BN$2,0,0,ROW()-1,60),ROW()-1,FALSE))</f>
        <v>129736</v>
      </c>
      <c r="K92" t="str">
        <f ca="1">IF(AND(ISNUMBER($K$296),$B$208=1),$K$296,HLOOKUP(INDIRECT(ADDRESS(2,COLUMN())),OFFSET($BN$2,0,0,ROW()-1,60),ROW()-1,FALSE))</f>
        <v/>
      </c>
      <c r="L92" t="str">
        <f ca="1">IF(AND(ISNUMBER($L$296),$B$208=1),$L$296,HLOOKUP(INDIRECT(ADDRESS(2,COLUMN())),OFFSET($BN$2,0,0,ROW()-1,60),ROW()-1,FALSE))</f>
        <v/>
      </c>
      <c r="M92" t="str">
        <f ca="1">IF(AND(ISNUMBER($M$296),$B$208=1),$M$296,HLOOKUP(INDIRECT(ADDRESS(2,COLUMN())),OFFSET($BN$2,0,0,ROW()-1,60),ROW()-1,FALSE))</f>
        <v/>
      </c>
      <c r="N92">
        <f ca="1">IF(AND(ISNUMBER($N$296),$B$208=1),$N$296,HLOOKUP(INDIRECT(ADDRESS(2,COLUMN())),OFFSET($BN$2,0,0,ROW()-1,60),ROW()-1,FALSE))</f>
        <v>129249</v>
      </c>
      <c r="O92" t="str">
        <f ca="1">IF(AND(ISNUMBER($O$296),$B$208=1),$O$296,HLOOKUP(INDIRECT(ADDRESS(2,COLUMN())),OFFSET($BN$2,0,0,ROW()-1,60),ROW()-1,FALSE))</f>
        <v/>
      </c>
      <c r="P92" t="str">
        <f ca="1">IF(AND(ISNUMBER($P$296),$B$208=1),$P$296,HLOOKUP(INDIRECT(ADDRESS(2,COLUMN())),OFFSET($BN$2,0,0,ROW()-1,60),ROW()-1,FALSE))</f>
        <v/>
      </c>
      <c r="Q92" t="str">
        <f ca="1">IF(AND(ISNUMBER($Q$296),$B$208=1),$Q$296,HLOOKUP(INDIRECT(ADDRESS(2,COLUMN())),OFFSET($BN$2,0,0,ROW()-1,60),ROW()-1,FALSE))</f>
        <v/>
      </c>
      <c r="R92">
        <f ca="1">IF(AND(ISNUMBER($R$296),$B$208=1),$R$296,HLOOKUP(INDIRECT(ADDRESS(2,COLUMN())),OFFSET($BN$2,0,0,ROW()-1,60),ROW()-1,FALSE))</f>
        <v>126781</v>
      </c>
      <c r="S92" t="str">
        <f ca="1">IF(AND(ISNUMBER($S$296),$B$208=1),$S$296,HLOOKUP(INDIRECT(ADDRESS(2,COLUMN())),OFFSET($BN$2,0,0,ROW()-1,60),ROW()-1,FALSE))</f>
        <v/>
      </c>
      <c r="T92">
        <f ca="1">IF(AND(ISNUMBER($T$296),$B$208=1),$T$296,HLOOKUP(INDIRECT(ADDRESS(2,COLUMN())),OFFSET($BN$2,0,0,ROW()-1,60),ROW()-1,FALSE))</f>
        <v>122093</v>
      </c>
      <c r="U92" t="str">
        <f ca="1">IF(AND(ISNUMBER($U$296),$B$208=1),$U$296,HLOOKUP(INDIRECT(ADDRESS(2,COLUMN())),OFFSET($BN$2,0,0,ROW()-1,60),ROW()-1,FALSE))</f>
        <v/>
      </c>
      <c r="V92">
        <f ca="1">IF(AND(ISNUMBER($V$296),$B$208=1),$V$296,HLOOKUP(INDIRECT(ADDRESS(2,COLUMN())),OFFSET($BN$2,0,0,ROW()-1,60),ROW()-1,FALSE))</f>
        <v>117906</v>
      </c>
      <c r="W92">
        <f ca="1">IF(AND(ISNUMBER($W$296),$B$208=1),$W$296,HLOOKUP(INDIRECT(ADDRESS(2,COLUMN())),OFFSET($BN$2,0,0,ROW()-1,60),ROW()-1,FALSE))</f>
        <v>115102</v>
      </c>
      <c r="X92">
        <f ca="1">IF(AND(ISNUMBER($X$296),$B$208=1),$X$296,HLOOKUP(INDIRECT(ADDRESS(2,COLUMN())),OFFSET($BN$2,0,0,ROW()-1,60),ROW()-1,FALSE))</f>
        <v>112788</v>
      </c>
      <c r="Y92">
        <f ca="1">IF(AND(ISNUMBER($Y$296),$B$208=1),$Y$296,HLOOKUP(INDIRECT(ADDRESS(2,COLUMN())),OFFSET($BN$2,0,0,ROW()-1,60),ROW()-1,FALSE))</f>
        <v>111303</v>
      </c>
      <c r="Z92">
        <f ca="1">IF(AND(ISNUMBER($Z$296),$B$208=1),$Z$296,HLOOKUP(INDIRECT(ADDRESS(2,COLUMN())),OFFSET($BN$2,0,0,ROW()-1,60),ROW()-1,FALSE))</f>
        <v>109706</v>
      </c>
      <c r="AA92">
        <f ca="1">IF(AND(ISNUMBER($AA$296),$B$208=1),$AA$296,HLOOKUP(INDIRECT(ADDRESS(2,COLUMN())),OFFSET($BN$2,0,0,ROW()-1,60),ROW()-1,FALSE))</f>
        <v>107535</v>
      </c>
      <c r="AB92">
        <f ca="1">IF(AND(ISNUMBER($AB$296),$B$208=1),$AB$296,HLOOKUP(INDIRECT(ADDRESS(2,COLUMN())),OFFSET($BN$2,0,0,ROW()-1,60),ROW()-1,FALSE))</f>
        <v>105455</v>
      </c>
      <c r="AC92">
        <f ca="1">IF(AND(ISNUMBER($AC$296),$B$208=1),$AC$296,HLOOKUP(INDIRECT(ADDRESS(2,COLUMN())),OFFSET($BN$2,0,0,ROW()-1,60),ROW()-1,FALSE))</f>
        <v>103326</v>
      </c>
      <c r="AD92">
        <f ca="1">IF(AND(ISNUMBER($AD$296),$B$208=1),$AD$296,HLOOKUP(INDIRECT(ADDRESS(2,COLUMN())),OFFSET($BN$2,0,0,ROW()-1,60),ROW()-1,FALSE))</f>
        <v>100902</v>
      </c>
      <c r="AE92">
        <f ca="1">IF(AND(ISNUMBER($AE$296),$B$208=1),$AE$296,HLOOKUP(INDIRECT(ADDRESS(2,COLUMN())),OFFSET($BN$2,0,0,ROW()-1,60),ROW()-1,FALSE))</f>
        <v>98652</v>
      </c>
      <c r="AF92">
        <f ca="1">IF(AND(ISNUMBER($AF$296),$B$208=1),$AF$296,HLOOKUP(INDIRECT(ADDRESS(2,COLUMN())),OFFSET($BN$2,0,0,ROW()-1,60),ROW()-1,FALSE))</f>
        <v>96357</v>
      </c>
      <c r="AG92">
        <f ca="1">IF(AND(ISNUMBER($AG$296),$B$208=1),$AG$296,HLOOKUP(INDIRECT(ADDRESS(2,COLUMN())),OFFSET($BN$2,0,0,ROW()-1,60),ROW()-1,FALSE))</f>
        <v>94816</v>
      </c>
      <c r="AH92">
        <f ca="1">IF(AND(ISNUMBER($AH$296),$B$208=1),$AH$296,HLOOKUP(INDIRECT(ADDRESS(2,COLUMN())),OFFSET($BN$2,0,0,ROW()-1,60),ROW()-1,FALSE))</f>
        <v>93476</v>
      </c>
      <c r="AI92" t="str">
        <f ca="1">IF(AND(ISNUMBER($AI$296),$B$208=1),$AI$296,HLOOKUP(INDIRECT(ADDRESS(2,COLUMN())),OFFSET($BN$2,0,0,ROW()-1,60),ROW()-1,FALSE))</f>
        <v/>
      </c>
      <c r="AJ92" t="str">
        <f ca="1">IF(AND(ISNUMBER($AJ$296),$B$208=1),$AJ$296,HLOOKUP(INDIRECT(ADDRESS(2,COLUMN())),OFFSET($BN$2,0,0,ROW()-1,60),ROW()-1,FALSE))</f>
        <v/>
      </c>
      <c r="AK92" t="str">
        <f ca="1">IF(AND(ISNUMBER($AK$296),$B$208=1),$AK$296,HLOOKUP(INDIRECT(ADDRESS(2,COLUMN())),OFFSET($BN$2,0,0,ROW()-1,60),ROW()-1,FALSE))</f>
        <v/>
      </c>
      <c r="AL92">
        <f ca="1">IF(AND(ISNUMBER($AL$296),$B$208=1),$AL$296,HLOOKUP(INDIRECT(ADDRESS(2,COLUMN())),OFFSET($BN$2,0,0,ROW()-1,60),ROW()-1,FALSE))</f>
        <v>82636</v>
      </c>
      <c r="AM92" t="str">
        <f ca="1">IF(AND(ISNUMBER($AM$296),$B$208=1),$AM$296,HLOOKUP(INDIRECT(ADDRESS(2,COLUMN())),OFFSET($BN$2,0,0,ROW()-1,60),ROW()-1,FALSE))</f>
        <v/>
      </c>
      <c r="AN92" t="str">
        <f ca="1">IF(AND(ISNUMBER($AN$296),$B$208=1),$AN$296,HLOOKUP(INDIRECT(ADDRESS(2,COLUMN())),OFFSET($BN$2,0,0,ROW()-1,60),ROW()-1,FALSE))</f>
        <v/>
      </c>
      <c r="AO92">
        <f ca="1">IF(AND(ISNUMBER($AO$296),$B$208=1),$AO$296,HLOOKUP(INDIRECT(ADDRESS(2,COLUMN())),OFFSET($BN$2,0,0,ROW()-1,60),ROW()-1,FALSE))</f>
        <v>25325</v>
      </c>
      <c r="AP92">
        <f ca="1">IF(AND(ISNUMBER($AP$296),$B$208=1),$AP$296,HLOOKUP(INDIRECT(ADDRESS(2,COLUMN())),OFFSET($BN$2,0,0,ROW()-1,60),ROW()-1,FALSE))</f>
        <v>67091</v>
      </c>
      <c r="AQ92">
        <f ca="1">IF(AND(ISNUMBER($AQ$296),$B$208=1),$AQ$296,HLOOKUP(INDIRECT(ADDRESS(2,COLUMN())),OFFSET($BN$2,0,0,ROW()-1,60),ROW()-1,FALSE))</f>
        <v>28295</v>
      </c>
      <c r="AR92">
        <f ca="1">IF(AND(ISNUMBER($AR$296),$B$208=1),$AR$296,HLOOKUP(INDIRECT(ADDRESS(2,COLUMN())),OFFSET($BN$2,0,0,ROW()-1,60),ROW()-1,FALSE))</f>
        <v>28087</v>
      </c>
      <c r="AS92">
        <f ca="1">IF(AND(ISNUMBER($AS$296),$B$208=1),$AS$296,HLOOKUP(INDIRECT(ADDRESS(2,COLUMN())),OFFSET($BN$2,0,0,ROW()-1,60),ROW()-1,FALSE))</f>
        <v>29876</v>
      </c>
      <c r="AT92">
        <f ca="1">IF(AND(ISNUMBER($AT$296),$B$208=1),$AT$296,HLOOKUP(INDIRECT(ADDRESS(2,COLUMN())),OFFSET($BN$2,0,0,ROW()-1,60),ROW()-1,FALSE))</f>
        <v>64189</v>
      </c>
      <c r="AU92">
        <f ca="1">IF(AND(ISNUMBER($AU$296),$B$208=1),$AU$296,HLOOKUP(INDIRECT(ADDRESS(2,COLUMN())),OFFSET($BN$2,0,0,ROW()-1,60),ROW()-1,FALSE))</f>
        <v>29360</v>
      </c>
      <c r="AV92">
        <f ca="1">IF(AND(ISNUMBER($AV$296),$B$208=1),$AV$296,HLOOKUP(INDIRECT(ADDRESS(2,COLUMN())),OFFSET($BN$2,0,0,ROW()-1,60),ROW()-1,FALSE))</f>
        <v>29773</v>
      </c>
      <c r="AW92">
        <f ca="1">IF(AND(ISNUMBER($AW$296),$B$208=1),$AW$296,HLOOKUP(INDIRECT(ADDRESS(2,COLUMN())),OFFSET($BN$2,0,0,ROW()-1,60),ROW()-1,FALSE))</f>
        <v>30461</v>
      </c>
      <c r="AX92">
        <f ca="1">IF(AND(ISNUMBER($AX$296),$B$208=1),$AX$296,HLOOKUP(INDIRECT(ADDRESS(2,COLUMN())),OFFSET($BN$2,0,0,ROW()-1,60),ROW()-1,FALSE))</f>
        <v>62740</v>
      </c>
      <c r="AY92">
        <f ca="1">IF(AND(ISNUMBER($AY$296),$B$208=1),$AY$296,HLOOKUP(INDIRECT(ADDRESS(2,COLUMN())),OFFSET($BN$2,0,0,ROW()-1,60),ROW()-1,FALSE))</f>
        <v>30003</v>
      </c>
      <c r="AZ92">
        <f ca="1">IF(AND(ISNUMBER($AZ$296),$B$208=1),$AZ$296,HLOOKUP(INDIRECT(ADDRESS(2,COLUMN())),OFFSET($BN$2,0,0,ROW()-1,60),ROW()-1,FALSE))</f>
        <v>39416</v>
      </c>
      <c r="BA92">
        <f ca="1">IF(AND(ISNUMBER($BA$296),$B$208=1),$BA$296,HLOOKUP(INDIRECT(ADDRESS(2,COLUMN())),OFFSET($BN$2,0,0,ROW()-1,60),ROW()-1,FALSE))</f>
        <v>31409</v>
      </c>
      <c r="BB92">
        <f ca="1">IF(AND(ISNUMBER($BB$296),$B$208=1),$BB$296,HLOOKUP(INDIRECT(ADDRESS(2,COLUMN())),OFFSET($BN$2,0,0,ROW()-1,60),ROW()-1,FALSE))</f>
        <v>63907</v>
      </c>
      <c r="BC92">
        <f ca="1">IF(AND(ISNUMBER($BC$296),$B$208=1),$BC$296,HLOOKUP(INDIRECT(ADDRESS(2,COLUMN())),OFFSET($BN$2,0,0,ROW()-1,60),ROW()-1,FALSE))</f>
        <v>33487</v>
      </c>
      <c r="BD92">
        <f ca="1">IF(AND(ISNUMBER($BD$296),$B$208=1),$BD$296,HLOOKUP(INDIRECT(ADDRESS(2,COLUMN())),OFFSET($BN$2,0,0,ROW()-1,60),ROW()-1,FALSE))</f>
        <v>28549</v>
      </c>
      <c r="BE92">
        <f ca="1">IF(AND(ISNUMBER($BE$296),$B$208=1),$BE$296,HLOOKUP(INDIRECT(ADDRESS(2,COLUMN())),OFFSET($BN$2,0,0,ROW()-1,60),ROW()-1,FALSE))</f>
        <v>27539</v>
      </c>
      <c r="BF92">
        <f ca="1">IF(AND(ISNUMBER($BF$296),$B$208=1),$BF$296,HLOOKUP(INDIRECT(ADDRESS(2,COLUMN())),OFFSET($BN$2,0,0,ROW()-1,60),ROW()-1,FALSE))</f>
        <v>68062</v>
      </c>
      <c r="BG92">
        <f ca="1">IF(AND(ISNUMBER($BG$296),$B$208=1),$BG$296,HLOOKUP(INDIRECT(ADDRESS(2,COLUMN())),OFFSET($BN$2,0,0,ROW()-1,60),ROW()-1,FALSE))</f>
        <v>28662</v>
      </c>
      <c r="BH92">
        <f ca="1">IF(AND(ISNUMBER($BH$296),$B$208=1),$BH$296,HLOOKUP(INDIRECT(ADDRESS(2,COLUMN())),OFFSET($BN$2,0,0,ROW()-1,60),ROW()-1,FALSE))</f>
        <v>28975</v>
      </c>
      <c r="BI92">
        <f ca="1">IF(AND(ISNUMBER($BI$296),$B$208=1),$BI$296,HLOOKUP(INDIRECT(ADDRESS(2,COLUMN())),OFFSET($BN$2,0,0,ROW()-1,60),ROW()-1,FALSE))</f>
        <v>21303</v>
      </c>
      <c r="BJ92" t="str">
        <f ca="1">IF(AND(ISNUMBER($BJ$296),$B$208=1),$BJ$296,HLOOKUP(INDIRECT(ADDRESS(2,COLUMN())),OFFSET($BN$2,0,0,ROW()-1,60),ROW()-1,FALSE))</f>
        <v/>
      </c>
      <c r="BK92">
        <f ca="1">IF(AND(ISNUMBER($BK$296),$B$208=1),$BK$296,HLOOKUP(INDIRECT(ADDRESS(2,COLUMN())),OFFSET($BN$2,0,0,ROW()-1,60),ROW()-1,FALSE))</f>
        <v>24890</v>
      </c>
      <c r="BL92">
        <f ca="1">IF(AND(ISNUMBER($BL$296),$B$208=1),$BL$296,HLOOKUP(INDIRECT(ADDRESS(2,COLUMN())),OFFSET($BN$2,0,0,ROW()-1,60),ROW()-1,FALSE))</f>
        <v>27785</v>
      </c>
      <c r="BM92">
        <f ca="1">IF(AND(ISNUMBER($BM$296),$B$208=1),$BM$296,HLOOKUP(INDIRECT(ADDRESS(2,COLUMN())),OFFSET($BN$2,0,0,ROW()-1,60),ROW()-1,FALSE))</f>
        <v>23589</v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>
        <f>129736</f>
        <v>129736</v>
      </c>
      <c r="BS92" t="str">
        <f>""</f>
        <v/>
      </c>
      <c r="BT92" t="str">
        <f>""</f>
        <v/>
      </c>
      <c r="BU92" t="str">
        <f>""</f>
        <v/>
      </c>
      <c r="BV92">
        <f>129249</f>
        <v>129249</v>
      </c>
      <c r="BW92" t="str">
        <f>""</f>
        <v/>
      </c>
      <c r="BX92" t="str">
        <f>""</f>
        <v/>
      </c>
      <c r="BY92" t="str">
        <f>""</f>
        <v/>
      </c>
      <c r="BZ92">
        <f>126781</f>
        <v>126781</v>
      </c>
      <c r="CA92" t="str">
        <f>""</f>
        <v/>
      </c>
      <c r="CB92">
        <f>122093</f>
        <v>122093</v>
      </c>
      <c r="CC92" t="str">
        <f>""</f>
        <v/>
      </c>
      <c r="CD92">
        <f>117906</f>
        <v>117906</v>
      </c>
      <c r="CE92">
        <f>115102</f>
        <v>115102</v>
      </c>
      <c r="CF92">
        <f>112788</f>
        <v>112788</v>
      </c>
      <c r="CG92">
        <f>111303</f>
        <v>111303</v>
      </c>
      <c r="CH92">
        <f>109706</f>
        <v>109706</v>
      </c>
      <c r="CI92">
        <f>107535</f>
        <v>107535</v>
      </c>
      <c r="CJ92">
        <f>105455</f>
        <v>105455</v>
      </c>
      <c r="CK92">
        <f>103326</f>
        <v>103326</v>
      </c>
      <c r="CL92">
        <f>100902</f>
        <v>100902</v>
      </c>
      <c r="CM92">
        <f>98652</f>
        <v>98652</v>
      </c>
      <c r="CN92">
        <f>96357</f>
        <v>96357</v>
      </c>
      <c r="CO92">
        <f>94816</f>
        <v>94816</v>
      </c>
      <c r="CP92">
        <f>93476</f>
        <v>93476</v>
      </c>
      <c r="CQ92" t="str">
        <f>""</f>
        <v/>
      </c>
      <c r="CR92" t="str">
        <f>""</f>
        <v/>
      </c>
      <c r="CS92" t="str">
        <f>""</f>
        <v/>
      </c>
      <c r="CT92">
        <f>82636</f>
        <v>82636</v>
      </c>
      <c r="CU92" t="str">
        <f>""</f>
        <v/>
      </c>
      <c r="CV92" t="str">
        <f>""</f>
        <v/>
      </c>
      <c r="CW92">
        <f>25325</f>
        <v>25325</v>
      </c>
      <c r="CX92">
        <f>67091</f>
        <v>67091</v>
      </c>
      <c r="CY92">
        <f>28295</f>
        <v>28295</v>
      </c>
      <c r="CZ92">
        <f>28087</f>
        <v>28087</v>
      </c>
      <c r="DA92">
        <f>29876</f>
        <v>29876</v>
      </c>
      <c r="DB92">
        <f>64189</f>
        <v>64189</v>
      </c>
      <c r="DC92">
        <f>29360</f>
        <v>29360</v>
      </c>
      <c r="DD92">
        <f>29773</f>
        <v>29773</v>
      </c>
      <c r="DE92">
        <f>30461</f>
        <v>30461</v>
      </c>
      <c r="DF92">
        <f>62740</f>
        <v>62740</v>
      </c>
      <c r="DG92">
        <f>30003</f>
        <v>30003</v>
      </c>
      <c r="DH92">
        <f>39416</f>
        <v>39416</v>
      </c>
      <c r="DI92">
        <f>31409</f>
        <v>31409</v>
      </c>
      <c r="DJ92">
        <f>63907</f>
        <v>63907</v>
      </c>
      <c r="DK92">
        <f>33487</f>
        <v>33487</v>
      </c>
      <c r="DL92">
        <f>28549</f>
        <v>28549</v>
      </c>
      <c r="DM92">
        <f>27539</f>
        <v>27539</v>
      </c>
      <c r="DN92">
        <f>68062</f>
        <v>68062</v>
      </c>
      <c r="DO92">
        <f>28662</f>
        <v>28662</v>
      </c>
      <c r="DP92">
        <f>28975</f>
        <v>28975</v>
      </c>
      <c r="DQ92">
        <f>21303</f>
        <v>21303</v>
      </c>
      <c r="DR92" t="str">
        <f>""</f>
        <v/>
      </c>
      <c r="DS92">
        <f>24890</f>
        <v>24890</v>
      </c>
      <c r="DT92">
        <f>27785</f>
        <v>27785</v>
      </c>
      <c r="DU92">
        <f>23589</f>
        <v>23589</v>
      </c>
    </row>
    <row r="93" spans="1:125" x14ac:dyDescent="0.25">
      <c r="A93" t="str">
        <f>"    Credit Agricole SA"</f>
        <v xml:space="preserve">    Credit Agricole SA</v>
      </c>
      <c r="B93" t="str">
        <f>"ACA FP Equity"</f>
        <v>ACA FP Equity</v>
      </c>
      <c r="C93" t="str">
        <f t="shared" si="6"/>
        <v>BS017</v>
      </c>
      <c r="D93" t="str">
        <f t="shared" si="7"/>
        <v>BS_CONS_LOAN</v>
      </c>
      <c r="E93" t="str">
        <f t="shared" si="8"/>
        <v>Dynamic</v>
      </c>
      <c r="F93">
        <f ca="1">IF(AND(ISNUMBER($F$297),$B$208=1),$F$297,HLOOKUP(INDIRECT(ADDRESS(2,COLUMN())),OFFSET($BN$2,0,0,ROW()-1,60),ROW()-1,FALSE))</f>
        <v>504624</v>
      </c>
      <c r="G93" t="str">
        <f ca="1">IF(AND(ISNUMBER($G$297),$B$208=1),$G$297,HLOOKUP(INDIRECT(ADDRESS(2,COLUMN())),OFFSET($BN$2,0,0,ROW()-1,60),ROW()-1,FALSE))</f>
        <v/>
      </c>
      <c r="H93">
        <f ca="1">IF(AND(ISNUMBER($H$297),$B$208=1),$H$297,HLOOKUP(INDIRECT(ADDRESS(2,COLUMN())),OFFSET($BN$2,0,0,ROW()-1,60),ROW()-1,FALSE))</f>
        <v>484483</v>
      </c>
      <c r="I93" t="str">
        <f ca="1">IF(AND(ISNUMBER($I$297),$B$208=1),$I$297,HLOOKUP(INDIRECT(ADDRESS(2,COLUMN())),OFFSET($BN$2,0,0,ROW()-1,60),ROW()-1,FALSE))</f>
        <v/>
      </c>
      <c r="J93">
        <f ca="1">IF(AND(ISNUMBER($J$297),$B$208=1),$J$297,HLOOKUP(INDIRECT(ADDRESS(2,COLUMN())),OFFSET($BN$2,0,0,ROW()-1,60),ROW()-1,FALSE))</f>
        <v>476688</v>
      </c>
      <c r="K93" t="str">
        <f ca="1">IF(AND(ISNUMBER($K$297),$B$208=1),$K$297,HLOOKUP(INDIRECT(ADDRESS(2,COLUMN())),OFFSET($BN$2,0,0,ROW()-1,60),ROW()-1,FALSE))</f>
        <v/>
      </c>
      <c r="L93">
        <f ca="1">IF(AND(ISNUMBER($L$297),$B$208=1),$L$297,HLOOKUP(INDIRECT(ADDRESS(2,COLUMN())),OFFSET($BN$2,0,0,ROW()-1,60),ROW()-1,FALSE))</f>
        <v>473020</v>
      </c>
      <c r="M93" t="str">
        <f ca="1">IF(AND(ISNUMBER($M$297),$B$208=1),$M$297,HLOOKUP(INDIRECT(ADDRESS(2,COLUMN())),OFFSET($BN$2,0,0,ROW()-1,60),ROW()-1,FALSE))</f>
        <v/>
      </c>
      <c r="N93">
        <f ca="1">IF(AND(ISNUMBER($N$297),$B$208=1),$N$297,HLOOKUP(INDIRECT(ADDRESS(2,COLUMN())),OFFSET($BN$2,0,0,ROW()-1,60),ROW()-1,FALSE))</f>
        <v>457346</v>
      </c>
      <c r="O93" t="str">
        <f ca="1">IF(AND(ISNUMBER($O$297),$B$208=1),$O$297,HLOOKUP(INDIRECT(ADDRESS(2,COLUMN())),OFFSET($BN$2,0,0,ROW()-1,60),ROW()-1,FALSE))</f>
        <v/>
      </c>
      <c r="P93">
        <f ca="1">IF(AND(ISNUMBER($P$297),$B$208=1),$P$297,HLOOKUP(INDIRECT(ADDRESS(2,COLUMN())),OFFSET($BN$2,0,0,ROW()-1,60),ROW()-1,FALSE))</f>
        <v>445685</v>
      </c>
      <c r="Q93" t="str">
        <f ca="1">IF(AND(ISNUMBER($Q$297),$B$208=1),$Q$297,HLOOKUP(INDIRECT(ADDRESS(2,COLUMN())),OFFSET($BN$2,0,0,ROW()-1,60),ROW()-1,FALSE))</f>
        <v/>
      </c>
      <c r="R93">
        <f ca="1">IF(AND(ISNUMBER($R$297),$B$208=1),$R$297,HLOOKUP(INDIRECT(ADDRESS(2,COLUMN())),OFFSET($BN$2,0,0,ROW()-1,60),ROW()-1,FALSE))</f>
        <v>433802</v>
      </c>
      <c r="S93" t="str">
        <f ca="1">IF(AND(ISNUMBER($S$297),$B$208=1),$S$297,HLOOKUP(INDIRECT(ADDRESS(2,COLUMN())),OFFSET($BN$2,0,0,ROW()-1,60),ROW()-1,FALSE))</f>
        <v/>
      </c>
      <c r="T93">
        <f ca="1">IF(AND(ISNUMBER($T$297),$B$208=1),$T$297,HLOOKUP(INDIRECT(ADDRESS(2,COLUMN())),OFFSET($BN$2,0,0,ROW()-1,60),ROW()-1,FALSE))</f>
        <v>405500</v>
      </c>
      <c r="U93" t="str">
        <f ca="1">IF(AND(ISNUMBER($U$297),$B$208=1),$U$297,HLOOKUP(INDIRECT(ADDRESS(2,COLUMN())),OFFSET($BN$2,0,0,ROW()-1,60),ROW()-1,FALSE))</f>
        <v/>
      </c>
      <c r="V93">
        <f ca="1">IF(AND(ISNUMBER($V$297),$B$208=1),$V$297,HLOOKUP(INDIRECT(ADDRESS(2,COLUMN())),OFFSET($BN$2,0,0,ROW()-1,60),ROW()-1,FALSE))</f>
        <v>380578</v>
      </c>
      <c r="W93" t="str">
        <f ca="1">IF(AND(ISNUMBER($W$297),$B$208=1),$W$297,HLOOKUP(INDIRECT(ADDRESS(2,COLUMN())),OFFSET($BN$2,0,0,ROW()-1,60),ROW()-1,FALSE))</f>
        <v/>
      </c>
      <c r="X93">
        <f ca="1">IF(AND(ISNUMBER($X$297),$B$208=1),$X$297,HLOOKUP(INDIRECT(ADDRESS(2,COLUMN())),OFFSET($BN$2,0,0,ROW()-1,60),ROW()-1,FALSE))</f>
        <v>387235</v>
      </c>
      <c r="Y93" t="str">
        <f ca="1">IF(AND(ISNUMBER($Y$297),$B$208=1),$Y$297,HLOOKUP(INDIRECT(ADDRESS(2,COLUMN())),OFFSET($BN$2,0,0,ROW()-1,60),ROW()-1,FALSE))</f>
        <v/>
      </c>
      <c r="Z93">
        <f ca="1">IF(AND(ISNUMBER($Z$297),$B$208=1),$Z$297,HLOOKUP(INDIRECT(ADDRESS(2,COLUMN())),OFFSET($BN$2,0,0,ROW()-1,60),ROW()-1,FALSE))</f>
        <v>367865</v>
      </c>
      <c r="AA93" t="str">
        <f ca="1">IF(AND(ISNUMBER($AA$297),$B$208=1),$AA$297,HLOOKUP(INDIRECT(ADDRESS(2,COLUMN())),OFFSET($BN$2,0,0,ROW()-1,60),ROW()-1,FALSE))</f>
        <v/>
      </c>
      <c r="AB93">
        <f ca="1">IF(AND(ISNUMBER($AB$297),$B$208=1),$AB$297,HLOOKUP(INDIRECT(ADDRESS(2,COLUMN())),OFFSET($BN$2,0,0,ROW()-1,60),ROW()-1,FALSE))</f>
        <v>359097</v>
      </c>
      <c r="AC93" t="str">
        <f ca="1">IF(AND(ISNUMBER($AC$297),$B$208=1),$AC$297,HLOOKUP(INDIRECT(ADDRESS(2,COLUMN())),OFFSET($BN$2,0,0,ROW()-1,60),ROW()-1,FALSE))</f>
        <v/>
      </c>
      <c r="AD93" t="str">
        <f ca="1">IF(AND(ISNUMBER($AD$297),$B$208=1),$AD$297,HLOOKUP(INDIRECT(ADDRESS(2,COLUMN())),OFFSET($BN$2,0,0,ROW()-1,60),ROW()-1,FALSE))</f>
        <v/>
      </c>
      <c r="AE93" t="str">
        <f ca="1">IF(AND(ISNUMBER($AE$297),$B$208=1),$AE$297,HLOOKUP(INDIRECT(ADDRESS(2,COLUMN())),OFFSET($BN$2,0,0,ROW()-1,60),ROW()-1,FALSE))</f>
        <v/>
      </c>
      <c r="AF93" t="str">
        <f ca="1">IF(AND(ISNUMBER($AF$297),$B$208=1),$AF$297,HLOOKUP(INDIRECT(ADDRESS(2,COLUMN())),OFFSET($BN$2,0,0,ROW()-1,60),ROW()-1,FALSE))</f>
        <v/>
      </c>
      <c r="AG93" t="str">
        <f ca="1">IF(AND(ISNUMBER($AG$297),$B$208=1),$AG$297,HLOOKUP(INDIRECT(ADDRESS(2,COLUMN())),OFFSET($BN$2,0,0,ROW()-1,60),ROW()-1,FALSE))</f>
        <v/>
      </c>
      <c r="AH93" t="str">
        <f ca="1">IF(AND(ISNUMBER($AH$297),$B$208=1),$AH$297,HLOOKUP(INDIRECT(ADDRESS(2,COLUMN())),OFFSET($BN$2,0,0,ROW()-1,60),ROW()-1,FALSE))</f>
        <v/>
      </c>
      <c r="AI93" t="str">
        <f ca="1">IF(AND(ISNUMBER($AI$297),$B$208=1),$AI$297,HLOOKUP(INDIRECT(ADDRESS(2,COLUMN())),OFFSET($BN$2,0,0,ROW()-1,60),ROW()-1,FALSE))</f>
        <v/>
      </c>
      <c r="AJ93" t="str">
        <f ca="1">IF(AND(ISNUMBER($AJ$297),$B$208=1),$AJ$297,HLOOKUP(INDIRECT(ADDRESS(2,COLUMN())),OFFSET($BN$2,0,0,ROW()-1,60),ROW()-1,FALSE))</f>
        <v/>
      </c>
      <c r="AK93" t="str">
        <f ca="1">IF(AND(ISNUMBER($AK$297),$B$208=1),$AK$297,HLOOKUP(INDIRECT(ADDRESS(2,COLUMN())),OFFSET($BN$2,0,0,ROW()-1,60),ROW()-1,FALSE))</f>
        <v/>
      </c>
      <c r="AL93" t="str">
        <f ca="1">IF(AND(ISNUMBER($AL$297),$B$208=1),$AL$297,HLOOKUP(INDIRECT(ADDRESS(2,COLUMN())),OFFSET($BN$2,0,0,ROW()-1,60),ROW()-1,FALSE))</f>
        <v/>
      </c>
      <c r="AM93" t="str">
        <f ca="1">IF(AND(ISNUMBER($AM$297),$B$208=1),$AM$297,HLOOKUP(INDIRECT(ADDRESS(2,COLUMN())),OFFSET($BN$2,0,0,ROW()-1,60),ROW()-1,FALSE))</f>
        <v/>
      </c>
      <c r="AN93" t="str">
        <f ca="1">IF(AND(ISNUMBER($AN$297),$B$208=1),$AN$297,HLOOKUP(INDIRECT(ADDRESS(2,COLUMN())),OFFSET($BN$2,0,0,ROW()-1,60),ROW()-1,FALSE))</f>
        <v/>
      </c>
      <c r="AO93" t="str">
        <f ca="1">IF(AND(ISNUMBER($AO$297),$B$208=1),$AO$297,HLOOKUP(INDIRECT(ADDRESS(2,COLUMN())),OFFSET($BN$2,0,0,ROW()-1,60),ROW()-1,FALSE))</f>
        <v/>
      </c>
      <c r="AP93" t="str">
        <f ca="1">IF(AND(ISNUMBER($AP$297),$B$208=1),$AP$297,HLOOKUP(INDIRECT(ADDRESS(2,COLUMN())),OFFSET($BN$2,0,0,ROW()-1,60),ROW()-1,FALSE))</f>
        <v/>
      </c>
      <c r="AQ93" t="str">
        <f ca="1">IF(AND(ISNUMBER($AQ$297),$B$208=1),$AQ$297,HLOOKUP(INDIRECT(ADDRESS(2,COLUMN())),OFFSET($BN$2,0,0,ROW()-1,60),ROW()-1,FALSE))</f>
        <v/>
      </c>
      <c r="AR93" t="str">
        <f ca="1">IF(AND(ISNUMBER($AR$297),$B$208=1),$AR$297,HLOOKUP(INDIRECT(ADDRESS(2,COLUMN())),OFFSET($BN$2,0,0,ROW()-1,60),ROW()-1,FALSE))</f>
        <v/>
      </c>
      <c r="AS93" t="str">
        <f ca="1">IF(AND(ISNUMBER($AS$297),$B$208=1),$AS$297,HLOOKUP(INDIRECT(ADDRESS(2,COLUMN())),OFFSET($BN$2,0,0,ROW()-1,60),ROW()-1,FALSE))</f>
        <v/>
      </c>
      <c r="AT93" t="str">
        <f ca="1">IF(AND(ISNUMBER($AT$297),$B$208=1),$AT$297,HLOOKUP(INDIRECT(ADDRESS(2,COLUMN())),OFFSET($BN$2,0,0,ROW()-1,60),ROW()-1,FALSE))</f>
        <v/>
      </c>
      <c r="AU93" t="str">
        <f ca="1">IF(AND(ISNUMBER($AU$297),$B$208=1),$AU$297,HLOOKUP(INDIRECT(ADDRESS(2,COLUMN())),OFFSET($BN$2,0,0,ROW()-1,60),ROW()-1,FALSE))</f>
        <v/>
      </c>
      <c r="AV93" t="str">
        <f ca="1">IF(AND(ISNUMBER($AV$297),$B$208=1),$AV$297,HLOOKUP(INDIRECT(ADDRESS(2,COLUMN())),OFFSET($BN$2,0,0,ROW()-1,60),ROW()-1,FALSE))</f>
        <v/>
      </c>
      <c r="AW93" t="str">
        <f ca="1">IF(AND(ISNUMBER($AW$297),$B$208=1),$AW$297,HLOOKUP(INDIRECT(ADDRESS(2,COLUMN())),OFFSET($BN$2,0,0,ROW()-1,60),ROW()-1,FALSE))</f>
        <v/>
      </c>
      <c r="AX93" t="str">
        <f ca="1">IF(AND(ISNUMBER($AX$297),$B$208=1),$AX$297,HLOOKUP(INDIRECT(ADDRESS(2,COLUMN())),OFFSET($BN$2,0,0,ROW()-1,60),ROW()-1,FALSE))</f>
        <v/>
      </c>
      <c r="AY93" t="str">
        <f ca="1">IF(AND(ISNUMBER($AY$297),$B$208=1),$AY$297,HLOOKUP(INDIRECT(ADDRESS(2,COLUMN())),OFFSET($BN$2,0,0,ROW()-1,60),ROW()-1,FALSE))</f>
        <v/>
      </c>
      <c r="AZ93" t="str">
        <f ca="1">IF(AND(ISNUMBER($AZ$297),$B$208=1),$AZ$297,HLOOKUP(INDIRECT(ADDRESS(2,COLUMN())),OFFSET($BN$2,0,0,ROW()-1,60),ROW()-1,FALSE))</f>
        <v/>
      </c>
      <c r="BA93" t="str">
        <f ca="1">IF(AND(ISNUMBER($BA$297),$B$208=1),$BA$297,HLOOKUP(INDIRECT(ADDRESS(2,COLUMN())),OFFSET($BN$2,0,0,ROW()-1,60),ROW()-1,FALSE))</f>
        <v/>
      </c>
      <c r="BB93" t="str">
        <f ca="1">IF(AND(ISNUMBER($BB$297),$B$208=1),$BB$297,HLOOKUP(INDIRECT(ADDRESS(2,COLUMN())),OFFSET($BN$2,0,0,ROW()-1,60),ROW()-1,FALSE))</f>
        <v/>
      </c>
      <c r="BC93" t="str">
        <f ca="1">IF(AND(ISNUMBER($BC$297),$B$208=1),$BC$297,HLOOKUP(INDIRECT(ADDRESS(2,COLUMN())),OFFSET($BN$2,0,0,ROW()-1,60),ROW()-1,FALSE))</f>
        <v/>
      </c>
      <c r="BD93" t="str">
        <f ca="1">IF(AND(ISNUMBER($BD$297),$B$208=1),$BD$297,HLOOKUP(INDIRECT(ADDRESS(2,COLUMN())),OFFSET($BN$2,0,0,ROW()-1,60),ROW()-1,FALSE))</f>
        <v/>
      </c>
      <c r="BE93" t="str">
        <f ca="1">IF(AND(ISNUMBER($BE$297),$B$208=1),$BE$297,HLOOKUP(INDIRECT(ADDRESS(2,COLUMN())),OFFSET($BN$2,0,0,ROW()-1,60),ROW()-1,FALSE))</f>
        <v/>
      </c>
      <c r="BF93" t="str">
        <f ca="1">IF(AND(ISNUMBER($BF$297),$B$208=1),$BF$297,HLOOKUP(INDIRECT(ADDRESS(2,COLUMN())),OFFSET($BN$2,0,0,ROW()-1,60),ROW()-1,FALSE))</f>
        <v/>
      </c>
      <c r="BG93" t="str">
        <f ca="1">IF(AND(ISNUMBER($BG$297),$B$208=1),$BG$297,HLOOKUP(INDIRECT(ADDRESS(2,COLUMN())),OFFSET($BN$2,0,0,ROW()-1,60),ROW()-1,FALSE))</f>
        <v/>
      </c>
      <c r="BH93" t="str">
        <f ca="1">IF(AND(ISNUMBER($BH$297),$B$208=1),$BH$297,HLOOKUP(INDIRECT(ADDRESS(2,COLUMN())),OFFSET($BN$2,0,0,ROW()-1,60),ROW()-1,FALSE))</f>
        <v/>
      </c>
      <c r="BI93" t="str">
        <f ca="1">IF(AND(ISNUMBER($BI$297),$B$208=1),$BI$297,HLOOKUP(INDIRECT(ADDRESS(2,COLUMN())),OFFSET($BN$2,0,0,ROW()-1,60),ROW()-1,FALSE))</f>
        <v/>
      </c>
      <c r="BJ93" t="str">
        <f ca="1">IF(AND(ISNUMBER($BJ$297),$B$208=1),$BJ$297,HLOOKUP(INDIRECT(ADDRESS(2,COLUMN())),OFFSET($BN$2,0,0,ROW()-1,60),ROW()-1,FALSE))</f>
        <v/>
      </c>
      <c r="BK93" t="str">
        <f ca="1">IF(AND(ISNUMBER($BK$297),$B$208=1),$BK$297,HLOOKUP(INDIRECT(ADDRESS(2,COLUMN())),OFFSET($BN$2,0,0,ROW()-1,60),ROW()-1,FALSE))</f>
        <v/>
      </c>
      <c r="BL93" t="str">
        <f ca="1">IF(AND(ISNUMBER($BL$297),$B$208=1),$BL$297,HLOOKUP(INDIRECT(ADDRESS(2,COLUMN())),OFFSET($BN$2,0,0,ROW()-1,60),ROW()-1,FALSE))</f>
        <v/>
      </c>
      <c r="BM93" t="str">
        <f ca="1">IF(AND(ISNUMBER($BM$297),$B$208=1),$BM$297,HLOOKUP(INDIRECT(ADDRESS(2,COLUMN())),OFFSET($BN$2,0,0,ROW()-1,60),ROW()-1,FALSE))</f>
        <v/>
      </c>
      <c r="BN93">
        <f>504624</f>
        <v>504624</v>
      </c>
      <c r="BO93" t="str">
        <f>""</f>
        <v/>
      </c>
      <c r="BP93">
        <f>484483</f>
        <v>484483</v>
      </c>
      <c r="BQ93" t="str">
        <f>""</f>
        <v/>
      </c>
      <c r="BR93">
        <f>476688</f>
        <v>476688</v>
      </c>
      <c r="BS93" t="str">
        <f>""</f>
        <v/>
      </c>
      <c r="BT93">
        <f>473020</f>
        <v>473020</v>
      </c>
      <c r="BU93" t="str">
        <f>""</f>
        <v/>
      </c>
      <c r="BV93">
        <f>457346</f>
        <v>457346</v>
      </c>
      <c r="BW93" t="str">
        <f>""</f>
        <v/>
      </c>
      <c r="BX93">
        <f>445685</f>
        <v>445685</v>
      </c>
      <c r="BY93" t="str">
        <f>""</f>
        <v/>
      </c>
      <c r="BZ93">
        <f>433802</f>
        <v>433802</v>
      </c>
      <c r="CA93" t="str">
        <f>""</f>
        <v/>
      </c>
      <c r="CB93">
        <f>405500</f>
        <v>405500</v>
      </c>
      <c r="CC93" t="str">
        <f>""</f>
        <v/>
      </c>
      <c r="CD93">
        <f>380578</f>
        <v>380578</v>
      </c>
      <c r="CE93" t="str">
        <f>""</f>
        <v/>
      </c>
      <c r="CF93">
        <f>387235</f>
        <v>387235</v>
      </c>
      <c r="CG93" t="str">
        <f>""</f>
        <v/>
      </c>
      <c r="CH93">
        <f>367865</f>
        <v>367865</v>
      </c>
      <c r="CI93" t="str">
        <f>""</f>
        <v/>
      </c>
      <c r="CJ93">
        <f>359097</f>
        <v>359097</v>
      </c>
      <c r="CK93" t="str">
        <f>""</f>
        <v/>
      </c>
      <c r="CL93" t="str">
        <f>""</f>
        <v/>
      </c>
      <c r="CM93" t="str">
        <f>""</f>
        <v/>
      </c>
      <c r="CN93" t="str">
        <f>""</f>
        <v/>
      </c>
      <c r="CO93" t="str">
        <f>""</f>
        <v/>
      </c>
      <c r="CP93" t="str">
        <f>""</f>
        <v/>
      </c>
      <c r="CQ93" t="str">
        <f>""</f>
        <v/>
      </c>
      <c r="CR93" t="str">
        <f>""</f>
        <v/>
      </c>
      <c r="CS93" t="str">
        <f>""</f>
        <v/>
      </c>
      <c r="CT93" t="str">
        <f>""</f>
        <v/>
      </c>
      <c r="CU93" t="str">
        <f>""</f>
        <v/>
      </c>
      <c r="CV93" t="str">
        <f>""</f>
        <v/>
      </c>
      <c r="CW93" t="str">
        <f>""</f>
        <v/>
      </c>
      <c r="CX93" t="str">
        <f>""</f>
        <v/>
      </c>
      <c r="CY93" t="str">
        <f>""</f>
        <v/>
      </c>
      <c r="CZ93" t="str">
        <f>""</f>
        <v/>
      </c>
      <c r="DA93" t="str">
        <f>""</f>
        <v/>
      </c>
      <c r="DB93" t="str">
        <f>""</f>
        <v/>
      </c>
      <c r="DC93" t="str">
        <f>""</f>
        <v/>
      </c>
      <c r="DD93" t="str">
        <f>""</f>
        <v/>
      </c>
      <c r="DE93" t="str">
        <f>""</f>
        <v/>
      </c>
      <c r="DF93" t="str">
        <f>""</f>
        <v/>
      </c>
      <c r="DG93" t="str">
        <f>""</f>
        <v/>
      </c>
      <c r="DH93" t="str">
        <f>""</f>
        <v/>
      </c>
      <c r="DI93" t="str">
        <f>""</f>
        <v/>
      </c>
      <c r="DJ93" t="str">
        <f>""</f>
        <v/>
      </c>
      <c r="DK93" t="str">
        <f>""</f>
        <v/>
      </c>
      <c r="DL93" t="str">
        <f>""</f>
        <v/>
      </c>
      <c r="DM93" t="str">
        <f>""</f>
        <v/>
      </c>
      <c r="DN93" t="str">
        <f>""</f>
        <v/>
      </c>
      <c r="DO93" t="str">
        <f>""</f>
        <v/>
      </c>
      <c r="DP93" t="str">
        <f>""</f>
        <v/>
      </c>
      <c r="DQ93" t="str">
        <f>""</f>
        <v/>
      </c>
      <c r="DR93" t="str">
        <f>""</f>
        <v/>
      </c>
      <c r="DS93" t="str">
        <f>""</f>
        <v/>
      </c>
      <c r="DT93" t="str">
        <f>""</f>
        <v/>
      </c>
      <c r="DU93" t="str">
        <f>""</f>
        <v/>
      </c>
    </row>
    <row r="94" spans="1:125" x14ac:dyDescent="0.25">
      <c r="A94" t="str">
        <f>"    Deutsche Bank AG"</f>
        <v xml:space="preserve">    Deutsche Bank AG</v>
      </c>
      <c r="B94" t="str">
        <f>"DBK GR Equity"</f>
        <v>DBK GR Equity</v>
      </c>
      <c r="C94" t="str">
        <f t="shared" si="6"/>
        <v>BS017</v>
      </c>
      <c r="D94" t="str">
        <f t="shared" si="7"/>
        <v>BS_CONS_LOAN</v>
      </c>
      <c r="E94" t="str">
        <f t="shared" si="8"/>
        <v>Dynamic</v>
      </c>
      <c r="F94">
        <f ca="1">IF(AND(ISNUMBER($F$298),$B$208=1),$F$298,HLOOKUP(INDIRECT(ADDRESS(2,COLUMN())),OFFSET($BN$2,0,0,ROW()-1,60),ROW()-1,FALSE))</f>
        <v>199812</v>
      </c>
      <c r="G94" t="str">
        <f ca="1">IF(AND(ISNUMBER($G$298),$B$208=1),$G$298,HLOOKUP(INDIRECT(ADDRESS(2,COLUMN())),OFFSET($BN$2,0,0,ROW()-1,60),ROW()-1,FALSE))</f>
        <v/>
      </c>
      <c r="H94" t="str">
        <f ca="1">IF(AND(ISNUMBER($H$298),$B$208=1),$H$298,HLOOKUP(INDIRECT(ADDRESS(2,COLUMN())),OFFSET($BN$2,0,0,ROW()-1,60),ROW()-1,FALSE))</f>
        <v/>
      </c>
      <c r="I94" t="str">
        <f ca="1">IF(AND(ISNUMBER($I$298),$B$208=1),$I$298,HLOOKUP(INDIRECT(ADDRESS(2,COLUMN())),OFFSET($BN$2,0,0,ROW()-1,60),ROW()-1,FALSE))</f>
        <v/>
      </c>
      <c r="J94">
        <f ca="1">IF(AND(ISNUMBER($J$298),$B$208=1),$J$298,HLOOKUP(INDIRECT(ADDRESS(2,COLUMN())),OFFSET($BN$2,0,0,ROW()-1,60),ROW()-1,FALSE))</f>
        <v>210982</v>
      </c>
      <c r="K94" t="str">
        <f ca="1">IF(AND(ISNUMBER($K$298),$B$208=1),$K$298,HLOOKUP(INDIRECT(ADDRESS(2,COLUMN())),OFFSET($BN$2,0,0,ROW()-1,60),ROW()-1,FALSE))</f>
        <v/>
      </c>
      <c r="L94" t="str">
        <f ca="1">IF(AND(ISNUMBER($L$298),$B$208=1),$L$298,HLOOKUP(INDIRECT(ADDRESS(2,COLUMN())),OFFSET($BN$2,0,0,ROW()-1,60),ROW()-1,FALSE))</f>
        <v/>
      </c>
      <c r="M94" t="str">
        <f ca="1">IF(AND(ISNUMBER($M$298),$B$208=1),$M$298,HLOOKUP(INDIRECT(ADDRESS(2,COLUMN())),OFFSET($BN$2,0,0,ROW()-1,60),ROW()-1,FALSE))</f>
        <v/>
      </c>
      <c r="N94">
        <f ca="1">IF(AND(ISNUMBER($N$298),$B$208=1),$N$298,HLOOKUP(INDIRECT(ADDRESS(2,COLUMN())),OFFSET($BN$2,0,0,ROW()-1,60),ROW()-1,FALSE))</f>
        <v>214796</v>
      </c>
      <c r="O94" t="str">
        <f ca="1">IF(AND(ISNUMBER($O$298),$B$208=1),$O$298,HLOOKUP(INDIRECT(ADDRESS(2,COLUMN())),OFFSET($BN$2,0,0,ROW()-1,60),ROW()-1,FALSE))</f>
        <v/>
      </c>
      <c r="P94" t="str">
        <f ca="1">IF(AND(ISNUMBER($P$298),$B$208=1),$P$298,HLOOKUP(INDIRECT(ADDRESS(2,COLUMN())),OFFSET($BN$2,0,0,ROW()-1,60),ROW()-1,FALSE))</f>
        <v/>
      </c>
      <c r="Q94" t="str">
        <f ca="1">IF(AND(ISNUMBER($Q$298),$B$208=1),$Q$298,HLOOKUP(INDIRECT(ADDRESS(2,COLUMN())),OFFSET($BN$2,0,0,ROW()-1,60),ROW()-1,FALSE))</f>
        <v/>
      </c>
      <c r="R94">
        <f ca="1">IF(AND(ISNUMBER($R$298),$B$208=1),$R$298,HLOOKUP(INDIRECT(ADDRESS(2,COLUMN())),OFFSET($BN$2,0,0,ROW()-1,60),ROW()-1,FALSE))</f>
        <v>212436</v>
      </c>
      <c r="S94" t="str">
        <f ca="1">IF(AND(ISNUMBER($S$298),$B$208=1),$S$298,HLOOKUP(INDIRECT(ADDRESS(2,COLUMN())),OFFSET($BN$2,0,0,ROW()-1,60),ROW()-1,FALSE))</f>
        <v/>
      </c>
      <c r="T94" t="str">
        <f ca="1">IF(AND(ISNUMBER($T$298),$B$208=1),$T$298,HLOOKUP(INDIRECT(ADDRESS(2,COLUMN())),OFFSET($BN$2,0,0,ROW()-1,60),ROW()-1,FALSE))</f>
        <v/>
      </c>
      <c r="U94" t="str">
        <f ca="1">IF(AND(ISNUMBER($U$298),$B$208=1),$U$298,HLOOKUP(INDIRECT(ADDRESS(2,COLUMN())),OFFSET($BN$2,0,0,ROW()-1,60),ROW()-1,FALSE))</f>
        <v/>
      </c>
      <c r="V94">
        <f ca="1">IF(AND(ISNUMBER($V$298),$B$208=1),$V$298,HLOOKUP(INDIRECT(ADDRESS(2,COLUMN())),OFFSET($BN$2,0,0,ROW()-1,60),ROW()-1,FALSE))</f>
        <v>205331</v>
      </c>
      <c r="W94" t="str">
        <f ca="1">IF(AND(ISNUMBER($W$298),$B$208=1),$W$298,HLOOKUP(INDIRECT(ADDRESS(2,COLUMN())),OFFSET($BN$2,0,0,ROW()-1,60),ROW()-1,FALSE))</f>
        <v/>
      </c>
      <c r="X94" t="str">
        <f ca="1">IF(AND(ISNUMBER($X$298),$B$208=1),$X$298,HLOOKUP(INDIRECT(ADDRESS(2,COLUMN())),OFFSET($BN$2,0,0,ROW()-1,60),ROW()-1,FALSE))</f>
        <v/>
      </c>
      <c r="Y94" t="str">
        <f ca="1">IF(AND(ISNUMBER($Y$298),$B$208=1),$Y$298,HLOOKUP(INDIRECT(ADDRESS(2,COLUMN())),OFFSET($BN$2,0,0,ROW()-1,60),ROW()-1,FALSE))</f>
        <v/>
      </c>
      <c r="Z94">
        <f ca="1">IF(AND(ISNUMBER($Z$298),$B$208=1),$Z$298,HLOOKUP(INDIRECT(ADDRESS(2,COLUMN())),OFFSET($BN$2,0,0,ROW()-1,60),ROW()-1,FALSE))</f>
        <v>196732</v>
      </c>
      <c r="AA94" t="str">
        <f ca="1">IF(AND(ISNUMBER($AA$298),$B$208=1),$AA$298,HLOOKUP(INDIRECT(ADDRESS(2,COLUMN())),OFFSET($BN$2,0,0,ROW()-1,60),ROW()-1,FALSE))</f>
        <v/>
      </c>
      <c r="AB94" t="str">
        <f ca="1">IF(AND(ISNUMBER($AB$298),$B$208=1),$AB$298,HLOOKUP(INDIRECT(ADDRESS(2,COLUMN())),OFFSET($BN$2,0,0,ROW()-1,60),ROW()-1,FALSE))</f>
        <v/>
      </c>
      <c r="AC94" t="str">
        <f ca="1">IF(AND(ISNUMBER($AC$298),$B$208=1),$AC$298,HLOOKUP(INDIRECT(ADDRESS(2,COLUMN())),OFFSET($BN$2,0,0,ROW()-1,60),ROW()-1,FALSE))</f>
        <v/>
      </c>
      <c r="AD94">
        <f ca="1">IF(AND(ISNUMBER($AD$298),$B$208=1),$AD$298,HLOOKUP(INDIRECT(ADDRESS(2,COLUMN())),OFFSET($BN$2,0,0,ROW()-1,60),ROW()-1,FALSE))</f>
        <v>188494</v>
      </c>
      <c r="AE94" t="str">
        <f ca="1">IF(AND(ISNUMBER($AE$298),$B$208=1),$AE$298,HLOOKUP(INDIRECT(ADDRESS(2,COLUMN())),OFFSET($BN$2,0,0,ROW()-1,60),ROW()-1,FALSE))</f>
        <v/>
      </c>
      <c r="AF94" t="str">
        <f ca="1">IF(AND(ISNUMBER($AF$298),$B$208=1),$AF$298,HLOOKUP(INDIRECT(ADDRESS(2,COLUMN())),OFFSET($BN$2,0,0,ROW()-1,60),ROW()-1,FALSE))</f>
        <v/>
      </c>
      <c r="AG94" t="str">
        <f ca="1">IF(AND(ISNUMBER($AG$298),$B$208=1),$AG$298,HLOOKUP(INDIRECT(ADDRESS(2,COLUMN())),OFFSET($BN$2,0,0,ROW()-1,60),ROW()-1,FALSE))</f>
        <v/>
      </c>
      <c r="AH94">
        <f ca="1">IF(AND(ISNUMBER($AH$298),$B$208=1),$AH$298,HLOOKUP(INDIRECT(ADDRESS(2,COLUMN())),OFFSET($BN$2,0,0,ROW()-1,60),ROW()-1,FALSE))</f>
        <v>186729</v>
      </c>
      <c r="AI94" t="str">
        <f ca="1">IF(AND(ISNUMBER($AI$298),$B$208=1),$AI$298,HLOOKUP(INDIRECT(ADDRESS(2,COLUMN())),OFFSET($BN$2,0,0,ROW()-1,60),ROW()-1,FALSE))</f>
        <v/>
      </c>
      <c r="AJ94" t="str">
        <f ca="1">IF(AND(ISNUMBER($AJ$298),$B$208=1),$AJ$298,HLOOKUP(INDIRECT(ADDRESS(2,COLUMN())),OFFSET($BN$2,0,0,ROW()-1,60),ROW()-1,FALSE))</f>
        <v/>
      </c>
      <c r="AK94" t="str">
        <f ca="1">IF(AND(ISNUMBER($AK$298),$B$208=1),$AK$298,HLOOKUP(INDIRECT(ADDRESS(2,COLUMN())),OFFSET($BN$2,0,0,ROW()-1,60),ROW()-1,FALSE))</f>
        <v/>
      </c>
      <c r="AL94">
        <f ca="1">IF(AND(ISNUMBER($AL$298),$B$208=1),$AL$298,HLOOKUP(INDIRECT(ADDRESS(2,COLUMN())),OFFSET($BN$2,0,0,ROW()-1,60),ROW()-1,FALSE))</f>
        <v>187869</v>
      </c>
      <c r="AM94" t="str">
        <f ca="1">IF(AND(ISNUMBER($AM$298),$B$208=1),$AM$298,HLOOKUP(INDIRECT(ADDRESS(2,COLUMN())),OFFSET($BN$2,0,0,ROW()-1,60),ROW()-1,FALSE))</f>
        <v/>
      </c>
      <c r="AN94" t="str">
        <f ca="1">IF(AND(ISNUMBER($AN$298),$B$208=1),$AN$298,HLOOKUP(INDIRECT(ADDRESS(2,COLUMN())),OFFSET($BN$2,0,0,ROW()-1,60),ROW()-1,FALSE))</f>
        <v/>
      </c>
      <c r="AO94" t="str">
        <f ca="1">IF(AND(ISNUMBER($AO$298),$B$208=1),$AO$298,HLOOKUP(INDIRECT(ADDRESS(2,COLUMN())),OFFSET($BN$2,0,0,ROW()-1,60),ROW()-1,FALSE))</f>
        <v/>
      </c>
      <c r="AP94">
        <f ca="1">IF(AND(ISNUMBER($AP$298),$B$208=1),$AP$298,HLOOKUP(INDIRECT(ADDRESS(2,COLUMN())),OFFSET($BN$2,0,0,ROW()-1,60),ROW()-1,FALSE))</f>
        <v>200006</v>
      </c>
      <c r="AQ94" t="str">
        <f ca="1">IF(AND(ISNUMBER($AQ$298),$B$208=1),$AQ$298,HLOOKUP(INDIRECT(ADDRESS(2,COLUMN())),OFFSET($BN$2,0,0,ROW()-1,60),ROW()-1,FALSE))</f>
        <v/>
      </c>
      <c r="AR94" t="str">
        <f ca="1">IF(AND(ISNUMBER($AR$298),$B$208=1),$AR$298,HLOOKUP(INDIRECT(ADDRESS(2,COLUMN())),OFFSET($BN$2,0,0,ROW()-1,60),ROW()-1,FALSE))</f>
        <v/>
      </c>
      <c r="AS94" t="str">
        <f ca="1">IF(AND(ISNUMBER($AS$298),$B$208=1),$AS$298,HLOOKUP(INDIRECT(ADDRESS(2,COLUMN())),OFFSET($BN$2,0,0,ROW()-1,60),ROW()-1,FALSE))</f>
        <v/>
      </c>
      <c r="AT94">
        <f ca="1">IF(AND(ISNUMBER($AT$298),$B$208=1),$AT$298,HLOOKUP(INDIRECT(ADDRESS(2,COLUMN())),OFFSET($BN$2,0,0,ROW()-1,60),ROW()-1,FALSE))</f>
        <v>197979</v>
      </c>
      <c r="AU94" t="str">
        <f ca="1">IF(AND(ISNUMBER($AU$298),$B$208=1),$AU$298,HLOOKUP(INDIRECT(ADDRESS(2,COLUMN())),OFFSET($BN$2,0,0,ROW()-1,60),ROW()-1,FALSE))</f>
        <v/>
      </c>
      <c r="AV94" t="str">
        <f ca="1">IF(AND(ISNUMBER($AV$298),$B$208=1),$AV$298,HLOOKUP(INDIRECT(ADDRESS(2,COLUMN())),OFFSET($BN$2,0,0,ROW()-1,60),ROW()-1,FALSE))</f>
        <v/>
      </c>
      <c r="AW94" t="str">
        <f ca="1">IF(AND(ISNUMBER($AW$298),$B$208=1),$AW$298,HLOOKUP(INDIRECT(ADDRESS(2,COLUMN())),OFFSET($BN$2,0,0,ROW()-1,60),ROW()-1,FALSE))</f>
        <v/>
      </c>
      <c r="AX94">
        <f ca="1">IF(AND(ISNUMBER($AX$298),$B$208=1),$AX$298,HLOOKUP(INDIRECT(ADDRESS(2,COLUMN())),OFFSET($BN$2,0,0,ROW()-1,60),ROW()-1,FALSE))</f>
        <v>193516</v>
      </c>
      <c r="AY94" t="str">
        <f ca="1">IF(AND(ISNUMBER($AY$298),$B$208=1),$AY$298,HLOOKUP(INDIRECT(ADDRESS(2,COLUMN())),OFFSET($BN$2,0,0,ROW()-1,60),ROW()-1,FALSE))</f>
        <v/>
      </c>
      <c r="AZ94" t="str">
        <f ca="1">IF(AND(ISNUMBER($AZ$298),$B$208=1),$AZ$298,HLOOKUP(INDIRECT(ADDRESS(2,COLUMN())),OFFSET($BN$2,0,0,ROW()-1,60),ROW()-1,FALSE))</f>
        <v/>
      </c>
      <c r="BA94" t="str">
        <f ca="1">IF(AND(ISNUMBER($BA$298),$B$208=1),$BA$298,HLOOKUP(INDIRECT(ADDRESS(2,COLUMN())),OFFSET($BN$2,0,0,ROW()-1,60),ROW()-1,FALSE))</f>
        <v/>
      </c>
      <c r="BB94">
        <f ca="1">IF(AND(ISNUMBER($BB$298),$B$208=1),$BB$298,HLOOKUP(INDIRECT(ADDRESS(2,COLUMN())),OFFSET($BN$2,0,0,ROW()-1,60),ROW()-1,FALSE))</f>
        <v>180974</v>
      </c>
      <c r="BC94" t="str">
        <f ca="1">IF(AND(ISNUMBER($BC$298),$B$208=1),$BC$298,HLOOKUP(INDIRECT(ADDRESS(2,COLUMN())),OFFSET($BN$2,0,0,ROW()-1,60),ROW()-1,FALSE))</f>
        <v/>
      </c>
      <c r="BD94" t="str">
        <f ca="1">IF(AND(ISNUMBER($BD$298),$B$208=1),$BD$298,HLOOKUP(INDIRECT(ADDRESS(2,COLUMN())),OFFSET($BN$2,0,0,ROW()-1,60),ROW()-1,FALSE))</f>
        <v/>
      </c>
      <c r="BE94" t="str">
        <f ca="1">IF(AND(ISNUMBER($BE$298),$B$208=1),$BE$298,HLOOKUP(INDIRECT(ADDRESS(2,COLUMN())),OFFSET($BN$2,0,0,ROW()-1,60),ROW()-1,FALSE))</f>
        <v/>
      </c>
      <c r="BF94">
        <f ca="1">IF(AND(ISNUMBER($BF$298),$B$208=1),$BF$298,HLOOKUP(INDIRECT(ADDRESS(2,COLUMN())),OFFSET($BN$2,0,0,ROW()-1,60),ROW()-1,FALSE))</f>
        <v>174188</v>
      </c>
      <c r="BG94" t="str">
        <f ca="1">IF(AND(ISNUMBER($BG$298),$B$208=1),$BG$298,HLOOKUP(INDIRECT(ADDRESS(2,COLUMN())),OFFSET($BN$2,0,0,ROW()-1,60),ROW()-1,FALSE))</f>
        <v/>
      </c>
      <c r="BH94" t="str">
        <f ca="1">IF(AND(ISNUMBER($BH$298),$B$208=1),$BH$298,HLOOKUP(INDIRECT(ADDRESS(2,COLUMN())),OFFSET($BN$2,0,0,ROW()-1,60),ROW()-1,FALSE))</f>
        <v/>
      </c>
      <c r="BI94" t="str">
        <f ca="1">IF(AND(ISNUMBER($BI$298),$B$208=1),$BI$298,HLOOKUP(INDIRECT(ADDRESS(2,COLUMN())),OFFSET($BN$2,0,0,ROW()-1,60),ROW()-1,FALSE))</f>
        <v/>
      </c>
      <c r="BJ94">
        <f ca="1">IF(AND(ISNUMBER($BJ$298),$B$208=1),$BJ$298,HLOOKUP(INDIRECT(ADDRESS(2,COLUMN())),OFFSET($BN$2,0,0,ROW()-1,60),ROW()-1,FALSE))</f>
        <v>167350</v>
      </c>
      <c r="BK94" t="str">
        <f ca="1">IF(AND(ISNUMBER($BK$298),$B$208=1),$BK$298,HLOOKUP(INDIRECT(ADDRESS(2,COLUMN())),OFFSET($BN$2,0,0,ROW()-1,60),ROW()-1,FALSE))</f>
        <v/>
      </c>
      <c r="BL94" t="str">
        <f ca="1">IF(AND(ISNUMBER($BL$298),$B$208=1),$BL$298,HLOOKUP(INDIRECT(ADDRESS(2,COLUMN())),OFFSET($BN$2,0,0,ROW()-1,60),ROW()-1,FALSE))</f>
        <v/>
      </c>
      <c r="BM94" t="str">
        <f ca="1">IF(AND(ISNUMBER($BM$298),$B$208=1),$BM$298,HLOOKUP(INDIRECT(ADDRESS(2,COLUMN())),OFFSET($BN$2,0,0,ROW()-1,60),ROW()-1,FALSE))</f>
        <v/>
      </c>
      <c r="BN94">
        <f>199812</f>
        <v>199812</v>
      </c>
      <c r="BO94" t="str">
        <f>""</f>
        <v/>
      </c>
      <c r="BP94" t="str">
        <f>""</f>
        <v/>
      </c>
      <c r="BQ94" t="str">
        <f>""</f>
        <v/>
      </c>
      <c r="BR94">
        <f>210982</f>
        <v>210982</v>
      </c>
      <c r="BS94" t="str">
        <f>""</f>
        <v/>
      </c>
      <c r="BT94" t="str">
        <f>""</f>
        <v/>
      </c>
      <c r="BU94" t="str">
        <f>""</f>
        <v/>
      </c>
      <c r="BV94">
        <f>214796</f>
        <v>214796</v>
      </c>
      <c r="BW94" t="str">
        <f>""</f>
        <v/>
      </c>
      <c r="BX94" t="str">
        <f>""</f>
        <v/>
      </c>
      <c r="BY94" t="str">
        <f>""</f>
        <v/>
      </c>
      <c r="BZ94">
        <f>212436</f>
        <v>212436</v>
      </c>
      <c r="CA94" t="str">
        <f>""</f>
        <v/>
      </c>
      <c r="CB94" t="str">
        <f>""</f>
        <v/>
      </c>
      <c r="CC94" t="str">
        <f>""</f>
        <v/>
      </c>
      <c r="CD94">
        <f>205331</f>
        <v>205331</v>
      </c>
      <c r="CE94" t="str">
        <f>""</f>
        <v/>
      </c>
      <c r="CF94" t="str">
        <f>""</f>
        <v/>
      </c>
      <c r="CG94" t="str">
        <f>""</f>
        <v/>
      </c>
      <c r="CH94">
        <f>196732</f>
        <v>196732</v>
      </c>
      <c r="CI94" t="str">
        <f>""</f>
        <v/>
      </c>
      <c r="CJ94" t="str">
        <f>""</f>
        <v/>
      </c>
      <c r="CK94" t="str">
        <f>""</f>
        <v/>
      </c>
      <c r="CL94">
        <f>188494</f>
        <v>188494</v>
      </c>
      <c r="CM94" t="str">
        <f>""</f>
        <v/>
      </c>
      <c r="CN94" t="str">
        <f>""</f>
        <v/>
      </c>
      <c r="CO94" t="str">
        <f>""</f>
        <v/>
      </c>
      <c r="CP94">
        <f>186729</f>
        <v>186729</v>
      </c>
      <c r="CQ94" t="str">
        <f>""</f>
        <v/>
      </c>
      <c r="CR94" t="str">
        <f>""</f>
        <v/>
      </c>
      <c r="CS94" t="str">
        <f>""</f>
        <v/>
      </c>
      <c r="CT94">
        <f>187869</f>
        <v>187869</v>
      </c>
      <c r="CU94" t="str">
        <f>""</f>
        <v/>
      </c>
      <c r="CV94" t="str">
        <f>""</f>
        <v/>
      </c>
      <c r="CW94" t="str">
        <f>""</f>
        <v/>
      </c>
      <c r="CX94">
        <f>200006</f>
        <v>200006</v>
      </c>
      <c r="CY94" t="str">
        <f>""</f>
        <v/>
      </c>
      <c r="CZ94" t="str">
        <f>""</f>
        <v/>
      </c>
      <c r="DA94" t="str">
        <f>""</f>
        <v/>
      </c>
      <c r="DB94">
        <f>197979</f>
        <v>197979</v>
      </c>
      <c r="DC94" t="str">
        <f>""</f>
        <v/>
      </c>
      <c r="DD94" t="str">
        <f>""</f>
        <v/>
      </c>
      <c r="DE94" t="str">
        <f>""</f>
        <v/>
      </c>
      <c r="DF94">
        <f>193516</f>
        <v>193516</v>
      </c>
      <c r="DG94" t="str">
        <f>""</f>
        <v/>
      </c>
      <c r="DH94" t="str">
        <f>""</f>
        <v/>
      </c>
      <c r="DI94" t="str">
        <f>""</f>
        <v/>
      </c>
      <c r="DJ94">
        <f>180974</f>
        <v>180974</v>
      </c>
      <c r="DK94" t="str">
        <f>""</f>
        <v/>
      </c>
      <c r="DL94" t="str">
        <f>""</f>
        <v/>
      </c>
      <c r="DM94" t="str">
        <f>""</f>
        <v/>
      </c>
      <c r="DN94">
        <f>174188</f>
        <v>174188</v>
      </c>
      <c r="DO94" t="str">
        <f>""</f>
        <v/>
      </c>
      <c r="DP94" t="str">
        <f>""</f>
        <v/>
      </c>
      <c r="DQ94" t="str">
        <f>""</f>
        <v/>
      </c>
      <c r="DR94">
        <f>167350</f>
        <v>167350</v>
      </c>
      <c r="DS94" t="str">
        <f>""</f>
        <v/>
      </c>
      <c r="DT94" t="str">
        <f>""</f>
        <v/>
      </c>
      <c r="DU94" t="str">
        <f>""</f>
        <v/>
      </c>
    </row>
    <row r="95" spans="1:125" x14ac:dyDescent="0.25">
      <c r="A95" t="str">
        <f>"    DNB Bank ASA"</f>
        <v xml:space="preserve">    DNB Bank ASA</v>
      </c>
      <c r="B95" t="str">
        <f>"DNB NO Equity"</f>
        <v>DNB NO Equity</v>
      </c>
      <c r="C95" t="str">
        <f t="shared" si="6"/>
        <v>BS017</v>
      </c>
      <c r="D95" t="str">
        <f t="shared" si="7"/>
        <v>BS_CONS_LOAN</v>
      </c>
      <c r="E95" t="str">
        <f t="shared" si="8"/>
        <v>Dynamic</v>
      </c>
      <c r="F95">
        <f ca="1">IF(AND(ISNUMBER($F$299),$B$208=1),$F$299,HLOOKUP(INDIRECT(ADDRESS(2,COLUMN())),OFFSET($BN$2,0,0,ROW()-1,60),ROW()-1,FALSE))</f>
        <v>82416.979689999993</v>
      </c>
      <c r="G95">
        <f ca="1">IF(AND(ISNUMBER($G$299),$B$208=1),$G$299,HLOOKUP(INDIRECT(ADDRESS(2,COLUMN())),OFFSET($BN$2,0,0,ROW()-1,60),ROW()-1,FALSE))</f>
        <v>82479.429480000006</v>
      </c>
      <c r="H95">
        <f ca="1">IF(AND(ISNUMBER($H$299),$B$208=1),$H$299,HLOOKUP(INDIRECT(ADDRESS(2,COLUMN())),OFFSET($BN$2,0,0,ROW()-1,60),ROW()-1,FALSE))</f>
        <v>84194.163839999994</v>
      </c>
      <c r="I95">
        <f ca="1">IF(AND(ISNUMBER($I$299),$B$208=1),$I$299,HLOOKUP(INDIRECT(ADDRESS(2,COLUMN())),OFFSET($BN$2,0,0,ROW()-1,60),ROW()-1,FALSE))</f>
        <v>82371.51526</v>
      </c>
      <c r="J95">
        <f ca="1">IF(AND(ISNUMBER($J$299),$B$208=1),$J$299,HLOOKUP(INDIRECT(ADDRESS(2,COLUMN())),OFFSET($BN$2,0,0,ROW()-1,60),ROW()-1,FALSE))</f>
        <v>86860.071509999994</v>
      </c>
      <c r="K95">
        <f ca="1">IF(AND(ISNUMBER($K$299),$B$208=1),$K$299,HLOOKUP(INDIRECT(ADDRESS(2,COLUMN())),OFFSET($BN$2,0,0,ROW()-1,60),ROW()-1,FALSE))</f>
        <v>86135.608439999996</v>
      </c>
      <c r="L95">
        <f ca="1">IF(AND(ISNUMBER($L$299),$B$208=1),$L$299,HLOOKUP(INDIRECT(ADDRESS(2,COLUMN())),OFFSET($BN$2,0,0,ROW()-1,60),ROW()-1,FALSE))</f>
        <v>83141.929470000003</v>
      </c>
      <c r="M95">
        <f ca="1">IF(AND(ISNUMBER($M$299),$B$208=1),$M$299,HLOOKUP(INDIRECT(ADDRESS(2,COLUMN())),OFFSET($BN$2,0,0,ROW()-1,60),ROW()-1,FALSE))</f>
        <v>85501.891910000006</v>
      </c>
      <c r="N95">
        <f ca="1">IF(AND(ISNUMBER($N$299),$B$208=1),$N$299,HLOOKUP(INDIRECT(ADDRESS(2,COLUMN())),OFFSET($BN$2,0,0,ROW()-1,60),ROW()-1,FALSE))</f>
        <v>91790.19008</v>
      </c>
      <c r="O95">
        <f ca="1">IF(AND(ISNUMBER($O$299),$B$208=1),$O$299,HLOOKUP(INDIRECT(ADDRESS(2,COLUMN())),OFFSET($BN$2,0,0,ROW()-1,60),ROW()-1,FALSE))</f>
        <v>89974.960290000003</v>
      </c>
      <c r="P95">
        <f ca="1">IF(AND(ISNUMBER($P$299),$B$208=1),$P$299,HLOOKUP(INDIRECT(ADDRESS(2,COLUMN())),OFFSET($BN$2,0,0,ROW()-1,60),ROW()-1,FALSE))</f>
        <v>91725.49811</v>
      </c>
      <c r="Q95">
        <f ca="1">IF(AND(ISNUMBER($Q$299),$B$208=1),$Q$299,HLOOKUP(INDIRECT(ADDRESS(2,COLUMN())),OFFSET($BN$2,0,0,ROW()-1,60),ROW()-1,FALSE))</f>
        <v>96140.504440000004</v>
      </c>
      <c r="R95">
        <f ca="1">IF(AND(ISNUMBER($R$299),$B$208=1),$R$299,HLOOKUP(INDIRECT(ADDRESS(2,COLUMN())),OFFSET($BN$2,0,0,ROW()-1,60),ROW()-1,FALSE))</f>
        <v>85563.013439999995</v>
      </c>
      <c r="S95">
        <f ca="1">IF(AND(ISNUMBER($S$299),$B$208=1),$S$299,HLOOKUP(INDIRECT(ADDRESS(2,COLUMN())),OFFSET($BN$2,0,0,ROW()-1,60),ROW()-1,FALSE))</f>
        <v>84384.734460000007</v>
      </c>
      <c r="T95">
        <f ca="1">IF(AND(ISNUMBER($T$299),$B$208=1),$T$299,HLOOKUP(INDIRECT(ADDRESS(2,COLUMN())),OFFSET($BN$2,0,0,ROW()-1,60),ROW()-1,FALSE))</f>
        <v>82850.125589999996</v>
      </c>
      <c r="U95">
        <f ca="1">IF(AND(ISNUMBER($U$299),$B$208=1),$U$299,HLOOKUP(INDIRECT(ADDRESS(2,COLUMN())),OFFSET($BN$2,0,0,ROW()-1,60),ROW()-1,FALSE))</f>
        <v>82851.626319999996</v>
      </c>
      <c r="V95">
        <f ca="1">IF(AND(ISNUMBER($V$299),$B$208=1),$V$299,HLOOKUP(INDIRECT(ADDRESS(2,COLUMN())),OFFSET($BN$2,0,0,ROW()-1,60),ROW()-1,FALSE))</f>
        <v>78460.388919999998</v>
      </c>
      <c r="W95">
        <f ca="1">IF(AND(ISNUMBER($W$299),$B$208=1),$W$299,HLOOKUP(INDIRECT(ADDRESS(2,COLUMN())),OFFSET($BN$2,0,0,ROW()-1,60),ROW()-1,FALSE))</f>
        <v>74306.078859999994</v>
      </c>
      <c r="X95">
        <f ca="1">IF(AND(ISNUMBER($X$299),$B$208=1),$X$299,HLOOKUP(INDIRECT(ADDRESS(2,COLUMN())),OFFSET($BN$2,0,0,ROW()-1,60),ROW()-1,FALSE))</f>
        <v>73813.553750000006</v>
      </c>
      <c r="Y95">
        <f ca="1">IF(AND(ISNUMBER($Y$299),$B$208=1),$Y$299,HLOOKUP(INDIRECT(ADDRESS(2,COLUMN())),OFFSET($BN$2,0,0,ROW()-1,60),ROW()-1,FALSE))</f>
        <v>69055.611189999996</v>
      </c>
      <c r="Z95">
        <f ca="1">IF(AND(ISNUMBER($Z$299),$B$208=1),$Z$299,HLOOKUP(INDIRECT(ADDRESS(2,COLUMN())),OFFSET($BN$2,0,0,ROW()-1,60),ROW()-1,FALSE))</f>
        <v>79386.398879999993</v>
      </c>
      <c r="AA95">
        <f ca="1">IF(AND(ISNUMBER($AA$299),$B$208=1),$AA$299,HLOOKUP(INDIRECT(ADDRESS(2,COLUMN())),OFFSET($BN$2,0,0,ROW()-1,60),ROW()-1,FALSE))</f>
        <v>78796.296069999997</v>
      </c>
      <c r="AB95">
        <f ca="1">IF(AND(ISNUMBER($AB$299),$B$208=1),$AB$299,HLOOKUP(INDIRECT(ADDRESS(2,COLUMN())),OFFSET($BN$2,0,0,ROW()-1,60),ROW()-1,FALSE))</f>
        <v>79923.904290000006</v>
      </c>
      <c r="AC95">
        <f ca="1">IF(AND(ISNUMBER($AC$299),$B$208=1),$AC$299,HLOOKUP(INDIRECT(ADDRESS(2,COLUMN())),OFFSET($BN$2,0,0,ROW()-1,60),ROW()-1,FALSE))</f>
        <v>79251.055959999998</v>
      </c>
      <c r="AD95">
        <f ca="1">IF(AND(ISNUMBER($AD$299),$B$208=1),$AD$299,HLOOKUP(INDIRECT(ADDRESS(2,COLUMN())),OFFSET($BN$2,0,0,ROW()-1,60),ROW()-1,FALSE))</f>
        <v>76736.757790000003</v>
      </c>
      <c r="AE95">
        <f ca="1">IF(AND(ISNUMBER($AE$299),$B$208=1),$AE$299,HLOOKUP(INDIRECT(ADDRESS(2,COLUMN())),OFFSET($BN$2,0,0,ROW()-1,60),ROW()-1,FALSE))</f>
        <v>79830.316779999994</v>
      </c>
      <c r="AF95">
        <f ca="1">IF(AND(ISNUMBER($AF$299),$B$208=1),$AF$299,HLOOKUP(INDIRECT(ADDRESS(2,COLUMN())),OFFSET($BN$2,0,0,ROW()-1,60),ROW()-1,FALSE))</f>
        <v>78545.960300000006</v>
      </c>
      <c r="AG95">
        <f ca="1">IF(AND(ISNUMBER($AG$299),$B$208=1),$AG$299,HLOOKUP(INDIRECT(ADDRESS(2,COLUMN())),OFFSET($BN$2,0,0,ROW()-1,60),ROW()-1,FALSE))</f>
        <v>76104.150510000007</v>
      </c>
      <c r="AH95">
        <f ca="1">IF(AND(ISNUMBER($AH$299),$B$208=1),$AH$299,HLOOKUP(INDIRECT(ADDRESS(2,COLUMN())),OFFSET($BN$2,0,0,ROW()-1,60),ROW()-1,FALSE))</f>
        <v>80934.250499999995</v>
      </c>
      <c r="AI95" t="str">
        <f ca="1">IF(AND(ISNUMBER($AI$299),$B$208=1),$AI$299,HLOOKUP(INDIRECT(ADDRESS(2,COLUMN())),OFFSET($BN$2,0,0,ROW()-1,60),ROW()-1,FALSE))</f>
        <v/>
      </c>
      <c r="AJ95" t="str">
        <f ca="1">IF(AND(ISNUMBER($AJ$299),$B$208=1),$AJ$299,HLOOKUP(INDIRECT(ADDRESS(2,COLUMN())),OFFSET($BN$2,0,0,ROW()-1,60),ROW()-1,FALSE))</f>
        <v/>
      </c>
      <c r="AK95" t="str">
        <f ca="1">IF(AND(ISNUMBER($AK$299),$B$208=1),$AK$299,HLOOKUP(INDIRECT(ADDRESS(2,COLUMN())),OFFSET($BN$2,0,0,ROW()-1,60),ROW()-1,FALSE))</f>
        <v/>
      </c>
      <c r="AL95">
        <f ca="1">IF(AND(ISNUMBER($AL$299),$B$208=1),$AL$299,HLOOKUP(INDIRECT(ADDRESS(2,COLUMN())),OFFSET($BN$2,0,0,ROW()-1,60),ROW()-1,FALSE))</f>
        <v>82886.467640000003</v>
      </c>
      <c r="AM95" t="str">
        <f ca="1">IF(AND(ISNUMBER($AM$299),$B$208=1),$AM$299,HLOOKUP(INDIRECT(ADDRESS(2,COLUMN())),OFFSET($BN$2,0,0,ROW()-1,60),ROW()-1,FALSE))</f>
        <v/>
      </c>
      <c r="AN95" t="str">
        <f ca="1">IF(AND(ISNUMBER($AN$299),$B$208=1),$AN$299,HLOOKUP(INDIRECT(ADDRESS(2,COLUMN())),OFFSET($BN$2,0,0,ROW()-1,60),ROW()-1,FALSE))</f>
        <v/>
      </c>
      <c r="AO95" t="str">
        <f ca="1">IF(AND(ISNUMBER($AO$299),$B$208=1),$AO$299,HLOOKUP(INDIRECT(ADDRESS(2,COLUMN())),OFFSET($BN$2,0,0,ROW()-1,60),ROW()-1,FALSE))</f>
        <v/>
      </c>
      <c r="AP95">
        <f ca="1">IF(AND(ISNUMBER($AP$299),$B$208=1),$AP$299,HLOOKUP(INDIRECT(ADDRESS(2,COLUMN())),OFFSET($BN$2,0,0,ROW()-1,60),ROW()-1,FALSE))</f>
        <v>77532.866590000005</v>
      </c>
      <c r="AQ95" t="str">
        <f ca="1">IF(AND(ISNUMBER($AQ$299),$B$208=1),$AQ$299,HLOOKUP(INDIRECT(ADDRESS(2,COLUMN())),OFFSET($BN$2,0,0,ROW()-1,60),ROW()-1,FALSE))</f>
        <v/>
      </c>
      <c r="AR95" t="str">
        <f ca="1">IF(AND(ISNUMBER($AR$299),$B$208=1),$AR$299,HLOOKUP(INDIRECT(ADDRESS(2,COLUMN())),OFFSET($BN$2,0,0,ROW()-1,60),ROW()-1,FALSE))</f>
        <v/>
      </c>
      <c r="AS95" t="str">
        <f ca="1">IF(AND(ISNUMBER($AS$299),$B$208=1),$AS$299,HLOOKUP(INDIRECT(ADDRESS(2,COLUMN())),OFFSET($BN$2,0,0,ROW()-1,60),ROW()-1,FALSE))</f>
        <v/>
      </c>
      <c r="AT95">
        <f ca="1">IF(AND(ISNUMBER($AT$299),$B$208=1),$AT$299,HLOOKUP(INDIRECT(ADDRESS(2,COLUMN())),OFFSET($BN$2,0,0,ROW()-1,60),ROW()-1,FALSE))</f>
        <v>78355.508650000003</v>
      </c>
      <c r="AU95" t="str">
        <f ca="1">IF(AND(ISNUMBER($AU$299),$B$208=1),$AU$299,HLOOKUP(INDIRECT(ADDRESS(2,COLUMN())),OFFSET($BN$2,0,0,ROW()-1,60),ROW()-1,FALSE))</f>
        <v/>
      </c>
      <c r="AV95" t="str">
        <f ca="1">IF(AND(ISNUMBER($AV$299),$B$208=1),$AV$299,HLOOKUP(INDIRECT(ADDRESS(2,COLUMN())),OFFSET($BN$2,0,0,ROW()-1,60),ROW()-1,FALSE))</f>
        <v/>
      </c>
      <c r="AW95" t="str">
        <f ca="1">IF(AND(ISNUMBER($AW$299),$B$208=1),$AW$299,HLOOKUP(INDIRECT(ADDRESS(2,COLUMN())),OFFSET($BN$2,0,0,ROW()-1,60),ROW()-1,FALSE))</f>
        <v/>
      </c>
      <c r="AX95" t="str">
        <f ca="1">IF(AND(ISNUMBER($AX$299),$B$208=1),$AX$299,HLOOKUP(INDIRECT(ADDRESS(2,COLUMN())),OFFSET($BN$2,0,0,ROW()-1,60),ROW()-1,FALSE))</f>
        <v/>
      </c>
      <c r="AY95" t="str">
        <f ca="1">IF(AND(ISNUMBER($AY$299),$B$208=1),$AY$299,HLOOKUP(INDIRECT(ADDRESS(2,COLUMN())),OFFSET($BN$2,0,0,ROW()-1,60),ROW()-1,FALSE))</f>
        <v/>
      </c>
      <c r="AZ95" t="str">
        <f ca="1">IF(AND(ISNUMBER($AZ$299),$B$208=1),$AZ$299,HLOOKUP(INDIRECT(ADDRESS(2,COLUMN())),OFFSET($BN$2,0,0,ROW()-1,60),ROW()-1,FALSE))</f>
        <v/>
      </c>
      <c r="BA95" t="str">
        <f ca="1">IF(AND(ISNUMBER($BA$299),$B$208=1),$BA$299,HLOOKUP(INDIRECT(ADDRESS(2,COLUMN())),OFFSET($BN$2,0,0,ROW()-1,60),ROW()-1,FALSE))</f>
        <v/>
      </c>
      <c r="BB95" t="str">
        <f ca="1">IF(AND(ISNUMBER($BB$299),$B$208=1),$BB$299,HLOOKUP(INDIRECT(ADDRESS(2,COLUMN())),OFFSET($BN$2,0,0,ROW()-1,60),ROW()-1,FALSE))</f>
        <v/>
      </c>
      <c r="BC95" t="str">
        <f ca="1">IF(AND(ISNUMBER($BC$299),$B$208=1),$BC$299,HLOOKUP(INDIRECT(ADDRESS(2,COLUMN())),OFFSET($BN$2,0,0,ROW()-1,60),ROW()-1,FALSE))</f>
        <v/>
      </c>
      <c r="BD95" t="str">
        <f ca="1">IF(AND(ISNUMBER($BD$299),$B$208=1),$BD$299,HLOOKUP(INDIRECT(ADDRESS(2,COLUMN())),OFFSET($BN$2,0,0,ROW()-1,60),ROW()-1,FALSE))</f>
        <v/>
      </c>
      <c r="BE95" t="str">
        <f ca="1">IF(AND(ISNUMBER($BE$299),$B$208=1),$BE$299,HLOOKUP(INDIRECT(ADDRESS(2,COLUMN())),OFFSET($BN$2,0,0,ROW()-1,60),ROW()-1,FALSE))</f>
        <v/>
      </c>
      <c r="BF95" t="str">
        <f ca="1">IF(AND(ISNUMBER($BF$299),$B$208=1),$BF$299,HLOOKUP(INDIRECT(ADDRESS(2,COLUMN())),OFFSET($BN$2,0,0,ROW()-1,60),ROW()-1,FALSE))</f>
        <v/>
      </c>
      <c r="BG95" t="str">
        <f ca="1">IF(AND(ISNUMBER($BG$299),$B$208=1),$BG$299,HLOOKUP(INDIRECT(ADDRESS(2,COLUMN())),OFFSET($BN$2,0,0,ROW()-1,60),ROW()-1,FALSE))</f>
        <v/>
      </c>
      <c r="BH95" t="str">
        <f ca="1">IF(AND(ISNUMBER($BH$299),$B$208=1),$BH$299,HLOOKUP(INDIRECT(ADDRESS(2,COLUMN())),OFFSET($BN$2,0,0,ROW()-1,60),ROW()-1,FALSE))</f>
        <v/>
      </c>
      <c r="BI95" t="str">
        <f ca="1">IF(AND(ISNUMBER($BI$299),$B$208=1),$BI$299,HLOOKUP(INDIRECT(ADDRESS(2,COLUMN())),OFFSET($BN$2,0,0,ROW()-1,60),ROW()-1,FALSE))</f>
        <v/>
      </c>
      <c r="BJ95" t="str">
        <f ca="1">IF(AND(ISNUMBER($BJ$299),$B$208=1),$BJ$299,HLOOKUP(INDIRECT(ADDRESS(2,COLUMN())),OFFSET($BN$2,0,0,ROW()-1,60),ROW()-1,FALSE))</f>
        <v/>
      </c>
      <c r="BK95" t="str">
        <f ca="1">IF(AND(ISNUMBER($BK$299),$B$208=1),$BK$299,HLOOKUP(INDIRECT(ADDRESS(2,COLUMN())),OFFSET($BN$2,0,0,ROW()-1,60),ROW()-1,FALSE))</f>
        <v/>
      </c>
      <c r="BL95" t="str">
        <f ca="1">IF(AND(ISNUMBER($BL$299),$B$208=1),$BL$299,HLOOKUP(INDIRECT(ADDRESS(2,COLUMN())),OFFSET($BN$2,0,0,ROW()-1,60),ROW()-1,FALSE))</f>
        <v/>
      </c>
      <c r="BM95" t="str">
        <f ca="1">IF(AND(ISNUMBER($BM$299),$B$208=1),$BM$299,HLOOKUP(INDIRECT(ADDRESS(2,COLUMN())),OFFSET($BN$2,0,0,ROW()-1,60),ROW()-1,FALSE))</f>
        <v/>
      </c>
      <c r="BN95">
        <f>82416.97969</f>
        <v>82416.979689999993</v>
      </c>
      <c r="BO95">
        <f>82479.42948</f>
        <v>82479.429480000006</v>
      </c>
      <c r="BP95">
        <f>84194.16384</f>
        <v>84194.163839999994</v>
      </c>
      <c r="BQ95">
        <f>82371.51526</f>
        <v>82371.51526</v>
      </c>
      <c r="BR95">
        <f>86860.07151</f>
        <v>86860.071509999994</v>
      </c>
      <c r="BS95">
        <f>86135.60844</f>
        <v>86135.608439999996</v>
      </c>
      <c r="BT95">
        <f>83141.92947</f>
        <v>83141.929470000003</v>
      </c>
      <c r="BU95">
        <f>85501.89191</f>
        <v>85501.891910000006</v>
      </c>
      <c r="BV95">
        <f>91790.19008</f>
        <v>91790.19008</v>
      </c>
      <c r="BW95">
        <f>89974.96029</f>
        <v>89974.960290000003</v>
      </c>
      <c r="BX95">
        <f>91725.49811</f>
        <v>91725.49811</v>
      </c>
      <c r="BY95">
        <f>96140.50444</f>
        <v>96140.504440000004</v>
      </c>
      <c r="BZ95">
        <f>85563.01344</f>
        <v>85563.013439999995</v>
      </c>
      <c r="CA95">
        <f>84384.73446</f>
        <v>84384.734460000007</v>
      </c>
      <c r="CB95">
        <f>82850.12559</f>
        <v>82850.125589999996</v>
      </c>
      <c r="CC95">
        <f>82851.62632</f>
        <v>82851.626319999996</v>
      </c>
      <c r="CD95">
        <f>78460.38892</f>
        <v>78460.388919999998</v>
      </c>
      <c r="CE95">
        <f>74306.07886</f>
        <v>74306.078859999994</v>
      </c>
      <c r="CF95">
        <f>73813.55375</f>
        <v>73813.553750000006</v>
      </c>
      <c r="CG95">
        <f>69055.61119</f>
        <v>69055.611189999996</v>
      </c>
      <c r="CH95">
        <f>79386.39888</f>
        <v>79386.398879999993</v>
      </c>
      <c r="CI95">
        <f>78796.29607</f>
        <v>78796.296069999997</v>
      </c>
      <c r="CJ95">
        <f>79923.90429</f>
        <v>79923.904290000006</v>
      </c>
      <c r="CK95">
        <f>79251.05596</f>
        <v>79251.055959999998</v>
      </c>
      <c r="CL95">
        <f>76736.75779</f>
        <v>76736.757790000003</v>
      </c>
      <c r="CM95">
        <f>79830.31678</f>
        <v>79830.316779999994</v>
      </c>
      <c r="CN95">
        <f>78545.9603</f>
        <v>78545.960300000006</v>
      </c>
      <c r="CO95">
        <f>76104.15051</f>
        <v>76104.150510000007</v>
      </c>
      <c r="CP95">
        <f>80934.2505</f>
        <v>80934.250499999995</v>
      </c>
      <c r="CQ95" t="str">
        <f>""</f>
        <v/>
      </c>
      <c r="CR95" t="str">
        <f>""</f>
        <v/>
      </c>
      <c r="CS95" t="str">
        <f>""</f>
        <v/>
      </c>
      <c r="CT95">
        <f>82886.46764</f>
        <v>82886.467640000003</v>
      </c>
      <c r="CU95" t="str">
        <f>""</f>
        <v/>
      </c>
      <c r="CV95" t="str">
        <f>""</f>
        <v/>
      </c>
      <c r="CW95" t="str">
        <f>""</f>
        <v/>
      </c>
      <c r="CX95">
        <f>77532.86659</f>
        <v>77532.866590000005</v>
      </c>
      <c r="CY95" t="str">
        <f>""</f>
        <v/>
      </c>
      <c r="CZ95" t="str">
        <f>""</f>
        <v/>
      </c>
      <c r="DA95" t="str">
        <f>""</f>
        <v/>
      </c>
      <c r="DB95">
        <f>78355.50865</f>
        <v>78355.508650000003</v>
      </c>
      <c r="DC95" t="str">
        <f>""</f>
        <v/>
      </c>
      <c r="DD95" t="str">
        <f>""</f>
        <v/>
      </c>
      <c r="DE95" t="str">
        <f>""</f>
        <v/>
      </c>
      <c r="DF95" t="str">
        <f>""</f>
        <v/>
      </c>
      <c r="DG95" t="str">
        <f>""</f>
        <v/>
      </c>
      <c r="DH95" t="str">
        <f>""</f>
        <v/>
      </c>
      <c r="DI95" t="str">
        <f>""</f>
        <v/>
      </c>
      <c r="DJ95" t="str">
        <f>""</f>
        <v/>
      </c>
      <c r="DK95" t="str">
        <f>""</f>
        <v/>
      </c>
      <c r="DL95" t="str">
        <f>""</f>
        <v/>
      </c>
      <c r="DM95" t="str">
        <f>""</f>
        <v/>
      </c>
      <c r="DN95" t="str">
        <f>""</f>
        <v/>
      </c>
      <c r="DO95" t="str">
        <f>""</f>
        <v/>
      </c>
      <c r="DP95" t="str">
        <f>""</f>
        <v/>
      </c>
      <c r="DQ95" t="str">
        <f>""</f>
        <v/>
      </c>
      <c r="DR95" t="str">
        <f>""</f>
        <v/>
      </c>
      <c r="DS95" t="str">
        <f>""</f>
        <v/>
      </c>
      <c r="DT95" t="str">
        <f>""</f>
        <v/>
      </c>
      <c r="DU95" t="str">
        <f>""</f>
        <v/>
      </c>
    </row>
    <row r="96" spans="1:125" x14ac:dyDescent="0.25">
      <c r="A96" t="str">
        <f>"    Danske Bank A/S"</f>
        <v xml:space="preserve">    Danske Bank A/S</v>
      </c>
      <c r="B96" t="str">
        <f>"DANSKE DC Equity"</f>
        <v>DANSKE DC Equity</v>
      </c>
      <c r="C96" t="str">
        <f t="shared" si="6"/>
        <v>BS017</v>
      </c>
      <c r="D96" t="str">
        <f t="shared" si="7"/>
        <v>BS_CONS_LOAN</v>
      </c>
      <c r="E96" t="str">
        <f t="shared" si="8"/>
        <v>Dynamic</v>
      </c>
      <c r="F96" t="str">
        <f ca="1">IF(AND(ISNUMBER($F$300),$B$208=1),$F$300,HLOOKUP(INDIRECT(ADDRESS(2,COLUMN())),OFFSET($BN$2,0,0,ROW()-1,60),ROW()-1,FALSE))</f>
        <v/>
      </c>
      <c r="G96" t="str">
        <f ca="1">IF(AND(ISNUMBER($G$300),$B$208=1),$G$300,HLOOKUP(INDIRECT(ADDRESS(2,COLUMN())),OFFSET($BN$2,0,0,ROW()-1,60),ROW()-1,FALSE))</f>
        <v/>
      </c>
      <c r="H96" t="str">
        <f ca="1">IF(AND(ISNUMBER($H$300),$B$208=1),$H$300,HLOOKUP(INDIRECT(ADDRESS(2,COLUMN())),OFFSET($BN$2,0,0,ROW()-1,60),ROW()-1,FALSE))</f>
        <v/>
      </c>
      <c r="I96" t="str">
        <f ca="1">IF(AND(ISNUMBER($I$300),$B$208=1),$I$300,HLOOKUP(INDIRECT(ADDRESS(2,COLUMN())),OFFSET($BN$2,0,0,ROW()-1,60),ROW()-1,FALSE))</f>
        <v/>
      </c>
      <c r="J96" t="str">
        <f ca="1">IF(AND(ISNUMBER($J$300),$B$208=1),$J$300,HLOOKUP(INDIRECT(ADDRESS(2,COLUMN())),OFFSET($BN$2,0,0,ROW()-1,60),ROW()-1,FALSE))</f>
        <v/>
      </c>
      <c r="K96" t="str">
        <f ca="1">IF(AND(ISNUMBER($K$300),$B$208=1),$K$300,HLOOKUP(INDIRECT(ADDRESS(2,COLUMN())),OFFSET($BN$2,0,0,ROW()-1,60),ROW()-1,FALSE))</f>
        <v/>
      </c>
      <c r="L96" t="str">
        <f ca="1">IF(AND(ISNUMBER($L$300),$B$208=1),$L$300,HLOOKUP(INDIRECT(ADDRESS(2,COLUMN())),OFFSET($BN$2,0,0,ROW()-1,60),ROW()-1,FALSE))</f>
        <v/>
      </c>
      <c r="M96" t="str">
        <f ca="1">IF(AND(ISNUMBER($M$300),$B$208=1),$M$300,HLOOKUP(INDIRECT(ADDRESS(2,COLUMN())),OFFSET($BN$2,0,0,ROW()-1,60),ROW()-1,FALSE))</f>
        <v/>
      </c>
      <c r="N96" t="str">
        <f ca="1">IF(AND(ISNUMBER($N$300),$B$208=1),$N$300,HLOOKUP(INDIRECT(ADDRESS(2,COLUMN())),OFFSET($BN$2,0,0,ROW()-1,60),ROW()-1,FALSE))</f>
        <v/>
      </c>
      <c r="O96" t="str">
        <f ca="1">IF(AND(ISNUMBER($O$300),$B$208=1),$O$300,HLOOKUP(INDIRECT(ADDRESS(2,COLUMN())),OFFSET($BN$2,0,0,ROW()-1,60),ROW()-1,FALSE))</f>
        <v/>
      </c>
      <c r="P96" t="str">
        <f ca="1">IF(AND(ISNUMBER($P$300),$B$208=1),$P$300,HLOOKUP(INDIRECT(ADDRESS(2,COLUMN())),OFFSET($BN$2,0,0,ROW()-1,60),ROW()-1,FALSE))</f>
        <v/>
      </c>
      <c r="Q96" t="str">
        <f ca="1">IF(AND(ISNUMBER($Q$300),$B$208=1),$Q$300,HLOOKUP(INDIRECT(ADDRESS(2,COLUMN())),OFFSET($BN$2,0,0,ROW()-1,60),ROW()-1,FALSE))</f>
        <v/>
      </c>
      <c r="R96" t="str">
        <f ca="1">IF(AND(ISNUMBER($R$300),$B$208=1),$R$300,HLOOKUP(INDIRECT(ADDRESS(2,COLUMN())),OFFSET($BN$2,0,0,ROW()-1,60),ROW()-1,FALSE))</f>
        <v/>
      </c>
      <c r="S96" t="str">
        <f ca="1">IF(AND(ISNUMBER($S$300),$B$208=1),$S$300,HLOOKUP(INDIRECT(ADDRESS(2,COLUMN())),OFFSET($BN$2,0,0,ROW()-1,60),ROW()-1,FALSE))</f>
        <v/>
      </c>
      <c r="T96" t="str">
        <f ca="1">IF(AND(ISNUMBER($T$300),$B$208=1),$T$300,HLOOKUP(INDIRECT(ADDRESS(2,COLUMN())),OFFSET($BN$2,0,0,ROW()-1,60),ROW()-1,FALSE))</f>
        <v/>
      </c>
      <c r="U96" t="str">
        <f ca="1">IF(AND(ISNUMBER($U$300),$B$208=1),$U$300,HLOOKUP(INDIRECT(ADDRESS(2,COLUMN())),OFFSET($BN$2,0,0,ROW()-1,60),ROW()-1,FALSE))</f>
        <v/>
      </c>
      <c r="V96" t="str">
        <f ca="1">IF(AND(ISNUMBER($V$300),$B$208=1),$V$300,HLOOKUP(INDIRECT(ADDRESS(2,COLUMN())),OFFSET($BN$2,0,0,ROW()-1,60),ROW()-1,FALSE))</f>
        <v/>
      </c>
      <c r="W96" t="str">
        <f ca="1">IF(AND(ISNUMBER($W$300),$B$208=1),$W$300,HLOOKUP(INDIRECT(ADDRESS(2,COLUMN())),OFFSET($BN$2,0,0,ROW()-1,60),ROW()-1,FALSE))</f>
        <v/>
      </c>
      <c r="X96" t="str">
        <f ca="1">IF(AND(ISNUMBER($X$300),$B$208=1),$X$300,HLOOKUP(INDIRECT(ADDRESS(2,COLUMN())),OFFSET($BN$2,0,0,ROW()-1,60),ROW()-1,FALSE))</f>
        <v/>
      </c>
      <c r="Y96" t="str">
        <f ca="1">IF(AND(ISNUMBER($Y$300),$B$208=1),$Y$300,HLOOKUP(INDIRECT(ADDRESS(2,COLUMN())),OFFSET($BN$2,0,0,ROW()-1,60),ROW()-1,FALSE))</f>
        <v/>
      </c>
      <c r="Z96" t="str">
        <f ca="1">IF(AND(ISNUMBER($Z$300),$B$208=1),$Z$300,HLOOKUP(INDIRECT(ADDRESS(2,COLUMN())),OFFSET($BN$2,0,0,ROW()-1,60),ROW()-1,FALSE))</f>
        <v/>
      </c>
      <c r="AA96" t="str">
        <f ca="1">IF(AND(ISNUMBER($AA$300),$B$208=1),$AA$300,HLOOKUP(INDIRECT(ADDRESS(2,COLUMN())),OFFSET($BN$2,0,0,ROW()-1,60),ROW()-1,FALSE))</f>
        <v/>
      </c>
      <c r="AB96" t="str">
        <f ca="1">IF(AND(ISNUMBER($AB$300),$B$208=1),$AB$300,HLOOKUP(INDIRECT(ADDRESS(2,COLUMN())),OFFSET($BN$2,0,0,ROW()-1,60),ROW()-1,FALSE))</f>
        <v/>
      </c>
      <c r="AC96" t="str">
        <f ca="1">IF(AND(ISNUMBER($AC$300),$B$208=1),$AC$300,HLOOKUP(INDIRECT(ADDRESS(2,COLUMN())),OFFSET($BN$2,0,0,ROW()-1,60),ROW()-1,FALSE))</f>
        <v/>
      </c>
      <c r="AD96" t="str">
        <f ca="1">IF(AND(ISNUMBER($AD$300),$B$208=1),$AD$300,HLOOKUP(INDIRECT(ADDRESS(2,COLUMN())),OFFSET($BN$2,0,0,ROW()-1,60),ROW()-1,FALSE))</f>
        <v/>
      </c>
      <c r="AE96" t="str">
        <f ca="1">IF(AND(ISNUMBER($AE$300),$B$208=1),$AE$300,HLOOKUP(INDIRECT(ADDRESS(2,COLUMN())),OFFSET($BN$2,0,0,ROW()-1,60),ROW()-1,FALSE))</f>
        <v/>
      </c>
      <c r="AF96" t="str">
        <f ca="1">IF(AND(ISNUMBER($AF$300),$B$208=1),$AF$300,HLOOKUP(INDIRECT(ADDRESS(2,COLUMN())),OFFSET($BN$2,0,0,ROW()-1,60),ROW()-1,FALSE))</f>
        <v/>
      </c>
      <c r="AG96" t="str">
        <f ca="1">IF(AND(ISNUMBER($AG$300),$B$208=1),$AG$300,HLOOKUP(INDIRECT(ADDRESS(2,COLUMN())),OFFSET($BN$2,0,0,ROW()-1,60),ROW()-1,FALSE))</f>
        <v/>
      </c>
      <c r="AH96" t="str">
        <f ca="1">IF(AND(ISNUMBER($AH$300),$B$208=1),$AH$300,HLOOKUP(INDIRECT(ADDRESS(2,COLUMN())),OFFSET($BN$2,0,0,ROW()-1,60),ROW()-1,FALSE))</f>
        <v/>
      </c>
      <c r="AI96" t="str">
        <f ca="1">IF(AND(ISNUMBER($AI$300),$B$208=1),$AI$300,HLOOKUP(INDIRECT(ADDRESS(2,COLUMN())),OFFSET($BN$2,0,0,ROW()-1,60),ROW()-1,FALSE))</f>
        <v/>
      </c>
      <c r="AJ96" t="str">
        <f ca="1">IF(AND(ISNUMBER($AJ$300),$B$208=1),$AJ$300,HLOOKUP(INDIRECT(ADDRESS(2,COLUMN())),OFFSET($BN$2,0,0,ROW()-1,60),ROW()-1,FALSE))</f>
        <v/>
      </c>
      <c r="AK96" t="str">
        <f ca="1">IF(AND(ISNUMBER($AK$300),$B$208=1),$AK$300,HLOOKUP(INDIRECT(ADDRESS(2,COLUMN())),OFFSET($BN$2,0,0,ROW()-1,60),ROW()-1,FALSE))</f>
        <v/>
      </c>
      <c r="AL96" t="str">
        <f ca="1">IF(AND(ISNUMBER($AL$300),$B$208=1),$AL$300,HLOOKUP(INDIRECT(ADDRESS(2,COLUMN())),OFFSET($BN$2,0,0,ROW()-1,60),ROW()-1,FALSE))</f>
        <v/>
      </c>
      <c r="AM96" t="str">
        <f ca="1">IF(AND(ISNUMBER($AM$300),$B$208=1),$AM$300,HLOOKUP(INDIRECT(ADDRESS(2,COLUMN())),OFFSET($BN$2,0,0,ROW()-1,60),ROW()-1,FALSE))</f>
        <v/>
      </c>
      <c r="AN96" t="str">
        <f ca="1">IF(AND(ISNUMBER($AN$300),$B$208=1),$AN$300,HLOOKUP(INDIRECT(ADDRESS(2,COLUMN())),OFFSET($BN$2,0,0,ROW()-1,60),ROW()-1,FALSE))</f>
        <v/>
      </c>
      <c r="AO96" t="str">
        <f ca="1">IF(AND(ISNUMBER($AO$300),$B$208=1),$AO$300,HLOOKUP(INDIRECT(ADDRESS(2,COLUMN())),OFFSET($BN$2,0,0,ROW()-1,60),ROW()-1,FALSE))</f>
        <v/>
      </c>
      <c r="AP96" t="str">
        <f ca="1">IF(AND(ISNUMBER($AP$300),$B$208=1),$AP$300,HLOOKUP(INDIRECT(ADDRESS(2,COLUMN())),OFFSET($BN$2,0,0,ROW()-1,60),ROW()-1,FALSE))</f>
        <v/>
      </c>
      <c r="AQ96" t="str">
        <f ca="1">IF(AND(ISNUMBER($AQ$300),$B$208=1),$AQ$300,HLOOKUP(INDIRECT(ADDRESS(2,COLUMN())),OFFSET($BN$2,0,0,ROW()-1,60),ROW()-1,FALSE))</f>
        <v/>
      </c>
      <c r="AR96" t="str">
        <f ca="1">IF(AND(ISNUMBER($AR$300),$B$208=1),$AR$300,HLOOKUP(INDIRECT(ADDRESS(2,COLUMN())),OFFSET($BN$2,0,0,ROW()-1,60),ROW()-1,FALSE))</f>
        <v/>
      </c>
      <c r="AS96" t="str">
        <f ca="1">IF(AND(ISNUMBER($AS$300),$B$208=1),$AS$300,HLOOKUP(INDIRECT(ADDRESS(2,COLUMN())),OFFSET($BN$2,0,0,ROW()-1,60),ROW()-1,FALSE))</f>
        <v/>
      </c>
      <c r="AT96" t="str">
        <f ca="1">IF(AND(ISNUMBER($AT$300),$B$208=1),$AT$300,HLOOKUP(INDIRECT(ADDRESS(2,COLUMN())),OFFSET($BN$2,0,0,ROW()-1,60),ROW()-1,FALSE))</f>
        <v/>
      </c>
      <c r="AU96" t="str">
        <f ca="1">IF(AND(ISNUMBER($AU$300),$B$208=1),$AU$300,HLOOKUP(INDIRECT(ADDRESS(2,COLUMN())),OFFSET($BN$2,0,0,ROW()-1,60),ROW()-1,FALSE))</f>
        <v/>
      </c>
      <c r="AV96" t="str">
        <f ca="1">IF(AND(ISNUMBER($AV$300),$B$208=1),$AV$300,HLOOKUP(INDIRECT(ADDRESS(2,COLUMN())),OFFSET($BN$2,0,0,ROW()-1,60),ROW()-1,FALSE))</f>
        <v/>
      </c>
      <c r="AW96" t="str">
        <f ca="1">IF(AND(ISNUMBER($AW$300),$B$208=1),$AW$300,HLOOKUP(INDIRECT(ADDRESS(2,COLUMN())),OFFSET($BN$2,0,0,ROW()-1,60),ROW()-1,FALSE))</f>
        <v/>
      </c>
      <c r="AX96" t="str">
        <f ca="1">IF(AND(ISNUMBER($AX$300),$B$208=1),$AX$300,HLOOKUP(INDIRECT(ADDRESS(2,COLUMN())),OFFSET($BN$2,0,0,ROW()-1,60),ROW()-1,FALSE))</f>
        <v/>
      </c>
      <c r="AY96" t="str">
        <f ca="1">IF(AND(ISNUMBER($AY$300),$B$208=1),$AY$300,HLOOKUP(INDIRECT(ADDRESS(2,COLUMN())),OFFSET($BN$2,0,0,ROW()-1,60),ROW()-1,FALSE))</f>
        <v/>
      </c>
      <c r="AZ96" t="str">
        <f ca="1">IF(AND(ISNUMBER($AZ$300),$B$208=1),$AZ$300,HLOOKUP(INDIRECT(ADDRESS(2,COLUMN())),OFFSET($BN$2,0,0,ROW()-1,60),ROW()-1,FALSE))</f>
        <v/>
      </c>
      <c r="BA96" t="str">
        <f ca="1">IF(AND(ISNUMBER($BA$300),$B$208=1),$BA$300,HLOOKUP(INDIRECT(ADDRESS(2,COLUMN())),OFFSET($BN$2,0,0,ROW()-1,60),ROW()-1,FALSE))</f>
        <v/>
      </c>
      <c r="BB96" t="str">
        <f ca="1">IF(AND(ISNUMBER($BB$300),$B$208=1),$BB$300,HLOOKUP(INDIRECT(ADDRESS(2,COLUMN())),OFFSET($BN$2,0,0,ROW()-1,60),ROW()-1,FALSE))</f>
        <v/>
      </c>
      <c r="BC96" t="str">
        <f ca="1">IF(AND(ISNUMBER($BC$300),$B$208=1),$BC$300,HLOOKUP(INDIRECT(ADDRESS(2,COLUMN())),OFFSET($BN$2,0,0,ROW()-1,60),ROW()-1,FALSE))</f>
        <v/>
      </c>
      <c r="BD96" t="str">
        <f ca="1">IF(AND(ISNUMBER($BD$300),$B$208=1),$BD$300,HLOOKUP(INDIRECT(ADDRESS(2,COLUMN())),OFFSET($BN$2,0,0,ROW()-1,60),ROW()-1,FALSE))</f>
        <v/>
      </c>
      <c r="BE96" t="str">
        <f ca="1">IF(AND(ISNUMBER($BE$300),$B$208=1),$BE$300,HLOOKUP(INDIRECT(ADDRESS(2,COLUMN())),OFFSET($BN$2,0,0,ROW()-1,60),ROW()-1,FALSE))</f>
        <v/>
      </c>
      <c r="BF96" t="str">
        <f ca="1">IF(AND(ISNUMBER($BF$300),$B$208=1),$BF$300,HLOOKUP(INDIRECT(ADDRESS(2,COLUMN())),OFFSET($BN$2,0,0,ROW()-1,60),ROW()-1,FALSE))</f>
        <v/>
      </c>
      <c r="BG96" t="str">
        <f ca="1">IF(AND(ISNUMBER($BG$300),$B$208=1),$BG$300,HLOOKUP(INDIRECT(ADDRESS(2,COLUMN())),OFFSET($BN$2,0,0,ROW()-1,60),ROW()-1,FALSE))</f>
        <v/>
      </c>
      <c r="BH96" t="str">
        <f ca="1">IF(AND(ISNUMBER($BH$300),$B$208=1),$BH$300,HLOOKUP(INDIRECT(ADDRESS(2,COLUMN())),OFFSET($BN$2,0,0,ROW()-1,60),ROW()-1,FALSE))</f>
        <v/>
      </c>
      <c r="BI96" t="str">
        <f ca="1">IF(AND(ISNUMBER($BI$300),$B$208=1),$BI$300,HLOOKUP(INDIRECT(ADDRESS(2,COLUMN())),OFFSET($BN$2,0,0,ROW()-1,60),ROW()-1,FALSE))</f>
        <v/>
      </c>
      <c r="BJ96" t="str">
        <f ca="1">IF(AND(ISNUMBER($BJ$300),$B$208=1),$BJ$300,HLOOKUP(INDIRECT(ADDRESS(2,COLUMN())),OFFSET($BN$2,0,0,ROW()-1,60),ROW()-1,FALSE))</f>
        <v/>
      </c>
      <c r="BK96" t="str">
        <f ca="1">IF(AND(ISNUMBER($BK$300),$B$208=1),$BK$300,HLOOKUP(INDIRECT(ADDRESS(2,COLUMN())),OFFSET($BN$2,0,0,ROW()-1,60),ROW()-1,FALSE))</f>
        <v/>
      </c>
      <c r="BL96" t="str">
        <f ca="1">IF(AND(ISNUMBER($BL$300),$B$208=1),$BL$300,HLOOKUP(INDIRECT(ADDRESS(2,COLUMN())),OFFSET($BN$2,0,0,ROW()-1,60),ROW()-1,FALSE))</f>
        <v/>
      </c>
      <c r="BM96" t="str">
        <f ca="1">IF(AND(ISNUMBER($BM$300),$B$208=1),$BM$300,HLOOKUP(INDIRECT(ADDRESS(2,COLUMN())),OFFSET($BN$2,0,0,ROW()-1,60),ROW()-1,FALSE))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  <c r="BT96" t="str">
        <f>""</f>
        <v/>
      </c>
      <c r="BU96" t="str">
        <f>""</f>
        <v/>
      </c>
      <c r="BV96" t="str">
        <f>""</f>
        <v/>
      </c>
      <c r="BW96" t="str">
        <f>""</f>
        <v/>
      </c>
      <c r="BX96" t="str">
        <f>""</f>
        <v/>
      </c>
      <c r="BY96" t="str">
        <f>""</f>
        <v/>
      </c>
      <c r="BZ96" t="str">
        <f>""</f>
        <v/>
      </c>
      <c r="CA96" t="str">
        <f>""</f>
        <v/>
      </c>
      <c r="CB96" t="str">
        <f>""</f>
        <v/>
      </c>
      <c r="CC96" t="str">
        <f>""</f>
        <v/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  <c r="CH96" t="str">
        <f>""</f>
        <v/>
      </c>
      <c r="CI96" t="str">
        <f>""</f>
        <v/>
      </c>
      <c r="CJ96" t="str">
        <f>""</f>
        <v/>
      </c>
      <c r="CK96" t="str">
        <f>""</f>
        <v/>
      </c>
      <c r="CL96" t="str">
        <f>""</f>
        <v/>
      </c>
      <c r="CM96" t="str">
        <f>""</f>
        <v/>
      </c>
      <c r="CN96" t="str">
        <f>""</f>
        <v/>
      </c>
      <c r="CO96" t="str">
        <f>""</f>
        <v/>
      </c>
      <c r="CP96" t="str">
        <f>""</f>
        <v/>
      </c>
      <c r="CQ96" t="str">
        <f>""</f>
        <v/>
      </c>
      <c r="CR96" t="str">
        <f>""</f>
        <v/>
      </c>
      <c r="CS96" t="str">
        <f>""</f>
        <v/>
      </c>
      <c r="CT96" t="str">
        <f>""</f>
        <v/>
      </c>
      <c r="CU96" t="str">
        <f>""</f>
        <v/>
      </c>
      <c r="CV96" t="str">
        <f>""</f>
        <v/>
      </c>
      <c r="CW96" t="str">
        <f>""</f>
        <v/>
      </c>
      <c r="CX96" t="str">
        <f>""</f>
        <v/>
      </c>
      <c r="CY96" t="str">
        <f>""</f>
        <v/>
      </c>
      <c r="CZ96" t="str">
        <f>""</f>
        <v/>
      </c>
      <c r="DA96" t="str">
        <f>""</f>
        <v/>
      </c>
      <c r="DB96" t="str">
        <f>""</f>
        <v/>
      </c>
      <c r="DC96" t="str">
        <f>""</f>
        <v/>
      </c>
      <c r="DD96" t="str">
        <f>""</f>
        <v/>
      </c>
      <c r="DE96" t="str">
        <f>""</f>
        <v/>
      </c>
      <c r="DF96" t="str">
        <f>""</f>
        <v/>
      </c>
      <c r="DG96" t="str">
        <f>""</f>
        <v/>
      </c>
      <c r="DH96" t="str">
        <f>""</f>
        <v/>
      </c>
      <c r="DI96" t="str">
        <f>""</f>
        <v/>
      </c>
      <c r="DJ96" t="str">
        <f>""</f>
        <v/>
      </c>
      <c r="DK96" t="str">
        <f>""</f>
        <v/>
      </c>
      <c r="DL96" t="str">
        <f>""</f>
        <v/>
      </c>
      <c r="DM96" t="str">
        <f>""</f>
        <v/>
      </c>
      <c r="DN96" t="str">
        <f>""</f>
        <v/>
      </c>
      <c r="DO96" t="str">
        <f>""</f>
        <v/>
      </c>
      <c r="DP96" t="str">
        <f>""</f>
        <v/>
      </c>
      <c r="DQ96" t="str">
        <f>""</f>
        <v/>
      </c>
      <c r="DR96" t="str">
        <f>""</f>
        <v/>
      </c>
      <c r="DS96" t="str">
        <f>""</f>
        <v/>
      </c>
      <c r="DT96" t="str">
        <f>""</f>
        <v/>
      </c>
      <c r="DU96" t="str">
        <f>""</f>
        <v/>
      </c>
    </row>
    <row r="97" spans="1:125" x14ac:dyDescent="0.25">
      <c r="A97" t="str">
        <f>"    Erste Group Bank AG"</f>
        <v xml:space="preserve">    Erste Group Bank AG</v>
      </c>
      <c r="B97" t="str">
        <f>"EBS AV Equity"</f>
        <v>EBS AV Equity</v>
      </c>
      <c r="C97" t="str">
        <f t="shared" si="6"/>
        <v>BS017</v>
      </c>
      <c r="D97" t="str">
        <f t="shared" si="7"/>
        <v>BS_CONS_LOAN</v>
      </c>
      <c r="E97" t="str">
        <f t="shared" si="8"/>
        <v>Dynamic</v>
      </c>
      <c r="F97" t="str">
        <f ca="1">IF(AND(ISNUMBER($F$301),$B$208=1),$F$301,HLOOKUP(INDIRECT(ADDRESS(2,COLUMN())),OFFSET($BN$2,0,0,ROW()-1,60),ROW()-1,FALSE))</f>
        <v/>
      </c>
      <c r="G97">
        <f ca="1">IF(AND(ISNUMBER($G$301),$B$208=1),$G$301,HLOOKUP(INDIRECT(ADDRESS(2,COLUMN())),OFFSET($BN$2,0,0,ROW()-1,60),ROW()-1,FALSE))</f>
        <v>1129</v>
      </c>
      <c r="H97">
        <f ca="1">IF(AND(ISNUMBER($H$301),$B$208=1),$H$301,HLOOKUP(INDIRECT(ADDRESS(2,COLUMN())),OFFSET($BN$2,0,0,ROW()-1,60),ROW()-1,FALSE))</f>
        <v>1082</v>
      </c>
      <c r="I97">
        <f ca="1">IF(AND(ISNUMBER($I$301),$B$208=1),$I$301,HLOOKUP(INDIRECT(ADDRESS(2,COLUMN())),OFFSET($BN$2,0,0,ROW()-1,60),ROW()-1,FALSE))</f>
        <v>1034.5709999999999</v>
      </c>
      <c r="J97">
        <f ca="1">IF(AND(ISNUMBER($J$301),$B$208=1),$J$301,HLOOKUP(INDIRECT(ADDRESS(2,COLUMN())),OFFSET($BN$2,0,0,ROW()-1,60),ROW()-1,FALSE))</f>
        <v>1038</v>
      </c>
      <c r="K97">
        <f ca="1">IF(AND(ISNUMBER($K$301),$B$208=1),$K$301,HLOOKUP(INDIRECT(ADDRESS(2,COLUMN())),OFFSET($BN$2,0,0,ROW()-1,60),ROW()-1,FALSE))</f>
        <v>949.31399999999996</v>
      </c>
      <c r="L97">
        <f ca="1">IF(AND(ISNUMBER($L$301),$B$208=1),$L$301,HLOOKUP(INDIRECT(ADDRESS(2,COLUMN())),OFFSET($BN$2,0,0,ROW()-1,60),ROW()-1,FALSE))</f>
        <v>96446</v>
      </c>
      <c r="M97">
        <f ca="1">IF(AND(ISNUMBER($M$301),$B$208=1),$M$301,HLOOKUP(INDIRECT(ADDRESS(2,COLUMN())),OFFSET($BN$2,0,0,ROW()-1,60),ROW()-1,FALSE))</f>
        <v>870.42600000000004</v>
      </c>
      <c r="N97">
        <f ca="1">IF(AND(ISNUMBER($N$301),$B$208=1),$N$301,HLOOKUP(INDIRECT(ADDRESS(2,COLUMN())),OFFSET($BN$2,0,0,ROW()-1,60),ROW()-1,FALSE))</f>
        <v>839.3</v>
      </c>
      <c r="O97">
        <f ca="1">IF(AND(ISNUMBER($O$301),$B$208=1),$O$301,HLOOKUP(INDIRECT(ADDRESS(2,COLUMN())),OFFSET($BN$2,0,0,ROW()-1,60),ROW()-1,FALSE))</f>
        <v>93299</v>
      </c>
      <c r="P97">
        <f ca="1">IF(AND(ISNUMBER($P$301),$B$208=1),$P$301,HLOOKUP(INDIRECT(ADDRESS(2,COLUMN())),OFFSET($BN$2,0,0,ROW()-1,60),ROW()-1,FALSE))</f>
        <v>92128</v>
      </c>
      <c r="Q97">
        <f ca="1">IF(AND(ISNUMBER($Q$301),$B$208=1),$Q$301,HLOOKUP(INDIRECT(ADDRESS(2,COLUMN())),OFFSET($BN$2,0,0,ROW()-1,60),ROW()-1,FALSE))</f>
        <v>91109</v>
      </c>
      <c r="R97">
        <f ca="1">IF(AND(ISNUMBER($R$301),$B$208=1),$R$301,HLOOKUP(INDIRECT(ADDRESS(2,COLUMN())),OFFSET($BN$2,0,0,ROW()-1,60),ROW()-1,FALSE))</f>
        <v>808</v>
      </c>
      <c r="S97">
        <f ca="1">IF(AND(ISNUMBER($S$301),$B$208=1),$S$301,HLOOKUP(INDIRECT(ADDRESS(2,COLUMN())),OFFSET($BN$2,0,0,ROW()-1,60),ROW()-1,FALSE))</f>
        <v>86492</v>
      </c>
      <c r="T97">
        <f ca="1">IF(AND(ISNUMBER($T$301),$B$208=1),$T$301,HLOOKUP(INDIRECT(ADDRESS(2,COLUMN())),OFFSET($BN$2,0,0,ROW()-1,60),ROW()-1,FALSE))</f>
        <v>84634</v>
      </c>
      <c r="U97">
        <f ca="1">IF(AND(ISNUMBER($U$301),$B$208=1),$U$301,HLOOKUP(INDIRECT(ADDRESS(2,COLUMN())),OFFSET($BN$2,0,0,ROW()-1,60),ROW()-1,FALSE))</f>
        <v>82447</v>
      </c>
      <c r="V97">
        <f ca="1">IF(AND(ISNUMBER($V$301),$B$208=1),$V$301,HLOOKUP(INDIRECT(ADDRESS(2,COLUMN())),OFFSET($BN$2,0,0,ROW()-1,60),ROW()-1,FALSE))</f>
        <v>687</v>
      </c>
      <c r="W97">
        <f ca="1">IF(AND(ISNUMBER($W$301),$B$208=1),$W$301,HLOOKUP(INDIRECT(ADDRESS(2,COLUMN())),OFFSET($BN$2,0,0,ROW()-1,60),ROW()-1,FALSE))</f>
        <v>80451</v>
      </c>
      <c r="X97">
        <f ca="1">IF(AND(ISNUMBER($X$301),$B$208=1),$X$301,HLOOKUP(INDIRECT(ADDRESS(2,COLUMN())),OFFSET($BN$2,0,0,ROW()-1,60),ROW()-1,FALSE))</f>
        <v>77774</v>
      </c>
      <c r="Y97">
        <f ca="1">IF(AND(ISNUMBER($Y$301),$B$208=1),$Y$301,HLOOKUP(INDIRECT(ADDRESS(2,COLUMN())),OFFSET($BN$2,0,0,ROW()-1,60),ROW()-1,FALSE))</f>
        <v>78200</v>
      </c>
      <c r="Z97">
        <f ca="1">IF(AND(ISNUMBER($Z$301),$B$208=1),$Z$301,HLOOKUP(INDIRECT(ADDRESS(2,COLUMN())),OFFSET($BN$2,0,0,ROW()-1,60),ROW()-1,FALSE))</f>
        <v>79146</v>
      </c>
      <c r="AA97">
        <f ca="1">IF(AND(ISNUMBER($AA$301),$B$208=1),$AA$301,HLOOKUP(INDIRECT(ADDRESS(2,COLUMN())),OFFSET($BN$2,0,0,ROW()-1,60),ROW()-1,FALSE))</f>
        <v>77791</v>
      </c>
      <c r="AB97">
        <f ca="1">IF(AND(ISNUMBER($AB$301),$B$208=1),$AB$301,HLOOKUP(INDIRECT(ADDRESS(2,COLUMN())),OFFSET($BN$2,0,0,ROW()-1,60),ROW()-1,FALSE))</f>
        <v>76465</v>
      </c>
      <c r="AC97">
        <f ca="1">IF(AND(ISNUMBER($AC$301),$B$208=1),$AC$301,HLOOKUP(INDIRECT(ADDRESS(2,COLUMN())),OFFSET($BN$2,0,0,ROW()-1,60),ROW()-1,FALSE))</f>
        <v>75122</v>
      </c>
      <c r="AD97">
        <f ca="1">IF(AND(ISNUMBER($AD$301),$B$208=1),$AD$301,HLOOKUP(INDIRECT(ADDRESS(2,COLUMN())),OFFSET($BN$2,0,0,ROW()-1,60),ROW()-1,FALSE))</f>
        <v>74623</v>
      </c>
      <c r="AE97">
        <f ca="1">IF(AND(ISNUMBER($AE$301),$B$208=1),$AE$301,HLOOKUP(INDIRECT(ADDRESS(2,COLUMN())),OFFSET($BN$2,0,0,ROW()-1,60),ROW()-1,FALSE))</f>
        <v>73475</v>
      </c>
      <c r="AF97">
        <f ca="1">IF(AND(ISNUMBER($AF$301),$B$208=1),$AF$301,HLOOKUP(INDIRECT(ADDRESS(2,COLUMN())),OFFSET($BN$2,0,0,ROW()-1,60),ROW()-1,FALSE))</f>
        <v>71734</v>
      </c>
      <c r="AG97">
        <f ca="1">IF(AND(ISNUMBER($AG$301),$B$208=1),$AG$301,HLOOKUP(INDIRECT(ADDRESS(2,COLUMN())),OFFSET($BN$2,0,0,ROW()-1,60),ROW()-1,FALSE))</f>
        <v>70517</v>
      </c>
      <c r="AH97">
        <f ca="1">IF(AND(ISNUMBER($AH$301),$B$208=1),$AH$301,HLOOKUP(INDIRECT(ADDRESS(2,COLUMN())),OFFSET($BN$2,0,0,ROW()-1,60),ROW()-1,FALSE))</f>
        <v>70169</v>
      </c>
      <c r="AI97">
        <f ca="1">IF(AND(ISNUMBER($AI$301),$B$208=1),$AI$301,HLOOKUP(INDIRECT(ADDRESS(2,COLUMN())),OFFSET($BN$2,0,0,ROW()-1,60),ROW()-1,FALSE))</f>
        <v>68945</v>
      </c>
      <c r="AJ97">
        <f ca="1">IF(AND(ISNUMBER($AJ$301),$B$208=1),$AJ$301,HLOOKUP(INDIRECT(ADDRESS(2,COLUMN())),OFFSET($BN$2,0,0,ROW()-1,60),ROW()-1,FALSE))</f>
        <v>67906</v>
      </c>
      <c r="AK97">
        <f ca="1">IF(AND(ISNUMBER($AK$301),$B$208=1),$AK$301,HLOOKUP(INDIRECT(ADDRESS(2,COLUMN())),OFFSET($BN$2,0,0,ROW()-1,60),ROW()-1,FALSE))</f>
        <v>66649</v>
      </c>
      <c r="AL97">
        <f ca="1">IF(AND(ISNUMBER($AL$301),$B$208=1),$AL$301,HLOOKUP(INDIRECT(ADDRESS(2,COLUMN())),OFFSET($BN$2,0,0,ROW()-1,60),ROW()-1,FALSE))</f>
        <v>65909</v>
      </c>
      <c r="AM97">
        <f ca="1">IF(AND(ISNUMBER($AM$301),$B$208=1),$AM$301,HLOOKUP(INDIRECT(ADDRESS(2,COLUMN())),OFFSET($BN$2,0,0,ROW()-1,60),ROW()-1,FALSE))</f>
        <v>65272</v>
      </c>
      <c r="AN97">
        <f ca="1">IF(AND(ISNUMBER($AN$301),$B$208=1),$AN$301,HLOOKUP(INDIRECT(ADDRESS(2,COLUMN())),OFFSET($BN$2,0,0,ROW()-1,60),ROW()-1,FALSE))</f>
        <v>64227</v>
      </c>
      <c r="AO97" t="str">
        <f ca="1">IF(AND(ISNUMBER($AO$301),$B$208=1),$AO$301,HLOOKUP(INDIRECT(ADDRESS(2,COLUMN())),OFFSET($BN$2,0,0,ROW()-1,60),ROW()-1,FALSE))</f>
        <v/>
      </c>
      <c r="AP97">
        <f ca="1">IF(AND(ISNUMBER($AP$301),$B$208=1),$AP$301,HLOOKUP(INDIRECT(ADDRESS(2,COLUMN())),OFFSET($BN$2,0,0,ROW()-1,60),ROW()-1,FALSE))</f>
        <v>63148</v>
      </c>
      <c r="AQ97" t="str">
        <f ca="1">IF(AND(ISNUMBER($AQ$301),$B$208=1),$AQ$301,HLOOKUP(INDIRECT(ADDRESS(2,COLUMN())),OFFSET($BN$2,0,0,ROW()-1,60),ROW()-1,FALSE))</f>
        <v/>
      </c>
      <c r="AR97" t="str">
        <f ca="1">IF(AND(ISNUMBER($AR$301),$B$208=1),$AR$301,HLOOKUP(INDIRECT(ADDRESS(2,COLUMN())),OFFSET($BN$2,0,0,ROW()-1,60),ROW()-1,FALSE))</f>
        <v/>
      </c>
      <c r="AS97" t="str">
        <f ca="1">IF(AND(ISNUMBER($AS$301),$B$208=1),$AS$301,HLOOKUP(INDIRECT(ADDRESS(2,COLUMN())),OFFSET($BN$2,0,0,ROW()-1,60),ROW()-1,FALSE))</f>
        <v/>
      </c>
      <c r="AT97" t="str">
        <f ca="1">IF(AND(ISNUMBER($AT$301),$B$208=1),$AT$301,HLOOKUP(INDIRECT(ADDRESS(2,COLUMN())),OFFSET($BN$2,0,0,ROW()-1,60),ROW()-1,FALSE))</f>
        <v/>
      </c>
      <c r="AU97" t="str">
        <f ca="1">IF(AND(ISNUMBER($AU$301),$B$208=1),$AU$301,HLOOKUP(INDIRECT(ADDRESS(2,COLUMN())),OFFSET($BN$2,0,0,ROW()-1,60),ROW()-1,FALSE))</f>
        <v/>
      </c>
      <c r="AV97" t="str">
        <f ca="1">IF(AND(ISNUMBER($AV$301),$B$208=1),$AV$301,HLOOKUP(INDIRECT(ADDRESS(2,COLUMN())),OFFSET($BN$2,0,0,ROW()-1,60),ROW()-1,FALSE))</f>
        <v/>
      </c>
      <c r="AW97" t="str">
        <f ca="1">IF(AND(ISNUMBER($AW$301),$B$208=1),$AW$301,HLOOKUP(INDIRECT(ADDRESS(2,COLUMN())),OFFSET($BN$2,0,0,ROW()-1,60),ROW()-1,FALSE))</f>
        <v/>
      </c>
      <c r="AX97" t="str">
        <f ca="1">IF(AND(ISNUMBER($AX$301),$B$208=1),$AX$301,HLOOKUP(INDIRECT(ADDRESS(2,COLUMN())),OFFSET($BN$2,0,0,ROW()-1,60),ROW()-1,FALSE))</f>
        <v/>
      </c>
      <c r="AY97">
        <f ca="1">IF(AND(ISNUMBER($AY$301),$B$208=1),$AY$301,HLOOKUP(INDIRECT(ADDRESS(2,COLUMN())),OFFSET($BN$2,0,0,ROW()-1,60),ROW()-1,FALSE))</f>
        <v>56042</v>
      </c>
      <c r="AZ97">
        <f ca="1">IF(AND(ISNUMBER($AZ$301),$B$208=1),$AZ$301,HLOOKUP(INDIRECT(ADDRESS(2,COLUMN())),OFFSET($BN$2,0,0,ROW()-1,60),ROW()-1,FALSE))</f>
        <v>55356</v>
      </c>
      <c r="BA97">
        <f ca="1">IF(AND(ISNUMBER($BA$301),$B$208=1),$BA$301,HLOOKUP(INDIRECT(ADDRESS(2,COLUMN())),OFFSET($BN$2,0,0,ROW()-1,60),ROW()-1,FALSE))</f>
        <v>54478</v>
      </c>
      <c r="BB97">
        <f ca="1">IF(AND(ISNUMBER($BB$301),$B$208=1),$BB$301,HLOOKUP(INDIRECT(ADDRESS(2,COLUMN())),OFFSET($BN$2,0,0,ROW()-1,60),ROW()-1,FALSE))</f>
        <v>54223</v>
      </c>
      <c r="BC97">
        <f ca="1">IF(AND(ISNUMBER($BC$301),$B$208=1),$BC$301,HLOOKUP(INDIRECT(ADDRESS(2,COLUMN())),OFFSET($BN$2,0,0,ROW()-1,60),ROW()-1,FALSE))</f>
        <v>54499</v>
      </c>
      <c r="BD97">
        <f ca="1">IF(AND(ISNUMBER($BD$301),$B$208=1),$BD$301,HLOOKUP(INDIRECT(ADDRESS(2,COLUMN())),OFFSET($BN$2,0,0,ROW()-1,60),ROW()-1,FALSE))</f>
        <v>54318</v>
      </c>
      <c r="BE97">
        <f ca="1">IF(AND(ISNUMBER($BE$301),$B$208=1),$BE$301,HLOOKUP(INDIRECT(ADDRESS(2,COLUMN())),OFFSET($BN$2,0,0,ROW()-1,60),ROW()-1,FALSE))</f>
        <v>54778</v>
      </c>
      <c r="BF97">
        <f ca="1">IF(AND(ISNUMBER($BF$301),$B$208=1),$BF$301,HLOOKUP(INDIRECT(ADDRESS(2,COLUMN())),OFFSET($BN$2,0,0,ROW()-1,60),ROW()-1,FALSE))</f>
        <v>54876</v>
      </c>
      <c r="BG97">
        <f ca="1">IF(AND(ISNUMBER($BG$301),$B$208=1),$BG$301,HLOOKUP(INDIRECT(ADDRESS(2,COLUMN())),OFFSET($BN$2,0,0,ROW()-1,60),ROW()-1,FALSE))</f>
        <v>55264</v>
      </c>
      <c r="BH97">
        <f ca="1">IF(AND(ISNUMBER($BH$301),$B$208=1),$BH$301,HLOOKUP(INDIRECT(ADDRESS(2,COLUMN())),OFFSET($BN$2,0,0,ROW()-1,60),ROW()-1,FALSE))</f>
        <v>55166</v>
      </c>
      <c r="BI97">
        <f ca="1">IF(AND(ISNUMBER($BI$301),$B$208=1),$BI$301,HLOOKUP(INDIRECT(ADDRESS(2,COLUMN())),OFFSET($BN$2,0,0,ROW()-1,60),ROW()-1,FALSE))</f>
        <v>54201</v>
      </c>
      <c r="BJ97">
        <f ca="1">IF(AND(ISNUMBER($BJ$301),$B$208=1),$BJ$301,HLOOKUP(INDIRECT(ADDRESS(2,COLUMN())),OFFSET($BN$2,0,0,ROW()-1,60),ROW()-1,FALSE))</f>
        <v>53977</v>
      </c>
      <c r="BK97">
        <f ca="1">IF(AND(ISNUMBER($BK$301),$B$208=1),$BK$301,HLOOKUP(INDIRECT(ADDRESS(2,COLUMN())),OFFSET($BN$2,0,0,ROW()-1,60),ROW()-1,FALSE))</f>
        <v>54053</v>
      </c>
      <c r="BL97">
        <f ca="1">IF(AND(ISNUMBER($BL$301),$B$208=1),$BL$301,HLOOKUP(INDIRECT(ADDRESS(2,COLUMN())),OFFSET($BN$2,0,0,ROW()-1,60),ROW()-1,FALSE))</f>
        <v>53605</v>
      </c>
      <c r="BM97" t="str">
        <f ca="1">IF(AND(ISNUMBER($BM$301),$B$208=1),$BM$301,HLOOKUP(INDIRECT(ADDRESS(2,COLUMN())),OFFSET($BN$2,0,0,ROW()-1,60),ROW()-1,FALSE))</f>
        <v/>
      </c>
      <c r="BN97" t="str">
        <f>""</f>
        <v/>
      </c>
      <c r="BO97">
        <f>1129</f>
        <v>1129</v>
      </c>
      <c r="BP97">
        <f>1082</f>
        <v>1082</v>
      </c>
      <c r="BQ97">
        <f>1034.571</f>
        <v>1034.5709999999999</v>
      </c>
      <c r="BR97">
        <f>1038</f>
        <v>1038</v>
      </c>
      <c r="BS97">
        <f>949.314</f>
        <v>949.31399999999996</v>
      </c>
      <c r="BT97">
        <f>96446</f>
        <v>96446</v>
      </c>
      <c r="BU97">
        <f>870.426</f>
        <v>870.42600000000004</v>
      </c>
      <c r="BV97">
        <f>839.3</f>
        <v>839.3</v>
      </c>
      <c r="BW97">
        <f>93299</f>
        <v>93299</v>
      </c>
      <c r="BX97">
        <f>92128</f>
        <v>92128</v>
      </c>
      <c r="BY97">
        <f>91109</f>
        <v>91109</v>
      </c>
      <c r="BZ97">
        <f>808</f>
        <v>808</v>
      </c>
      <c r="CA97">
        <f>86492</f>
        <v>86492</v>
      </c>
      <c r="CB97">
        <f>84634</f>
        <v>84634</v>
      </c>
      <c r="CC97">
        <f>82447</f>
        <v>82447</v>
      </c>
      <c r="CD97">
        <f>687</f>
        <v>687</v>
      </c>
      <c r="CE97">
        <f>80451</f>
        <v>80451</v>
      </c>
      <c r="CF97">
        <f>77774</f>
        <v>77774</v>
      </c>
      <c r="CG97">
        <f>78200</f>
        <v>78200</v>
      </c>
      <c r="CH97">
        <f>79146</f>
        <v>79146</v>
      </c>
      <c r="CI97">
        <f>77791</f>
        <v>77791</v>
      </c>
      <c r="CJ97">
        <f>76465</f>
        <v>76465</v>
      </c>
      <c r="CK97">
        <f>75122</f>
        <v>75122</v>
      </c>
      <c r="CL97">
        <f>74623</f>
        <v>74623</v>
      </c>
      <c r="CM97">
        <f>73475</f>
        <v>73475</v>
      </c>
      <c r="CN97">
        <f>71734</f>
        <v>71734</v>
      </c>
      <c r="CO97">
        <f>70517</f>
        <v>70517</v>
      </c>
      <c r="CP97">
        <f>70169</f>
        <v>70169</v>
      </c>
      <c r="CQ97">
        <f>68945</f>
        <v>68945</v>
      </c>
      <c r="CR97">
        <f>67906</f>
        <v>67906</v>
      </c>
      <c r="CS97">
        <f>66649</f>
        <v>66649</v>
      </c>
      <c r="CT97">
        <f>65909</f>
        <v>65909</v>
      </c>
      <c r="CU97">
        <f>65272</f>
        <v>65272</v>
      </c>
      <c r="CV97">
        <f>64227</f>
        <v>64227</v>
      </c>
      <c r="CW97" t="str">
        <f>""</f>
        <v/>
      </c>
      <c r="CX97">
        <f>63148</f>
        <v>63148</v>
      </c>
      <c r="CY97" t="str">
        <f>""</f>
        <v/>
      </c>
      <c r="CZ97" t="str">
        <f>""</f>
        <v/>
      </c>
      <c r="DA97" t="str">
        <f>""</f>
        <v/>
      </c>
      <c r="DB97" t="str">
        <f>""</f>
        <v/>
      </c>
      <c r="DC97" t="str">
        <f>""</f>
        <v/>
      </c>
      <c r="DD97" t="str">
        <f>""</f>
        <v/>
      </c>
      <c r="DE97" t="str">
        <f>""</f>
        <v/>
      </c>
      <c r="DF97" t="str">
        <f>""</f>
        <v/>
      </c>
      <c r="DG97">
        <f>56042</f>
        <v>56042</v>
      </c>
      <c r="DH97">
        <f>55356</f>
        <v>55356</v>
      </c>
      <c r="DI97">
        <f>54478</f>
        <v>54478</v>
      </c>
      <c r="DJ97">
        <f>54223</f>
        <v>54223</v>
      </c>
      <c r="DK97">
        <f>54499</f>
        <v>54499</v>
      </c>
      <c r="DL97">
        <f>54318</f>
        <v>54318</v>
      </c>
      <c r="DM97">
        <f>54778</f>
        <v>54778</v>
      </c>
      <c r="DN97">
        <f>54876</f>
        <v>54876</v>
      </c>
      <c r="DO97">
        <f>55264</f>
        <v>55264</v>
      </c>
      <c r="DP97">
        <f>55166</f>
        <v>55166</v>
      </c>
      <c r="DQ97">
        <f>54201</f>
        <v>54201</v>
      </c>
      <c r="DR97">
        <f>53977</f>
        <v>53977</v>
      </c>
      <c r="DS97">
        <f>54053</f>
        <v>54053</v>
      </c>
      <c r="DT97">
        <f>53605</f>
        <v>53605</v>
      </c>
      <c r="DU97" t="str">
        <f>""</f>
        <v/>
      </c>
    </row>
    <row r="98" spans="1:125" x14ac:dyDescent="0.25">
      <c r="A98" t="str">
        <f>"    FinecoBank Banca Fineco SpA"</f>
        <v xml:space="preserve">    FinecoBank Banca Fineco SpA</v>
      </c>
      <c r="B98" t="str">
        <f>"FBK IM Equity"</f>
        <v>FBK IM Equity</v>
      </c>
      <c r="C98" t="str">
        <f t="shared" si="6"/>
        <v>BS017</v>
      </c>
      <c r="D98" t="str">
        <f t="shared" si="7"/>
        <v>BS_CONS_LOAN</v>
      </c>
      <c r="E98" t="str">
        <f t="shared" si="8"/>
        <v>Dynamic</v>
      </c>
      <c r="F98" t="str">
        <f ca="1">IF(AND(ISNUMBER($F$302),$B$208=1),$F$302,HLOOKUP(INDIRECT(ADDRESS(2,COLUMN())),OFFSET($BN$2,0,0,ROW()-1,60),ROW()-1,FALSE))</f>
        <v/>
      </c>
      <c r="G98" t="str">
        <f ca="1">IF(AND(ISNUMBER($G$302),$B$208=1),$G$302,HLOOKUP(INDIRECT(ADDRESS(2,COLUMN())),OFFSET($BN$2,0,0,ROW()-1,60),ROW()-1,FALSE))</f>
        <v/>
      </c>
      <c r="H98">
        <f ca="1">IF(AND(ISNUMBER($H$302),$B$208=1),$H$302,HLOOKUP(INDIRECT(ADDRESS(2,COLUMN())),OFFSET($BN$2,0,0,ROW()-1,60),ROW()-1,FALSE))</f>
        <v>5217.2129999999997</v>
      </c>
      <c r="I98" t="str">
        <f ca="1">IF(AND(ISNUMBER($I$302),$B$208=1),$I$302,HLOOKUP(INDIRECT(ADDRESS(2,COLUMN())),OFFSET($BN$2,0,0,ROW()-1,60),ROW()-1,FALSE))</f>
        <v/>
      </c>
      <c r="J98">
        <f ca="1">IF(AND(ISNUMBER($J$302),$B$208=1),$J$302,HLOOKUP(INDIRECT(ADDRESS(2,COLUMN())),OFFSET($BN$2,0,0,ROW()-1,60),ROW()-1,FALSE))</f>
        <v>5531.5510000000004</v>
      </c>
      <c r="K98" t="str">
        <f ca="1">IF(AND(ISNUMBER($K$302),$B$208=1),$K$302,HLOOKUP(INDIRECT(ADDRESS(2,COLUMN())),OFFSET($BN$2,0,0,ROW()-1,60),ROW()-1,FALSE))</f>
        <v/>
      </c>
      <c r="L98">
        <f ca="1">IF(AND(ISNUMBER($L$302),$B$208=1),$L$302,HLOOKUP(INDIRECT(ADDRESS(2,COLUMN())),OFFSET($BN$2,0,0,ROW()-1,60),ROW()-1,FALSE))</f>
        <v>5740.8389999999999</v>
      </c>
      <c r="M98" t="str">
        <f ca="1">IF(AND(ISNUMBER($M$302),$B$208=1),$M$302,HLOOKUP(INDIRECT(ADDRESS(2,COLUMN())),OFFSET($BN$2,0,0,ROW()-1,60),ROW()-1,FALSE))</f>
        <v/>
      </c>
      <c r="N98">
        <f ca="1">IF(AND(ISNUMBER($N$302),$B$208=1),$N$302,HLOOKUP(INDIRECT(ADDRESS(2,COLUMN())),OFFSET($BN$2,0,0,ROW()-1,60),ROW()-1,FALSE))</f>
        <v>5913.0309999999999</v>
      </c>
      <c r="O98" t="str">
        <f ca="1">IF(AND(ISNUMBER($O$302),$B$208=1),$O$302,HLOOKUP(INDIRECT(ADDRESS(2,COLUMN())),OFFSET($BN$2,0,0,ROW()-1,60),ROW()-1,FALSE))</f>
        <v/>
      </c>
      <c r="P98">
        <f ca="1">IF(AND(ISNUMBER($P$302),$B$208=1),$P$302,HLOOKUP(INDIRECT(ADDRESS(2,COLUMN())),OFFSET($BN$2,0,0,ROW()-1,60),ROW()-1,FALSE))</f>
        <v>5731.442</v>
      </c>
      <c r="Q98" t="str">
        <f ca="1">IF(AND(ISNUMBER($Q$302),$B$208=1),$Q$302,HLOOKUP(INDIRECT(ADDRESS(2,COLUMN())),OFFSET($BN$2,0,0,ROW()-1,60),ROW()-1,FALSE))</f>
        <v/>
      </c>
      <c r="R98">
        <f ca="1">IF(AND(ISNUMBER($R$302),$B$208=1),$R$302,HLOOKUP(INDIRECT(ADDRESS(2,COLUMN())),OFFSET($BN$2,0,0,ROW()-1,60),ROW()-1,FALSE))</f>
        <v>5413.22</v>
      </c>
      <c r="S98" t="str">
        <f ca="1">IF(AND(ISNUMBER($S$302),$B$208=1),$S$302,HLOOKUP(INDIRECT(ADDRESS(2,COLUMN())),OFFSET($BN$2,0,0,ROW()-1,60),ROW()-1,FALSE))</f>
        <v/>
      </c>
      <c r="T98">
        <f ca="1">IF(AND(ISNUMBER($T$302),$B$208=1),$T$302,HLOOKUP(INDIRECT(ADDRESS(2,COLUMN())),OFFSET($BN$2,0,0,ROW()-1,60),ROW()-1,FALSE))</f>
        <v>4653.2730000000001</v>
      </c>
      <c r="U98" t="str">
        <f ca="1">IF(AND(ISNUMBER($U$302),$B$208=1),$U$302,HLOOKUP(INDIRECT(ADDRESS(2,COLUMN())),OFFSET($BN$2,0,0,ROW()-1,60),ROW()-1,FALSE))</f>
        <v/>
      </c>
      <c r="V98">
        <f ca="1">IF(AND(ISNUMBER($V$302),$B$208=1),$V$302,HLOOKUP(INDIRECT(ADDRESS(2,COLUMN())),OFFSET($BN$2,0,0,ROW()-1,60),ROW()-1,FALSE))</f>
        <v>4004.4119999999998</v>
      </c>
      <c r="W98" t="str">
        <f ca="1">IF(AND(ISNUMBER($W$302),$B$208=1),$W$302,HLOOKUP(INDIRECT(ADDRESS(2,COLUMN())),OFFSET($BN$2,0,0,ROW()-1,60),ROW()-1,FALSE))</f>
        <v/>
      </c>
      <c r="X98">
        <f ca="1">IF(AND(ISNUMBER($X$302),$B$208=1),$X$302,HLOOKUP(INDIRECT(ADDRESS(2,COLUMN())),OFFSET($BN$2,0,0,ROW()-1,60),ROW()-1,FALSE))</f>
        <v>3761.114</v>
      </c>
      <c r="Y98" t="str">
        <f ca="1">IF(AND(ISNUMBER($Y$302),$B$208=1),$Y$302,HLOOKUP(INDIRECT(ADDRESS(2,COLUMN())),OFFSET($BN$2,0,0,ROW()-1,60),ROW()-1,FALSE))</f>
        <v/>
      </c>
      <c r="Z98">
        <f ca="1">IF(AND(ISNUMBER($Z$302),$B$208=1),$Z$302,HLOOKUP(INDIRECT(ADDRESS(2,COLUMN())),OFFSET($BN$2,0,0,ROW()-1,60),ROW()-1,FALSE))</f>
        <v>3258.5859999999998</v>
      </c>
      <c r="AA98" t="str">
        <f ca="1">IF(AND(ISNUMBER($AA$302),$B$208=1),$AA$302,HLOOKUP(INDIRECT(ADDRESS(2,COLUMN())),OFFSET($BN$2,0,0,ROW()-1,60),ROW()-1,FALSE))</f>
        <v/>
      </c>
      <c r="AB98">
        <f ca="1">IF(AND(ISNUMBER($AB$302),$B$208=1),$AB$302,HLOOKUP(INDIRECT(ADDRESS(2,COLUMN())),OFFSET($BN$2,0,0,ROW()-1,60),ROW()-1,FALSE))</f>
        <v>2881.9</v>
      </c>
      <c r="AC98" t="str">
        <f ca="1">IF(AND(ISNUMBER($AC$302),$B$208=1),$AC$302,HLOOKUP(INDIRECT(ADDRESS(2,COLUMN())),OFFSET($BN$2,0,0,ROW()-1,60),ROW()-1,FALSE))</f>
        <v/>
      </c>
      <c r="AD98">
        <f ca="1">IF(AND(ISNUMBER($AD$302),$B$208=1),$AD$302,HLOOKUP(INDIRECT(ADDRESS(2,COLUMN())),OFFSET($BN$2,0,0,ROW()-1,60),ROW()-1,FALSE))</f>
        <v>2625.7109999999998</v>
      </c>
      <c r="AE98" t="str">
        <f ca="1">IF(AND(ISNUMBER($AE$302),$B$208=1),$AE$302,HLOOKUP(INDIRECT(ADDRESS(2,COLUMN())),OFFSET($BN$2,0,0,ROW()-1,60),ROW()-1,FALSE))</f>
        <v/>
      </c>
      <c r="AF98">
        <f ca="1">IF(AND(ISNUMBER($AF$302),$B$208=1),$AF$302,HLOOKUP(INDIRECT(ADDRESS(2,COLUMN())),OFFSET($BN$2,0,0,ROW()-1,60),ROW()-1,FALSE))</f>
        <v>2244.2159999999999</v>
      </c>
      <c r="AG98" t="str">
        <f ca="1">IF(AND(ISNUMBER($AG$302),$B$208=1),$AG$302,HLOOKUP(INDIRECT(ADDRESS(2,COLUMN())),OFFSET($BN$2,0,0,ROW()-1,60),ROW()-1,FALSE))</f>
        <v/>
      </c>
      <c r="AH98">
        <f ca="1">IF(AND(ISNUMBER($AH$302),$B$208=1),$AH$302,HLOOKUP(INDIRECT(ADDRESS(2,COLUMN())),OFFSET($BN$2,0,0,ROW()-1,60),ROW()-1,FALSE))</f>
        <v>1790.8530000000001</v>
      </c>
      <c r="AI98" t="str">
        <f ca="1">IF(AND(ISNUMBER($AI$302),$B$208=1),$AI$302,HLOOKUP(INDIRECT(ADDRESS(2,COLUMN())),OFFSET($BN$2,0,0,ROW()-1,60),ROW()-1,FALSE))</f>
        <v/>
      </c>
      <c r="AJ98">
        <f ca="1">IF(AND(ISNUMBER($AJ$302),$B$208=1),$AJ$302,HLOOKUP(INDIRECT(ADDRESS(2,COLUMN())),OFFSET($BN$2,0,0,ROW()-1,60),ROW()-1,FALSE))</f>
        <v>1175.597</v>
      </c>
      <c r="AK98" t="str">
        <f ca="1">IF(AND(ISNUMBER($AK$302),$B$208=1),$AK$302,HLOOKUP(INDIRECT(ADDRESS(2,COLUMN())),OFFSET($BN$2,0,0,ROW()-1,60),ROW()-1,FALSE))</f>
        <v/>
      </c>
      <c r="AL98">
        <f ca="1">IF(AND(ISNUMBER($AL$302),$B$208=1),$AL$302,HLOOKUP(INDIRECT(ADDRESS(2,COLUMN())),OFFSET($BN$2,0,0,ROW()-1,60),ROW()-1,FALSE))</f>
        <v>804.95523500000002</v>
      </c>
      <c r="AM98" t="str">
        <f ca="1">IF(AND(ISNUMBER($AM$302),$B$208=1),$AM$302,HLOOKUP(INDIRECT(ADDRESS(2,COLUMN())),OFFSET($BN$2,0,0,ROW()-1,60),ROW()-1,FALSE))</f>
        <v/>
      </c>
      <c r="AN98">
        <f ca="1">IF(AND(ISNUMBER($AN$302),$B$208=1),$AN$302,HLOOKUP(INDIRECT(ADDRESS(2,COLUMN())),OFFSET($BN$2,0,0,ROW()-1,60),ROW()-1,FALSE))</f>
        <v>669.10799999999995</v>
      </c>
      <c r="AO98" t="str">
        <f ca="1">IF(AND(ISNUMBER($AO$302),$B$208=1),$AO$302,HLOOKUP(INDIRECT(ADDRESS(2,COLUMN())),OFFSET($BN$2,0,0,ROW()-1,60),ROW()-1,FALSE))</f>
        <v/>
      </c>
      <c r="AP98">
        <f ca="1">IF(AND(ISNUMBER($AP$302),$B$208=1),$AP$302,HLOOKUP(INDIRECT(ADDRESS(2,COLUMN())),OFFSET($BN$2,0,0,ROW()-1,60),ROW()-1,FALSE))</f>
        <v>611.83379400000001</v>
      </c>
      <c r="AQ98" t="str">
        <f ca="1">IF(AND(ISNUMBER($AQ$302),$B$208=1),$AQ$302,HLOOKUP(INDIRECT(ADDRESS(2,COLUMN())),OFFSET($BN$2,0,0,ROW()-1,60),ROW()-1,FALSE))</f>
        <v/>
      </c>
      <c r="AR98">
        <f ca="1">IF(AND(ISNUMBER($AR$302),$B$208=1),$AR$302,HLOOKUP(INDIRECT(ADDRESS(2,COLUMN())),OFFSET($BN$2,0,0,ROW()-1,60),ROW()-1,FALSE))</f>
        <v>522.11900000000003</v>
      </c>
      <c r="AS98" t="str">
        <f ca="1">IF(AND(ISNUMBER($AS$302),$B$208=1),$AS$302,HLOOKUP(INDIRECT(ADDRESS(2,COLUMN())),OFFSET($BN$2,0,0,ROW()-1,60),ROW()-1,FALSE))</f>
        <v/>
      </c>
      <c r="AT98">
        <f ca="1">IF(AND(ISNUMBER($AT$302),$B$208=1),$AT$302,HLOOKUP(INDIRECT(ADDRESS(2,COLUMN())),OFFSET($BN$2,0,0,ROW()-1,60),ROW()-1,FALSE))</f>
        <v>477.28800000000001</v>
      </c>
      <c r="AU98">
        <f ca="1">IF(AND(ISNUMBER($AU$302),$B$208=1),$AU$302,HLOOKUP(INDIRECT(ADDRESS(2,COLUMN())),OFFSET($BN$2,0,0,ROW()-1,60),ROW()-1,FALSE))</f>
        <v>419.17200000000003</v>
      </c>
      <c r="AV98">
        <f ca="1">IF(AND(ISNUMBER($AV$302),$B$208=1),$AV$302,HLOOKUP(INDIRECT(ADDRESS(2,COLUMN())),OFFSET($BN$2,0,0,ROW()-1,60),ROW()-1,FALSE))</f>
        <v>409.40100000000001</v>
      </c>
      <c r="AW98">
        <f ca="1">IF(AND(ISNUMBER($AW$302),$B$208=1),$AW$302,HLOOKUP(INDIRECT(ADDRESS(2,COLUMN())),OFFSET($BN$2,0,0,ROW()-1,60),ROW()-1,FALSE))</f>
        <v>385.81900000000002</v>
      </c>
      <c r="AX98" t="str">
        <f ca="1">IF(AND(ISNUMBER($AX$302),$B$208=1),$AX$302,HLOOKUP(INDIRECT(ADDRESS(2,COLUMN())),OFFSET($BN$2,0,0,ROW()-1,60),ROW()-1,FALSE))</f>
        <v/>
      </c>
      <c r="AY98" t="str">
        <f ca="1">IF(AND(ISNUMBER($AY$302),$B$208=1),$AY$302,HLOOKUP(INDIRECT(ADDRESS(2,COLUMN())),OFFSET($BN$2,0,0,ROW()-1,60),ROW()-1,FALSE))</f>
        <v/>
      </c>
      <c r="AZ98" t="str">
        <f ca="1">IF(AND(ISNUMBER($AZ$302),$B$208=1),$AZ$302,HLOOKUP(INDIRECT(ADDRESS(2,COLUMN())),OFFSET($BN$2,0,0,ROW()-1,60),ROW()-1,FALSE))</f>
        <v/>
      </c>
      <c r="BA98" t="str">
        <f ca="1">IF(AND(ISNUMBER($BA$302),$B$208=1),$BA$302,HLOOKUP(INDIRECT(ADDRESS(2,COLUMN())),OFFSET($BN$2,0,0,ROW()-1,60),ROW()-1,FALSE))</f>
        <v/>
      </c>
      <c r="BB98" t="str">
        <f ca="1">IF(AND(ISNUMBER($BB$302),$B$208=1),$BB$302,HLOOKUP(INDIRECT(ADDRESS(2,COLUMN())),OFFSET($BN$2,0,0,ROW()-1,60),ROW()-1,FALSE))</f>
        <v/>
      </c>
      <c r="BC98" t="str">
        <f ca="1">IF(AND(ISNUMBER($BC$302),$B$208=1),$BC$302,HLOOKUP(INDIRECT(ADDRESS(2,COLUMN())),OFFSET($BN$2,0,0,ROW()-1,60),ROW()-1,FALSE))</f>
        <v/>
      </c>
      <c r="BD98" t="str">
        <f ca="1">IF(AND(ISNUMBER($BD$302),$B$208=1),$BD$302,HLOOKUP(INDIRECT(ADDRESS(2,COLUMN())),OFFSET($BN$2,0,0,ROW()-1,60),ROW()-1,FALSE))</f>
        <v/>
      </c>
      <c r="BE98" t="str">
        <f ca="1">IF(AND(ISNUMBER($BE$302),$B$208=1),$BE$302,HLOOKUP(INDIRECT(ADDRESS(2,COLUMN())),OFFSET($BN$2,0,0,ROW()-1,60),ROW()-1,FALSE))</f>
        <v/>
      </c>
      <c r="BF98" t="str">
        <f ca="1">IF(AND(ISNUMBER($BF$302),$B$208=1),$BF$302,HLOOKUP(INDIRECT(ADDRESS(2,COLUMN())),OFFSET($BN$2,0,0,ROW()-1,60),ROW()-1,FALSE))</f>
        <v/>
      </c>
      <c r="BG98" t="str">
        <f ca="1">IF(AND(ISNUMBER($BG$302),$B$208=1),$BG$302,HLOOKUP(INDIRECT(ADDRESS(2,COLUMN())),OFFSET($BN$2,0,0,ROW()-1,60),ROW()-1,FALSE))</f>
        <v/>
      </c>
      <c r="BH98" t="str">
        <f ca="1">IF(AND(ISNUMBER($BH$302),$B$208=1),$BH$302,HLOOKUP(INDIRECT(ADDRESS(2,COLUMN())),OFFSET($BN$2,0,0,ROW()-1,60),ROW()-1,FALSE))</f>
        <v/>
      </c>
      <c r="BI98" t="str">
        <f ca="1">IF(AND(ISNUMBER($BI$302),$B$208=1),$BI$302,HLOOKUP(INDIRECT(ADDRESS(2,COLUMN())),OFFSET($BN$2,0,0,ROW()-1,60),ROW()-1,FALSE))</f>
        <v/>
      </c>
      <c r="BJ98" t="str">
        <f ca="1">IF(AND(ISNUMBER($BJ$302),$B$208=1),$BJ$302,HLOOKUP(INDIRECT(ADDRESS(2,COLUMN())),OFFSET($BN$2,0,0,ROW()-1,60),ROW()-1,FALSE))</f>
        <v/>
      </c>
      <c r="BK98" t="str">
        <f ca="1">IF(AND(ISNUMBER($BK$302),$B$208=1),$BK$302,HLOOKUP(INDIRECT(ADDRESS(2,COLUMN())),OFFSET($BN$2,0,0,ROW()-1,60),ROW()-1,FALSE))</f>
        <v/>
      </c>
      <c r="BL98" t="str">
        <f ca="1">IF(AND(ISNUMBER($BL$302),$B$208=1),$BL$302,HLOOKUP(INDIRECT(ADDRESS(2,COLUMN())),OFFSET($BN$2,0,0,ROW()-1,60),ROW()-1,FALSE))</f>
        <v/>
      </c>
      <c r="BM98" t="str">
        <f ca="1">IF(AND(ISNUMBER($BM$302),$B$208=1),$BM$302,HLOOKUP(INDIRECT(ADDRESS(2,COLUMN())),OFFSET($BN$2,0,0,ROW()-1,60),ROW()-1,FALSE))</f>
        <v/>
      </c>
      <c r="BN98" t="str">
        <f>""</f>
        <v/>
      </c>
      <c r="BO98" t="str">
        <f>""</f>
        <v/>
      </c>
      <c r="BP98">
        <f>5217.213</f>
        <v>5217.2129999999997</v>
      </c>
      <c r="BQ98" t="str">
        <f>""</f>
        <v/>
      </c>
      <c r="BR98">
        <f>5531.551</f>
        <v>5531.5510000000004</v>
      </c>
      <c r="BS98" t="str">
        <f>""</f>
        <v/>
      </c>
      <c r="BT98">
        <f>5740.839</f>
        <v>5740.8389999999999</v>
      </c>
      <c r="BU98" t="str">
        <f>""</f>
        <v/>
      </c>
      <c r="BV98">
        <f>5913.031</f>
        <v>5913.0309999999999</v>
      </c>
      <c r="BW98" t="str">
        <f>""</f>
        <v/>
      </c>
      <c r="BX98">
        <f>5731.442</f>
        <v>5731.442</v>
      </c>
      <c r="BY98" t="str">
        <f>""</f>
        <v/>
      </c>
      <c r="BZ98">
        <f>5413.22</f>
        <v>5413.22</v>
      </c>
      <c r="CA98" t="str">
        <f>""</f>
        <v/>
      </c>
      <c r="CB98">
        <f>4653.273</f>
        <v>4653.2730000000001</v>
      </c>
      <c r="CC98" t="str">
        <f>""</f>
        <v/>
      </c>
      <c r="CD98">
        <f>4004.412</f>
        <v>4004.4119999999998</v>
      </c>
      <c r="CE98" t="str">
        <f>""</f>
        <v/>
      </c>
      <c r="CF98">
        <f>3761.114</f>
        <v>3761.114</v>
      </c>
      <c r="CG98" t="str">
        <f>""</f>
        <v/>
      </c>
      <c r="CH98">
        <f>3258.586</f>
        <v>3258.5859999999998</v>
      </c>
      <c r="CI98" t="str">
        <f>""</f>
        <v/>
      </c>
      <c r="CJ98">
        <f>2881.9</f>
        <v>2881.9</v>
      </c>
      <c r="CK98" t="str">
        <f>""</f>
        <v/>
      </c>
      <c r="CL98">
        <f>2625.711</f>
        <v>2625.7109999999998</v>
      </c>
      <c r="CM98" t="str">
        <f>""</f>
        <v/>
      </c>
      <c r="CN98">
        <f>2244.216</f>
        <v>2244.2159999999999</v>
      </c>
      <c r="CO98" t="str">
        <f>""</f>
        <v/>
      </c>
      <c r="CP98">
        <f>1790.853</f>
        <v>1790.8530000000001</v>
      </c>
      <c r="CQ98" t="str">
        <f>""</f>
        <v/>
      </c>
      <c r="CR98">
        <f>1175.597</f>
        <v>1175.597</v>
      </c>
      <c r="CS98" t="str">
        <f>""</f>
        <v/>
      </c>
      <c r="CT98">
        <f>804.955235</f>
        <v>804.95523500000002</v>
      </c>
      <c r="CU98" t="str">
        <f>""</f>
        <v/>
      </c>
      <c r="CV98">
        <f>669.108</f>
        <v>669.10799999999995</v>
      </c>
      <c r="CW98" t="str">
        <f>""</f>
        <v/>
      </c>
      <c r="CX98">
        <f>611.833794</f>
        <v>611.83379400000001</v>
      </c>
      <c r="CY98" t="str">
        <f>""</f>
        <v/>
      </c>
      <c r="CZ98">
        <f>522.119</f>
        <v>522.11900000000003</v>
      </c>
      <c r="DA98" t="str">
        <f>""</f>
        <v/>
      </c>
      <c r="DB98">
        <f>477.288</f>
        <v>477.28800000000001</v>
      </c>
      <c r="DC98">
        <f>419.172</f>
        <v>419.17200000000003</v>
      </c>
      <c r="DD98">
        <f>409.401</f>
        <v>409.40100000000001</v>
      </c>
      <c r="DE98">
        <f>385.819</f>
        <v>385.81900000000002</v>
      </c>
      <c r="DF98" t="str">
        <f>""</f>
        <v/>
      </c>
      <c r="DG98" t="str">
        <f>""</f>
        <v/>
      </c>
      <c r="DH98" t="str">
        <f>""</f>
        <v/>
      </c>
      <c r="DI98" t="str">
        <f>""</f>
        <v/>
      </c>
      <c r="DJ98" t="str">
        <f>""</f>
        <v/>
      </c>
      <c r="DK98" t="str">
        <f>""</f>
        <v/>
      </c>
      <c r="DL98" t="str">
        <f>""</f>
        <v/>
      </c>
      <c r="DM98" t="str">
        <f>""</f>
        <v/>
      </c>
      <c r="DN98" t="str">
        <f>""</f>
        <v/>
      </c>
      <c r="DO98" t="str">
        <f>""</f>
        <v/>
      </c>
      <c r="DP98" t="str">
        <f>""</f>
        <v/>
      </c>
      <c r="DQ98" t="str">
        <f>""</f>
        <v/>
      </c>
      <c r="DR98" t="str">
        <f>""</f>
        <v/>
      </c>
      <c r="DS98" t="str">
        <f>""</f>
        <v/>
      </c>
      <c r="DT98" t="str">
        <f>""</f>
        <v/>
      </c>
      <c r="DU98" t="str">
        <f>""</f>
        <v/>
      </c>
    </row>
    <row r="99" spans="1:125" x14ac:dyDescent="0.25">
      <c r="A99" t="str">
        <f>"    HSBC Holdings PLC"</f>
        <v xml:space="preserve">    HSBC Holdings PLC</v>
      </c>
      <c r="B99" t="str">
        <f>"HSBA LN Equity"</f>
        <v>HSBA LN Equity</v>
      </c>
      <c r="C99" t="str">
        <f t="shared" si="6"/>
        <v>BS017</v>
      </c>
      <c r="D99" t="str">
        <f t="shared" si="7"/>
        <v>BS_CONS_LOAN</v>
      </c>
      <c r="E99" t="str">
        <f t="shared" si="8"/>
        <v>Dynamic</v>
      </c>
      <c r="F99">
        <f ca="1">IF(AND(ISNUMBER($F$303),$B$208=1),$F$303,HLOOKUP(INDIRECT(ADDRESS(2,COLUMN())),OFFSET($BN$2,0,0,ROW()-1,60),ROW()-1,FALSE))</f>
        <v>432143.2022</v>
      </c>
      <c r="G99" t="str">
        <f ca="1">IF(AND(ISNUMBER($G$303),$B$208=1),$G$303,HLOOKUP(INDIRECT(ADDRESS(2,COLUMN())),OFFSET($BN$2,0,0,ROW()-1,60),ROW()-1,FALSE))</f>
        <v/>
      </c>
      <c r="H99">
        <f ca="1">IF(AND(ISNUMBER($H$303),$B$208=1),$H$303,HLOOKUP(INDIRECT(ADDRESS(2,COLUMN())),OFFSET($BN$2,0,0,ROW()-1,60),ROW()-1,FALSE))</f>
        <v>416623.7402</v>
      </c>
      <c r="I99" t="str">
        <f ca="1">IF(AND(ISNUMBER($I$303),$B$208=1),$I$303,HLOOKUP(INDIRECT(ADDRESS(2,COLUMN())),OFFSET($BN$2,0,0,ROW()-1,60),ROW()-1,FALSE))</f>
        <v/>
      </c>
      <c r="J99">
        <f ca="1">IF(AND(ISNUMBER($J$303),$B$208=1),$J$303,HLOOKUP(INDIRECT(ADDRESS(2,COLUMN())),OFFSET($BN$2,0,0,ROW()-1,60),ROW()-1,FALSE))</f>
        <v>404484.81559999997</v>
      </c>
      <c r="K99" t="str">
        <f ca="1">IF(AND(ISNUMBER($K$303),$B$208=1),$K$303,HLOOKUP(INDIRECT(ADDRESS(2,COLUMN())),OFFSET($BN$2,0,0,ROW()-1,60),ROW()-1,FALSE))</f>
        <v/>
      </c>
      <c r="L99">
        <f ca="1">IF(AND(ISNUMBER($L$303),$B$208=1),$L$303,HLOOKUP(INDIRECT(ADDRESS(2,COLUMN())),OFFSET($BN$2,0,0,ROW()-1,60),ROW()-1,FALSE))</f>
        <v>415320.57150000002</v>
      </c>
      <c r="M99" t="str">
        <f ca="1">IF(AND(ISNUMBER($M$303),$B$208=1),$M$303,HLOOKUP(INDIRECT(ADDRESS(2,COLUMN())),OFFSET($BN$2,0,0,ROW()-1,60),ROW()-1,FALSE))</f>
        <v/>
      </c>
      <c r="N99">
        <f ca="1">IF(AND(ISNUMBER($N$303),$B$208=1),$N$303,HLOOKUP(INDIRECT(ADDRESS(2,COLUMN())),OFFSET($BN$2,0,0,ROW()-1,60),ROW()-1,FALSE))</f>
        <v>387341.98489999998</v>
      </c>
      <c r="O99" t="str">
        <f ca="1">IF(AND(ISNUMBER($O$303),$B$208=1),$O$303,HLOOKUP(INDIRECT(ADDRESS(2,COLUMN())),OFFSET($BN$2,0,0,ROW()-1,60),ROW()-1,FALSE))</f>
        <v/>
      </c>
      <c r="P99">
        <f ca="1">IF(AND(ISNUMBER($P$303),$B$208=1),$P$303,HLOOKUP(INDIRECT(ADDRESS(2,COLUMN())),OFFSET($BN$2,0,0,ROW()-1,60),ROW()-1,FALSE))</f>
        <v>442259.8493</v>
      </c>
      <c r="Q99" t="str">
        <f ca="1">IF(AND(ISNUMBER($Q$303),$B$208=1),$Q$303,HLOOKUP(INDIRECT(ADDRESS(2,COLUMN())),OFFSET($BN$2,0,0,ROW()-1,60),ROW()-1,FALSE))</f>
        <v/>
      </c>
      <c r="R99">
        <f ca="1">IF(AND(ISNUMBER($R$303),$B$208=1),$R$303,HLOOKUP(INDIRECT(ADDRESS(2,COLUMN())),OFFSET($BN$2,0,0,ROW()-1,60),ROW()-1,FALSE))</f>
        <v>420109.78389999998</v>
      </c>
      <c r="S99">
        <f ca="1">IF(AND(ISNUMBER($S$303),$B$208=1),$S$303,HLOOKUP(INDIRECT(ADDRESS(2,COLUMN())),OFFSET($BN$2,0,0,ROW()-1,60),ROW()-1,FALSE))</f>
        <v>407983.7525</v>
      </c>
      <c r="T99">
        <f ca="1">IF(AND(ISNUMBER($T$303),$B$208=1),$T$303,HLOOKUP(INDIRECT(ADDRESS(2,COLUMN())),OFFSET($BN$2,0,0,ROW()-1,60),ROW()-1,FALSE))</f>
        <v>407162.6298</v>
      </c>
      <c r="U99">
        <f ca="1">IF(AND(ISNUMBER($U$303),$B$208=1),$U$303,HLOOKUP(INDIRECT(ADDRESS(2,COLUMN())),OFFSET($BN$2,0,0,ROW()-1,60),ROW()-1,FALSE))</f>
        <v>396119.14889999997</v>
      </c>
      <c r="V99">
        <f ca="1">IF(AND(ISNUMBER($V$303),$B$208=1),$V$303,HLOOKUP(INDIRECT(ADDRESS(2,COLUMN())),OFFSET($BN$2,0,0,ROW()-1,60),ROW()-1,FALSE))</f>
        <v>376939.87729999999</v>
      </c>
      <c r="W99">
        <f ca="1">IF(AND(ISNUMBER($W$303),$B$208=1),$W$303,HLOOKUP(INDIRECT(ADDRESS(2,COLUMN())),OFFSET($BN$2,0,0,ROW()-1,60),ROW()-1,FALSE))</f>
        <v>385685.8898</v>
      </c>
      <c r="X99">
        <f ca="1">IF(AND(ISNUMBER($X$303),$B$208=1),$X$303,HLOOKUP(INDIRECT(ADDRESS(2,COLUMN())),OFFSET($BN$2,0,0,ROW()-1,60),ROW()-1,FALSE))</f>
        <v>375508.31630000001</v>
      </c>
      <c r="Y99">
        <f ca="1">IF(AND(ISNUMBER($Y$303),$B$208=1),$Y$303,HLOOKUP(INDIRECT(ADDRESS(2,COLUMN())),OFFSET($BN$2,0,0,ROW()-1,60),ROW()-1,FALSE))</f>
        <v>380103.91029999999</v>
      </c>
      <c r="Z99">
        <f ca="1">IF(AND(ISNUMBER($Z$303),$B$208=1),$Z$303,HLOOKUP(INDIRECT(ADDRESS(2,COLUMN())),OFFSET($BN$2,0,0,ROW()-1,60),ROW()-1,FALSE))</f>
        <v>386740.58240000001</v>
      </c>
      <c r="AA99">
        <f ca="1">IF(AND(ISNUMBER($AA$303),$B$208=1),$AA$303,HLOOKUP(INDIRECT(ADDRESS(2,COLUMN())),OFFSET($BN$2,0,0,ROW()-1,60),ROW()-1,FALSE))</f>
        <v>380898.83519999997</v>
      </c>
      <c r="AB99">
        <f ca="1">IF(AND(ISNUMBER($AB$303),$B$208=1),$AB$303,HLOOKUP(INDIRECT(ADDRESS(2,COLUMN())),OFFSET($BN$2,0,0,ROW()-1,60),ROW()-1,FALSE))</f>
        <v>364777.70929999999</v>
      </c>
      <c r="AC99">
        <f ca="1">IF(AND(ISNUMBER($AC$303),$B$208=1),$AC$303,HLOOKUP(INDIRECT(ADDRESS(2,COLUMN())),OFFSET($BN$2,0,0,ROW()-1,60),ROW()-1,FALSE))</f>
        <v>360749.48759999999</v>
      </c>
      <c r="AD99">
        <f ca="1">IF(AND(ISNUMBER($AD$303),$B$208=1),$AD$303,HLOOKUP(INDIRECT(ADDRESS(2,COLUMN())),OFFSET($BN$2,0,0,ROW()-1,60),ROW()-1,FALSE))</f>
        <v>344338.98009999999</v>
      </c>
      <c r="AE99">
        <f ca="1">IF(AND(ISNUMBER($AE$303),$B$208=1),$AE$303,HLOOKUP(INDIRECT(ADDRESS(2,COLUMN())),OFFSET($BN$2,0,0,ROW()-1,60),ROW()-1,FALSE))</f>
        <v>332329.08559999999</v>
      </c>
      <c r="AF99">
        <f ca="1">IF(AND(ISNUMBER($AF$303),$B$208=1),$AF$303,HLOOKUP(INDIRECT(ADDRESS(2,COLUMN())),OFFSET($BN$2,0,0,ROW()-1,60),ROW()-1,FALSE))</f>
        <v>327932.68819999998</v>
      </c>
      <c r="AG99">
        <f ca="1">IF(AND(ISNUMBER($AG$303),$B$208=1),$AG$303,HLOOKUP(INDIRECT(ADDRESS(2,COLUMN())),OFFSET($BN$2,0,0,ROW()-1,60),ROW()-1,FALSE))</f>
        <v>314981.74739999999</v>
      </c>
      <c r="AH99">
        <f ca="1">IF(AND(ISNUMBER($AH$303),$B$208=1),$AH$303,HLOOKUP(INDIRECT(ADDRESS(2,COLUMN())),OFFSET($BN$2,0,0,ROW()-1,60),ROW()-1,FALSE))</f>
        <v>313160.03989999997</v>
      </c>
      <c r="AI99">
        <f ca="1">IF(AND(ISNUMBER($AI$303),$B$208=1),$AI$303,HLOOKUP(INDIRECT(ADDRESS(2,COLUMN())),OFFSET($BN$2,0,0,ROW()-1,60),ROW()-1,FALSE))</f>
        <v>311087.01179999998</v>
      </c>
      <c r="AJ99">
        <f ca="1">IF(AND(ISNUMBER($AJ$303),$B$208=1),$AJ$303,HLOOKUP(INDIRECT(ADDRESS(2,COLUMN())),OFFSET($BN$2,0,0,ROW()-1,60),ROW()-1,FALSE))</f>
        <v>310978.70850000001</v>
      </c>
      <c r="AK99">
        <f ca="1">IF(AND(ISNUMBER($AK$303),$B$208=1),$AK$303,HLOOKUP(INDIRECT(ADDRESS(2,COLUMN())),OFFSET($BN$2,0,0,ROW()-1,60),ROW()-1,FALSE))</f>
        <v>319950.4534</v>
      </c>
      <c r="AL99">
        <f ca="1">IF(AND(ISNUMBER($AL$303),$B$208=1),$AL$303,HLOOKUP(INDIRECT(ADDRESS(2,COLUMN())),OFFSET($BN$2,0,0,ROW()-1,60),ROW()-1,FALSE))</f>
        <v>322175.02610000002</v>
      </c>
      <c r="AM99">
        <f ca="1">IF(AND(ISNUMBER($AM$303),$B$208=1),$AM$303,HLOOKUP(INDIRECT(ADDRESS(2,COLUMN())),OFFSET($BN$2,0,0,ROW()-1,60),ROW()-1,FALSE))</f>
        <v>316887.24619999999</v>
      </c>
      <c r="AN99">
        <f ca="1">IF(AND(ISNUMBER($AN$303),$B$208=1),$AN$303,HLOOKUP(INDIRECT(ADDRESS(2,COLUMN())),OFFSET($BN$2,0,0,ROW()-1,60),ROW()-1,FALSE))</f>
        <v>324856.859</v>
      </c>
      <c r="AO99">
        <f ca="1">IF(AND(ISNUMBER($AO$303),$B$208=1),$AO$303,HLOOKUP(INDIRECT(ADDRESS(2,COLUMN())),OFFSET($BN$2,0,0,ROW()-1,60),ROW()-1,FALSE))</f>
        <v>324655.12699999998</v>
      </c>
      <c r="AP99">
        <f ca="1">IF(AND(ISNUMBER($AP$303),$B$208=1),$AP$303,HLOOKUP(INDIRECT(ADDRESS(2,COLUMN())),OFFSET($BN$2,0,0,ROW()-1,60),ROW()-1,FALSE))</f>
        <v>344268.36</v>
      </c>
      <c r="AQ99">
        <f ca="1">IF(AND(ISNUMBER($AQ$303),$B$208=1),$AQ$303,HLOOKUP(INDIRECT(ADDRESS(2,COLUMN())),OFFSET($BN$2,0,0,ROW()-1,60),ROW()-1,FALSE))</f>
        <v>335101.94959999999</v>
      </c>
      <c r="AR99">
        <f ca="1">IF(AND(ISNUMBER($AR$303),$B$208=1),$AR$303,HLOOKUP(INDIRECT(ADDRESS(2,COLUMN())),OFFSET($BN$2,0,0,ROW()-1,60),ROW()-1,FALSE))</f>
        <v>345467.58720000001</v>
      </c>
      <c r="AS99">
        <f ca="1">IF(AND(ISNUMBER($AS$303),$B$208=1),$AS$303,HLOOKUP(INDIRECT(ADDRESS(2,COLUMN())),OFFSET($BN$2,0,0,ROW()-1,60),ROW()-1,FALSE))</f>
        <v>356417.78519999998</v>
      </c>
      <c r="AT99">
        <f ca="1">IF(AND(ISNUMBER($AT$303),$B$208=1),$AT$303,HLOOKUP(INDIRECT(ADDRESS(2,COLUMN())),OFFSET($BN$2,0,0,ROW()-1,60),ROW()-1,FALSE))</f>
        <v>325251.23969999998</v>
      </c>
      <c r="AU99">
        <f ca="1">IF(AND(ISNUMBER($AU$303),$B$208=1),$AU$303,HLOOKUP(INDIRECT(ADDRESS(2,COLUMN())),OFFSET($BN$2,0,0,ROW()-1,60),ROW()-1,FALSE))</f>
        <v>319030.01030000002</v>
      </c>
      <c r="AV99">
        <f ca="1">IF(AND(ISNUMBER($AV$303),$B$208=1),$AV$303,HLOOKUP(INDIRECT(ADDRESS(2,COLUMN())),OFFSET($BN$2,0,0,ROW()-1,60),ROW()-1,FALSE))</f>
        <v>303690.28490000003</v>
      </c>
      <c r="AW99">
        <f ca="1">IF(AND(ISNUMBER($AW$303),$B$208=1),$AW$303,HLOOKUP(INDIRECT(ADDRESS(2,COLUMN())),OFFSET($BN$2,0,0,ROW()-1,60),ROW()-1,FALSE))</f>
        <v>297560.2672</v>
      </c>
      <c r="AX99">
        <f ca="1">IF(AND(ISNUMBER($AX$303),$B$208=1),$AX$303,HLOOKUP(INDIRECT(ADDRESS(2,COLUMN())),OFFSET($BN$2,0,0,ROW()-1,60),ROW()-1,FALSE))</f>
        <v>297866.41529999999</v>
      </c>
      <c r="AY99">
        <f ca="1">IF(AND(ISNUMBER($AY$303),$B$208=1),$AY$303,HLOOKUP(INDIRECT(ADDRESS(2,COLUMN())),OFFSET($BN$2,0,0,ROW()-1,60),ROW()-1,FALSE))</f>
        <v>301365.75270000001</v>
      </c>
      <c r="AZ99">
        <f ca="1">IF(AND(ISNUMBER($AZ$303),$B$208=1),$AZ$303,HLOOKUP(INDIRECT(ADDRESS(2,COLUMN())),OFFSET($BN$2,0,0,ROW()-1,60),ROW()-1,FALSE))</f>
        <v>303351.78779999999</v>
      </c>
      <c r="BA99">
        <f ca="1">IF(AND(ISNUMBER($BA$303),$B$208=1),$BA$303,HLOOKUP(INDIRECT(ADDRESS(2,COLUMN())),OFFSET($BN$2,0,0,ROW()-1,60),ROW()-1,FALSE))</f>
        <v>309238.63020000001</v>
      </c>
      <c r="BB99">
        <f ca="1">IF(AND(ISNUMBER($BB$303),$B$208=1),$BB$303,HLOOKUP(INDIRECT(ADDRESS(2,COLUMN())),OFFSET($BN$2,0,0,ROW()-1,60),ROW()-1,FALSE))</f>
        <v>314535.87939999998</v>
      </c>
      <c r="BC99">
        <f ca="1">IF(AND(ISNUMBER($BC$303),$B$208=1),$BC$303,HLOOKUP(INDIRECT(ADDRESS(2,COLUMN())),OFFSET($BN$2,0,0,ROW()-1,60),ROW()-1,FALSE))</f>
        <v>317490.68030000001</v>
      </c>
      <c r="BD99">
        <f ca="1">IF(AND(ISNUMBER($BD$303),$B$208=1),$BD$303,HLOOKUP(INDIRECT(ADDRESS(2,COLUMN())),OFFSET($BN$2,0,0,ROW()-1,60),ROW()-1,FALSE))</f>
        <v>316814.48109999998</v>
      </c>
      <c r="BE99">
        <f ca="1">IF(AND(ISNUMBER($BE$303),$B$208=1),$BE$303,HLOOKUP(INDIRECT(ADDRESS(2,COLUMN())),OFFSET($BN$2,0,0,ROW()-1,60),ROW()-1,FALSE))</f>
        <v>301299.1299</v>
      </c>
      <c r="BF99">
        <f ca="1">IF(AND(ISNUMBER($BF$303),$B$208=1),$BF$303,HLOOKUP(INDIRECT(ADDRESS(2,COLUMN())),OFFSET($BN$2,0,0,ROW()-1,60),ROW()-1,FALSE))</f>
        <v>303722.9938</v>
      </c>
      <c r="BG99">
        <f ca="1">IF(AND(ISNUMBER($BG$303),$B$208=1),$BG$303,HLOOKUP(INDIRECT(ADDRESS(2,COLUMN())),OFFSET($BN$2,0,0,ROW()-1,60),ROW()-1,FALSE))</f>
        <v>294285.07699999999</v>
      </c>
      <c r="BH99">
        <f ca="1">IF(AND(ISNUMBER($BH$303),$B$208=1),$BH$303,HLOOKUP(INDIRECT(ADDRESS(2,COLUMN())),OFFSET($BN$2,0,0,ROW()-1,60),ROW()-1,FALSE))</f>
        <v>302791.17849999998</v>
      </c>
      <c r="BI99">
        <f ca="1">IF(AND(ISNUMBER($BI$303),$B$208=1),$BI$303,HLOOKUP(INDIRECT(ADDRESS(2,COLUMN())),OFFSET($BN$2,0,0,ROW()-1,60),ROW()-1,FALSE))</f>
        <v>304553.20649999997</v>
      </c>
      <c r="BJ99">
        <f ca="1">IF(AND(ISNUMBER($BJ$303),$B$208=1),$BJ$303,HLOOKUP(INDIRECT(ADDRESS(2,COLUMN())),OFFSET($BN$2,0,0,ROW()-1,60),ROW()-1,FALSE))</f>
        <v>318210.38459999999</v>
      </c>
      <c r="BK99" t="str">
        <f ca="1">IF(AND(ISNUMBER($BK$303),$B$208=1),$BK$303,HLOOKUP(INDIRECT(ADDRESS(2,COLUMN())),OFFSET($BN$2,0,0,ROW()-1,60),ROW()-1,FALSE))</f>
        <v/>
      </c>
      <c r="BL99">
        <f ca="1">IF(AND(ISNUMBER($BL$303),$B$208=1),$BL$303,HLOOKUP(INDIRECT(ADDRESS(2,COLUMN())),OFFSET($BN$2,0,0,ROW()-1,60),ROW()-1,FALSE))</f>
        <v>334545.15789999999</v>
      </c>
      <c r="BM99" t="str">
        <f ca="1">IF(AND(ISNUMBER($BM$303),$B$208=1),$BM$303,HLOOKUP(INDIRECT(ADDRESS(2,COLUMN())),OFFSET($BN$2,0,0,ROW()-1,60),ROW()-1,FALSE))</f>
        <v/>
      </c>
      <c r="BN99">
        <f>432143.2022</f>
        <v>432143.2022</v>
      </c>
      <c r="BO99" t="str">
        <f>""</f>
        <v/>
      </c>
      <c r="BP99">
        <f>416623.7402</f>
        <v>416623.7402</v>
      </c>
      <c r="BQ99" t="str">
        <f>""</f>
        <v/>
      </c>
      <c r="BR99">
        <f>404484.8156</f>
        <v>404484.81559999997</v>
      </c>
      <c r="BS99" t="str">
        <f>""</f>
        <v/>
      </c>
      <c r="BT99">
        <f>415320.5715</f>
        <v>415320.57150000002</v>
      </c>
      <c r="BU99" t="str">
        <f>""</f>
        <v/>
      </c>
      <c r="BV99">
        <f>387341.9849</f>
        <v>387341.98489999998</v>
      </c>
      <c r="BW99" t="str">
        <f>""</f>
        <v/>
      </c>
      <c r="BX99">
        <f>442259.8493</f>
        <v>442259.8493</v>
      </c>
      <c r="BY99" t="str">
        <f>""</f>
        <v/>
      </c>
      <c r="BZ99">
        <f>420109.7839</f>
        <v>420109.78389999998</v>
      </c>
      <c r="CA99">
        <f>407983.7525</f>
        <v>407983.7525</v>
      </c>
      <c r="CB99">
        <f>407162.6298</f>
        <v>407162.6298</v>
      </c>
      <c r="CC99">
        <f>396119.1489</f>
        <v>396119.14889999997</v>
      </c>
      <c r="CD99">
        <f>376939.8773</f>
        <v>376939.87729999999</v>
      </c>
      <c r="CE99">
        <f>385685.8898</f>
        <v>385685.8898</v>
      </c>
      <c r="CF99">
        <f>375508.3163</f>
        <v>375508.31630000001</v>
      </c>
      <c r="CG99">
        <f>380103.9103</f>
        <v>380103.91029999999</v>
      </c>
      <c r="CH99">
        <f>386740.5824</f>
        <v>386740.58240000001</v>
      </c>
      <c r="CI99">
        <f>380898.8352</f>
        <v>380898.83519999997</v>
      </c>
      <c r="CJ99">
        <f>364777.7093</f>
        <v>364777.70929999999</v>
      </c>
      <c r="CK99">
        <f>360749.4876</f>
        <v>360749.48759999999</v>
      </c>
      <c r="CL99">
        <f>344338.9801</f>
        <v>344338.98009999999</v>
      </c>
      <c r="CM99">
        <f>332329.0856</f>
        <v>332329.08559999999</v>
      </c>
      <c r="CN99">
        <f>327932.6882</f>
        <v>327932.68819999998</v>
      </c>
      <c r="CO99">
        <f>314981.7474</f>
        <v>314981.74739999999</v>
      </c>
      <c r="CP99">
        <f>313160.0399</f>
        <v>313160.03989999997</v>
      </c>
      <c r="CQ99">
        <f>311087.0118</f>
        <v>311087.01179999998</v>
      </c>
      <c r="CR99">
        <f>310978.7085</f>
        <v>310978.70850000001</v>
      </c>
      <c r="CS99">
        <f>319950.4534</f>
        <v>319950.4534</v>
      </c>
      <c r="CT99">
        <f>322175.0261</f>
        <v>322175.02610000002</v>
      </c>
      <c r="CU99">
        <f>316887.2462</f>
        <v>316887.24619999999</v>
      </c>
      <c r="CV99">
        <f>324856.859</f>
        <v>324856.859</v>
      </c>
      <c r="CW99">
        <f>324655.127</f>
        <v>324655.12699999998</v>
      </c>
      <c r="CX99">
        <f>344268.36</f>
        <v>344268.36</v>
      </c>
      <c r="CY99">
        <f>335101.9496</f>
        <v>335101.94959999999</v>
      </c>
      <c r="CZ99">
        <f>345467.5872</f>
        <v>345467.58720000001</v>
      </c>
      <c r="DA99">
        <f>356417.7852</f>
        <v>356417.78519999998</v>
      </c>
      <c r="DB99">
        <f>325251.2397</f>
        <v>325251.23969999998</v>
      </c>
      <c r="DC99">
        <f>319030.0103</f>
        <v>319030.01030000002</v>
      </c>
      <c r="DD99">
        <f>303690.2849</f>
        <v>303690.28490000003</v>
      </c>
      <c r="DE99">
        <f>297560.2672</f>
        <v>297560.2672</v>
      </c>
      <c r="DF99">
        <f>297866.4153</f>
        <v>297866.41529999999</v>
      </c>
      <c r="DG99">
        <f>301365.7527</f>
        <v>301365.75270000001</v>
      </c>
      <c r="DH99">
        <f>303351.7878</f>
        <v>303351.78779999999</v>
      </c>
      <c r="DI99">
        <f>309238.6302</f>
        <v>309238.63020000001</v>
      </c>
      <c r="DJ99">
        <f>314535.8794</f>
        <v>314535.87939999998</v>
      </c>
      <c r="DK99">
        <f>317490.6803</f>
        <v>317490.68030000001</v>
      </c>
      <c r="DL99">
        <f>316814.4811</f>
        <v>316814.48109999998</v>
      </c>
      <c r="DM99">
        <f>301299.1299</f>
        <v>301299.1299</v>
      </c>
      <c r="DN99">
        <f>303722.9938</f>
        <v>303722.9938</v>
      </c>
      <c r="DO99">
        <f>294285.077</f>
        <v>294285.07699999999</v>
      </c>
      <c r="DP99">
        <f>302791.1785</f>
        <v>302791.17849999998</v>
      </c>
      <c r="DQ99">
        <f>304553.2065</f>
        <v>304553.20649999997</v>
      </c>
      <c r="DR99">
        <f>318210.3846</f>
        <v>318210.38459999999</v>
      </c>
      <c r="DS99" t="str">
        <f>""</f>
        <v/>
      </c>
      <c r="DT99">
        <f>334545.1579</f>
        <v>334545.15789999999</v>
      </c>
      <c r="DU99" t="str">
        <f>""</f>
        <v/>
      </c>
    </row>
    <row r="100" spans="1:125" x14ac:dyDescent="0.25">
      <c r="A100" t="str">
        <f>"    ING Groep NV"</f>
        <v xml:space="preserve">    ING Groep NV</v>
      </c>
      <c r="B100" t="str">
        <f>"INGA NA Equity"</f>
        <v>INGA NA Equity</v>
      </c>
      <c r="C100" t="str">
        <f t="shared" si="6"/>
        <v>BS017</v>
      </c>
      <c r="D100" t="str">
        <f t="shared" si="7"/>
        <v>BS_CONS_LOAN</v>
      </c>
      <c r="E100" t="str">
        <f t="shared" si="8"/>
        <v>Dynamic</v>
      </c>
      <c r="F100">
        <f ca="1">IF(AND(ISNUMBER($F$304),$B$208=1),$F$304,HLOOKUP(INDIRECT(ADDRESS(2,COLUMN())),OFFSET($BN$2,0,0,ROW()-1,60),ROW()-1,FALSE))</f>
        <v>382013</v>
      </c>
      <c r="G100" t="str">
        <f ca="1">IF(AND(ISNUMBER($G$304),$B$208=1),$G$304,HLOOKUP(INDIRECT(ADDRESS(2,COLUMN())),OFFSET($BN$2,0,0,ROW()-1,60),ROW()-1,FALSE))</f>
        <v/>
      </c>
      <c r="H100">
        <f ca="1">IF(AND(ISNUMBER($H$304),$B$208=1),$H$304,HLOOKUP(INDIRECT(ADDRESS(2,COLUMN())),OFFSET($BN$2,0,0,ROW()-1,60),ROW()-1,FALSE))</f>
        <v>368306</v>
      </c>
      <c r="I100" t="str">
        <f ca="1">IF(AND(ISNUMBER($I$304),$B$208=1),$I$304,HLOOKUP(INDIRECT(ADDRESS(2,COLUMN())),OFFSET($BN$2,0,0,ROW()-1,60),ROW()-1,FALSE))</f>
        <v/>
      </c>
      <c r="J100">
        <f ca="1">IF(AND(ISNUMBER($J$304),$B$208=1),$J$304,HLOOKUP(INDIRECT(ADDRESS(2,COLUMN())),OFFSET($BN$2,0,0,ROW()-1,60),ROW()-1,FALSE))</f>
        <v>361167</v>
      </c>
      <c r="K100" t="str">
        <f ca="1">IF(AND(ISNUMBER($K$304),$B$208=1),$K$304,HLOOKUP(INDIRECT(ADDRESS(2,COLUMN())),OFFSET($BN$2,0,0,ROW()-1,60),ROW()-1,FALSE))</f>
        <v/>
      </c>
      <c r="L100">
        <f ca="1">IF(AND(ISNUMBER($L$304),$B$208=1),$L$304,HLOOKUP(INDIRECT(ADDRESS(2,COLUMN())),OFFSET($BN$2,0,0,ROW()-1,60),ROW()-1,FALSE))</f>
        <v>351811</v>
      </c>
      <c r="M100" t="str">
        <f ca="1">IF(AND(ISNUMBER($M$304),$B$208=1),$M$304,HLOOKUP(INDIRECT(ADDRESS(2,COLUMN())),OFFSET($BN$2,0,0,ROW()-1,60),ROW()-1,FALSE))</f>
        <v/>
      </c>
      <c r="N100">
        <f ca="1">IF(AND(ISNUMBER($N$304),$B$208=1),$N$304,HLOOKUP(INDIRECT(ADDRESS(2,COLUMN())),OFFSET($BN$2,0,0,ROW()-1,60),ROW()-1,FALSE))</f>
        <v>349644</v>
      </c>
      <c r="O100" t="str">
        <f ca="1">IF(AND(ISNUMBER($O$304),$B$208=1),$O$304,HLOOKUP(INDIRECT(ADDRESS(2,COLUMN())),OFFSET($BN$2,0,0,ROW()-1,60),ROW()-1,FALSE))</f>
        <v/>
      </c>
      <c r="P100">
        <f ca="1">IF(AND(ISNUMBER($P$304),$B$208=1),$P$304,HLOOKUP(INDIRECT(ADDRESS(2,COLUMN())),OFFSET($BN$2,0,0,ROW()-1,60),ROW()-1,FALSE))</f>
        <v>352237</v>
      </c>
      <c r="Q100" t="str">
        <f ca="1">IF(AND(ISNUMBER($Q$304),$B$208=1),$Q$304,HLOOKUP(INDIRECT(ADDRESS(2,COLUMN())),OFFSET($BN$2,0,0,ROW()-1,60),ROW()-1,FALSE))</f>
        <v/>
      </c>
      <c r="R100">
        <f ca="1">IF(AND(ISNUMBER($R$304),$B$208=1),$R$304,HLOOKUP(INDIRECT(ADDRESS(2,COLUMN())),OFFSET($BN$2,0,0,ROW()-1,60),ROW()-1,FALSE))</f>
        <v>394238</v>
      </c>
      <c r="S100" t="str">
        <f ca="1">IF(AND(ISNUMBER($S$304),$B$208=1),$S$304,HLOOKUP(INDIRECT(ADDRESS(2,COLUMN())),OFFSET($BN$2,0,0,ROW()-1,60),ROW()-1,FALSE))</f>
        <v/>
      </c>
      <c r="T100">
        <f ca="1">IF(AND(ISNUMBER($T$304),$B$208=1),$T$304,HLOOKUP(INDIRECT(ADDRESS(2,COLUMN())),OFFSET($BN$2,0,0,ROW()-1,60),ROW()-1,FALSE))</f>
        <v>387085</v>
      </c>
      <c r="U100" t="str">
        <f ca="1">IF(AND(ISNUMBER($U$304),$B$208=1),$U$304,HLOOKUP(INDIRECT(ADDRESS(2,COLUMN())),OFFSET($BN$2,0,0,ROW()-1,60),ROW()-1,FALSE))</f>
        <v/>
      </c>
      <c r="V100">
        <f ca="1">IF(AND(ISNUMBER($V$304),$B$208=1),$V$304,HLOOKUP(INDIRECT(ADDRESS(2,COLUMN())),OFFSET($BN$2,0,0,ROW()-1,60),ROW()-1,FALSE))</f>
        <v>384131</v>
      </c>
      <c r="W100" t="str">
        <f ca="1">IF(AND(ISNUMBER($W$304),$B$208=1),$W$304,HLOOKUP(INDIRECT(ADDRESS(2,COLUMN())),OFFSET($BN$2,0,0,ROW()-1,60),ROW()-1,FALSE))</f>
        <v/>
      </c>
      <c r="X100">
        <f ca="1">IF(AND(ISNUMBER($X$304),$B$208=1),$X$304,HLOOKUP(INDIRECT(ADDRESS(2,COLUMN())),OFFSET($BN$2,0,0,ROW()-1,60),ROW()-1,FALSE))</f>
        <v>381905</v>
      </c>
      <c r="Y100" t="str">
        <f ca="1">IF(AND(ISNUMBER($Y$304),$B$208=1),$Y$304,HLOOKUP(INDIRECT(ADDRESS(2,COLUMN())),OFFSET($BN$2,0,0,ROW()-1,60),ROW()-1,FALSE))</f>
        <v/>
      </c>
      <c r="Z100">
        <f ca="1">IF(AND(ISNUMBER($Z$304),$B$208=1),$Z$304,HLOOKUP(INDIRECT(ADDRESS(2,COLUMN())),OFFSET($BN$2,0,0,ROW()-1,60),ROW()-1,FALSE))</f>
        <v>380512</v>
      </c>
      <c r="AA100" t="str">
        <f ca="1">IF(AND(ISNUMBER($AA$304),$B$208=1),$AA$304,HLOOKUP(INDIRECT(ADDRESS(2,COLUMN())),OFFSET($BN$2,0,0,ROW()-1,60),ROW()-1,FALSE))</f>
        <v/>
      </c>
      <c r="AB100">
        <f ca="1">IF(AND(ISNUMBER($AB$304),$B$208=1),$AB$304,HLOOKUP(INDIRECT(ADDRESS(2,COLUMN())),OFFSET($BN$2,0,0,ROW()-1,60),ROW()-1,FALSE))</f>
        <v>372368</v>
      </c>
      <c r="AC100" t="str">
        <f ca="1">IF(AND(ISNUMBER($AC$304),$B$208=1),$AC$304,HLOOKUP(INDIRECT(ADDRESS(2,COLUMN())),OFFSET($BN$2,0,0,ROW()-1,60),ROW()-1,FALSE))</f>
        <v/>
      </c>
      <c r="AD100">
        <f ca="1">IF(AND(ISNUMBER($AD$304),$B$208=1),$AD$304,HLOOKUP(INDIRECT(ADDRESS(2,COLUMN())),OFFSET($BN$2,0,0,ROW()-1,60),ROW()-1,FALSE))</f>
        <v>364789</v>
      </c>
      <c r="AE100" t="str">
        <f ca="1">IF(AND(ISNUMBER($AE$304),$B$208=1),$AE$304,HLOOKUP(INDIRECT(ADDRESS(2,COLUMN())),OFFSET($BN$2,0,0,ROW()-1,60),ROW()-1,FALSE))</f>
        <v/>
      </c>
      <c r="AF100">
        <f ca="1">IF(AND(ISNUMBER($AF$304),$B$208=1),$AF$304,HLOOKUP(INDIRECT(ADDRESS(2,COLUMN())),OFFSET($BN$2,0,0,ROW()-1,60),ROW()-1,FALSE))</f>
        <v>356581</v>
      </c>
      <c r="AG100" t="str">
        <f ca="1">IF(AND(ISNUMBER($AG$304),$B$208=1),$AG$304,HLOOKUP(INDIRECT(ADDRESS(2,COLUMN())),OFFSET($BN$2,0,0,ROW()-1,60),ROW()-1,FALSE))</f>
        <v/>
      </c>
      <c r="AH100">
        <f ca="1">IF(AND(ISNUMBER($AH$304),$B$208=1),$AH$304,HLOOKUP(INDIRECT(ADDRESS(2,COLUMN())),OFFSET($BN$2,0,0,ROW()-1,60),ROW()-1,FALSE))</f>
        <v>349821</v>
      </c>
      <c r="AI100" t="str">
        <f ca="1">IF(AND(ISNUMBER($AI$304),$B$208=1),$AI$304,HLOOKUP(INDIRECT(ADDRESS(2,COLUMN())),OFFSET($BN$2,0,0,ROW()-1,60),ROW()-1,FALSE))</f>
        <v/>
      </c>
      <c r="AJ100">
        <f ca="1">IF(AND(ISNUMBER($AJ$304),$B$208=1),$AJ$304,HLOOKUP(INDIRECT(ADDRESS(2,COLUMN())),OFFSET($BN$2,0,0,ROW()-1,60),ROW()-1,FALSE))</f>
        <v>344033</v>
      </c>
      <c r="AK100" t="str">
        <f ca="1">IF(AND(ISNUMBER($AK$304),$B$208=1),$AK$304,HLOOKUP(INDIRECT(ADDRESS(2,COLUMN())),OFFSET($BN$2,0,0,ROW()-1,60),ROW()-1,FALSE))</f>
        <v/>
      </c>
      <c r="AL100">
        <f ca="1">IF(AND(ISNUMBER($AL$304),$B$208=1),$AL$304,HLOOKUP(INDIRECT(ADDRESS(2,COLUMN())),OFFSET($BN$2,0,0,ROW()-1,60),ROW()-1,FALSE))</f>
        <v>341728</v>
      </c>
      <c r="AM100" t="str">
        <f ca="1">IF(AND(ISNUMBER($AM$304),$B$208=1),$AM$304,HLOOKUP(INDIRECT(ADDRESS(2,COLUMN())),OFFSET($BN$2,0,0,ROW()-1,60),ROW()-1,FALSE))</f>
        <v/>
      </c>
      <c r="AN100">
        <f ca="1">IF(AND(ISNUMBER($AN$304),$B$208=1),$AN$304,HLOOKUP(INDIRECT(ADDRESS(2,COLUMN())),OFFSET($BN$2,0,0,ROW()-1,60),ROW()-1,FALSE))</f>
        <v>322196</v>
      </c>
      <c r="AO100" t="str">
        <f ca="1">IF(AND(ISNUMBER($AO$304),$B$208=1),$AO$304,HLOOKUP(INDIRECT(ADDRESS(2,COLUMN())),OFFSET($BN$2,0,0,ROW()-1,60),ROW()-1,FALSE))</f>
        <v/>
      </c>
      <c r="AP100">
        <f ca="1">IF(AND(ISNUMBER($AP$304),$B$208=1),$AP$304,HLOOKUP(INDIRECT(ADDRESS(2,COLUMN())),OFFSET($BN$2,0,0,ROW()-1,60),ROW()-1,FALSE))</f>
        <v>331300</v>
      </c>
      <c r="AQ100">
        <f ca="1">IF(AND(ISNUMBER($AQ$304),$B$208=1),$AQ$304,HLOOKUP(INDIRECT(ADDRESS(2,COLUMN())),OFFSET($BN$2,0,0,ROW()-1,60),ROW()-1,FALSE))</f>
        <v>319508</v>
      </c>
      <c r="AR100">
        <f ca="1">IF(AND(ISNUMBER($AR$304),$B$208=1),$AR$304,HLOOKUP(INDIRECT(ADDRESS(2,COLUMN())),OFFSET($BN$2,0,0,ROW()-1,60),ROW()-1,FALSE))</f>
        <v>317452</v>
      </c>
      <c r="AS100">
        <f ca="1">IF(AND(ISNUMBER($AS$304),$B$208=1),$AS$304,HLOOKUP(INDIRECT(ADDRESS(2,COLUMN())),OFFSET($BN$2,0,0,ROW()-1,60),ROW()-1,FALSE))</f>
        <v>319995</v>
      </c>
      <c r="AT100">
        <f ca="1">IF(AND(ISNUMBER($AT$304),$B$208=1),$AT$304,HLOOKUP(INDIRECT(ADDRESS(2,COLUMN())),OFFSET($BN$2,0,0,ROW()-1,60),ROW()-1,FALSE))</f>
        <v>320393</v>
      </c>
      <c r="AU100">
        <f ca="1">IF(AND(ISNUMBER($AU$304),$B$208=1),$AU$304,HLOOKUP(INDIRECT(ADDRESS(2,COLUMN())),OFFSET($BN$2,0,0,ROW()-1,60),ROW()-1,FALSE))</f>
        <v>317719</v>
      </c>
      <c r="AV100">
        <f ca="1">IF(AND(ISNUMBER($AV$304),$B$208=1),$AV$304,HLOOKUP(INDIRECT(ADDRESS(2,COLUMN())),OFFSET($BN$2,0,0,ROW()-1,60),ROW()-1,FALSE))</f>
        <v>318336</v>
      </c>
      <c r="AW100">
        <f ca="1">IF(AND(ISNUMBER($AW$304),$B$208=1),$AW$304,HLOOKUP(INDIRECT(ADDRESS(2,COLUMN())),OFFSET($BN$2,0,0,ROW()-1,60),ROW()-1,FALSE))</f>
        <v>315280</v>
      </c>
      <c r="AX100">
        <f ca="1">IF(AND(ISNUMBER($AX$304),$B$208=1),$AX$304,HLOOKUP(INDIRECT(ADDRESS(2,COLUMN())),OFFSET($BN$2,0,0,ROW()-1,60),ROW()-1,FALSE))</f>
        <v>334051</v>
      </c>
      <c r="AY100">
        <f ca="1">IF(AND(ISNUMBER($AY$304),$B$208=1),$AY$304,HLOOKUP(INDIRECT(ADDRESS(2,COLUMN())),OFFSET($BN$2,0,0,ROW()-1,60),ROW()-1,FALSE))</f>
        <v>325476</v>
      </c>
      <c r="AZ100">
        <f ca="1">IF(AND(ISNUMBER($AZ$304),$B$208=1),$AZ$304,HLOOKUP(INDIRECT(ADDRESS(2,COLUMN())),OFFSET($BN$2,0,0,ROW()-1,60),ROW()-1,FALSE))</f>
        <v>330044</v>
      </c>
      <c r="BA100">
        <f ca="1">IF(AND(ISNUMBER($BA$304),$B$208=1),$BA$304,HLOOKUP(INDIRECT(ADDRESS(2,COLUMN())),OFFSET($BN$2,0,0,ROW()-1,60),ROW()-1,FALSE))</f>
        <v>332553</v>
      </c>
      <c r="BB100" t="str">
        <f ca="1">IF(AND(ISNUMBER($BB$304),$B$208=1),$BB$304,HLOOKUP(INDIRECT(ADDRESS(2,COLUMN())),OFFSET($BN$2,0,0,ROW()-1,60),ROW()-1,FALSE))</f>
        <v/>
      </c>
      <c r="BC100">
        <f ca="1">IF(AND(ISNUMBER($BC$304),$B$208=1),$BC$304,HLOOKUP(INDIRECT(ADDRESS(2,COLUMN())),OFFSET($BN$2,0,0,ROW()-1,60),ROW()-1,FALSE))</f>
        <v>339028</v>
      </c>
      <c r="BD100" t="str">
        <f ca="1">IF(AND(ISNUMBER($BD$304),$B$208=1),$BD$304,HLOOKUP(INDIRECT(ADDRESS(2,COLUMN())),OFFSET($BN$2,0,0,ROW()-1,60),ROW()-1,FALSE))</f>
        <v/>
      </c>
      <c r="BE100">
        <f ca="1">IF(AND(ISNUMBER($BE$304),$B$208=1),$BE$304,HLOOKUP(INDIRECT(ADDRESS(2,COLUMN())),OFFSET($BN$2,0,0,ROW()-1,60),ROW()-1,FALSE))</f>
        <v>349377</v>
      </c>
      <c r="BF100">
        <f ca="1">IF(AND(ISNUMBER($BF$304),$B$208=1),$BF$304,HLOOKUP(INDIRECT(ADDRESS(2,COLUMN())),OFFSET($BN$2,0,0,ROW()-1,60),ROW()-1,FALSE))</f>
        <v>367329</v>
      </c>
      <c r="BG100">
        <f ca="1">IF(AND(ISNUMBER($BG$304),$B$208=1),$BG$304,HLOOKUP(INDIRECT(ADDRESS(2,COLUMN())),OFFSET($BN$2,0,0,ROW()-1,60),ROW()-1,FALSE))</f>
        <v>347102</v>
      </c>
      <c r="BH100">
        <f ca="1">IF(AND(ISNUMBER($BH$304),$B$208=1),$BH$304,HLOOKUP(INDIRECT(ADDRESS(2,COLUMN())),OFFSET($BN$2,0,0,ROW()-1,60),ROW()-1,FALSE))</f>
        <v>339981</v>
      </c>
      <c r="BI100">
        <f ca="1">IF(AND(ISNUMBER($BI$304),$B$208=1),$BI$304,HLOOKUP(INDIRECT(ADDRESS(2,COLUMN())),OFFSET($BN$2,0,0,ROW()-1,60),ROW()-1,FALSE))</f>
        <v>378620</v>
      </c>
      <c r="BJ100">
        <f ca="1">IF(AND(ISNUMBER($BJ$304),$B$208=1),$BJ$304,HLOOKUP(INDIRECT(ADDRESS(2,COLUMN())),OFFSET($BN$2,0,0,ROW()-1,60),ROW()-1,FALSE))</f>
        <v>370245</v>
      </c>
      <c r="BK100">
        <f ca="1">IF(AND(ISNUMBER($BK$304),$B$208=1),$BK$304,HLOOKUP(INDIRECT(ADDRESS(2,COLUMN())),OFFSET($BN$2,0,0,ROW()-1,60),ROW()-1,FALSE))</f>
        <v>367947</v>
      </c>
      <c r="BL100">
        <f ca="1">IF(AND(ISNUMBER($BL$304),$B$208=1),$BL$304,HLOOKUP(INDIRECT(ADDRESS(2,COLUMN())),OFFSET($BN$2,0,0,ROW()-1,60),ROW()-1,FALSE))</f>
        <v>366826</v>
      </c>
      <c r="BM100" t="str">
        <f ca="1">IF(AND(ISNUMBER($BM$304),$B$208=1),$BM$304,HLOOKUP(INDIRECT(ADDRESS(2,COLUMN())),OFFSET($BN$2,0,0,ROW()-1,60),ROW()-1,FALSE))</f>
        <v/>
      </c>
      <c r="BN100">
        <f>382013</f>
        <v>382013</v>
      </c>
      <c r="BO100" t="str">
        <f>""</f>
        <v/>
      </c>
      <c r="BP100">
        <f>368306</f>
        <v>368306</v>
      </c>
      <c r="BQ100" t="str">
        <f>""</f>
        <v/>
      </c>
      <c r="BR100">
        <f>361167</f>
        <v>361167</v>
      </c>
      <c r="BS100" t="str">
        <f>""</f>
        <v/>
      </c>
      <c r="BT100">
        <f>351811</f>
        <v>351811</v>
      </c>
      <c r="BU100" t="str">
        <f>""</f>
        <v/>
      </c>
      <c r="BV100">
        <f>349644</f>
        <v>349644</v>
      </c>
      <c r="BW100" t="str">
        <f>""</f>
        <v/>
      </c>
      <c r="BX100">
        <f>352237</f>
        <v>352237</v>
      </c>
      <c r="BY100" t="str">
        <f>""</f>
        <v/>
      </c>
      <c r="BZ100">
        <f>394238</f>
        <v>394238</v>
      </c>
      <c r="CA100" t="str">
        <f>""</f>
        <v/>
      </c>
      <c r="CB100">
        <f>387085</f>
        <v>387085</v>
      </c>
      <c r="CC100" t="str">
        <f>""</f>
        <v/>
      </c>
      <c r="CD100">
        <f>384131</f>
        <v>384131</v>
      </c>
      <c r="CE100" t="str">
        <f>""</f>
        <v/>
      </c>
      <c r="CF100">
        <f>381905</f>
        <v>381905</v>
      </c>
      <c r="CG100" t="str">
        <f>""</f>
        <v/>
      </c>
      <c r="CH100">
        <f>380512</f>
        <v>380512</v>
      </c>
      <c r="CI100" t="str">
        <f>""</f>
        <v/>
      </c>
      <c r="CJ100">
        <f>372368</f>
        <v>372368</v>
      </c>
      <c r="CK100" t="str">
        <f>""</f>
        <v/>
      </c>
      <c r="CL100">
        <f>364789</f>
        <v>364789</v>
      </c>
      <c r="CM100" t="str">
        <f>""</f>
        <v/>
      </c>
      <c r="CN100">
        <f>356581</f>
        <v>356581</v>
      </c>
      <c r="CO100" t="str">
        <f>""</f>
        <v/>
      </c>
      <c r="CP100">
        <f>349821</f>
        <v>349821</v>
      </c>
      <c r="CQ100" t="str">
        <f>""</f>
        <v/>
      </c>
      <c r="CR100">
        <f>344033</f>
        <v>344033</v>
      </c>
      <c r="CS100" t="str">
        <f>""</f>
        <v/>
      </c>
      <c r="CT100">
        <f>341728</f>
        <v>341728</v>
      </c>
      <c r="CU100" t="str">
        <f>""</f>
        <v/>
      </c>
      <c r="CV100">
        <f>322196</f>
        <v>322196</v>
      </c>
      <c r="CW100" t="str">
        <f>""</f>
        <v/>
      </c>
      <c r="CX100">
        <f>331300</f>
        <v>331300</v>
      </c>
      <c r="CY100">
        <f>319508</f>
        <v>319508</v>
      </c>
      <c r="CZ100">
        <f>317452</f>
        <v>317452</v>
      </c>
      <c r="DA100">
        <f>319995</f>
        <v>319995</v>
      </c>
      <c r="DB100">
        <f>320393</f>
        <v>320393</v>
      </c>
      <c r="DC100">
        <f>317719</f>
        <v>317719</v>
      </c>
      <c r="DD100">
        <f>318336</f>
        <v>318336</v>
      </c>
      <c r="DE100">
        <f>315280</f>
        <v>315280</v>
      </c>
      <c r="DF100">
        <f>334051</f>
        <v>334051</v>
      </c>
      <c r="DG100">
        <f>325476</f>
        <v>325476</v>
      </c>
      <c r="DH100">
        <f>330044</f>
        <v>330044</v>
      </c>
      <c r="DI100">
        <f>332553</f>
        <v>332553</v>
      </c>
      <c r="DJ100" t="str">
        <f>""</f>
        <v/>
      </c>
      <c r="DK100">
        <f>339028</f>
        <v>339028</v>
      </c>
      <c r="DL100" t="str">
        <f>""</f>
        <v/>
      </c>
      <c r="DM100">
        <f>349377</f>
        <v>349377</v>
      </c>
      <c r="DN100">
        <f>367329</f>
        <v>367329</v>
      </c>
      <c r="DO100">
        <f>347102</f>
        <v>347102</v>
      </c>
      <c r="DP100">
        <f>339981</f>
        <v>339981</v>
      </c>
      <c r="DQ100">
        <f>378620</f>
        <v>378620</v>
      </c>
      <c r="DR100">
        <f>370245</f>
        <v>370245</v>
      </c>
      <c r="DS100">
        <f>367947</f>
        <v>367947</v>
      </c>
      <c r="DT100">
        <f>366826</f>
        <v>366826</v>
      </c>
      <c r="DU100" t="str">
        <f>""</f>
        <v/>
      </c>
    </row>
    <row r="101" spans="1:125" x14ac:dyDescent="0.25">
      <c r="A101" t="str">
        <f>"    Intesa Sanpaolo SpA"</f>
        <v xml:space="preserve">    Intesa Sanpaolo SpA</v>
      </c>
      <c r="B101" t="str">
        <f>"ISP IM Equity"</f>
        <v>ISP IM Equity</v>
      </c>
      <c r="C101" t="str">
        <f t="shared" si="6"/>
        <v>BS017</v>
      </c>
      <c r="D101" t="str">
        <f t="shared" si="7"/>
        <v>BS_CONS_LOAN</v>
      </c>
      <c r="E101" t="str">
        <f t="shared" si="8"/>
        <v>Dynamic</v>
      </c>
      <c r="F101" t="str">
        <f ca="1">IF(AND(ISNUMBER($F$305),$B$208=1),$F$305,HLOOKUP(INDIRECT(ADDRESS(2,COLUMN())),OFFSET($BN$2,0,0,ROW()-1,60),ROW()-1,FALSE))</f>
        <v/>
      </c>
      <c r="G101">
        <f ca="1">IF(AND(ISNUMBER($G$305),$B$208=1),$G$305,HLOOKUP(INDIRECT(ADDRESS(2,COLUMN())),OFFSET($BN$2,0,0,ROW()-1,60),ROW()-1,FALSE))</f>
        <v>237982</v>
      </c>
      <c r="H101">
        <f ca="1">IF(AND(ISNUMBER($H$305),$B$208=1),$H$305,HLOOKUP(INDIRECT(ADDRESS(2,COLUMN())),OFFSET($BN$2,0,0,ROW()-1,60),ROW()-1,FALSE))</f>
        <v>239877</v>
      </c>
      <c r="I101">
        <f ca="1">IF(AND(ISNUMBER($I$305),$B$208=1),$I$305,HLOOKUP(INDIRECT(ADDRESS(2,COLUMN())),OFFSET($BN$2,0,0,ROW()-1,60),ROW()-1,FALSE))</f>
        <v>242666</v>
      </c>
      <c r="J101">
        <f ca="1">IF(AND(ISNUMBER($J$305),$B$208=1),$J$305,HLOOKUP(INDIRECT(ADDRESS(2,COLUMN())),OFFSET($BN$2,0,0,ROW()-1,60),ROW()-1,FALSE))</f>
        <v>250152</v>
      </c>
      <c r="K101">
        <f ca="1">IF(AND(ISNUMBER($K$305),$B$208=1),$K$305,HLOOKUP(INDIRECT(ADDRESS(2,COLUMN())),OFFSET($BN$2,0,0,ROW()-1,60),ROW()-1,FALSE))</f>
        <v>251796</v>
      </c>
      <c r="L101">
        <f ca="1">IF(AND(ISNUMBER($L$305),$B$208=1),$L$305,HLOOKUP(INDIRECT(ADDRESS(2,COLUMN())),OFFSET($BN$2,0,0,ROW()-1,60),ROW()-1,FALSE))</f>
        <v>256167</v>
      </c>
      <c r="M101">
        <f ca="1">IF(AND(ISNUMBER($M$305),$B$208=1),$M$305,HLOOKUP(INDIRECT(ADDRESS(2,COLUMN())),OFFSET($BN$2,0,0,ROW()-1,60),ROW()-1,FALSE))</f>
        <v>263503</v>
      </c>
      <c r="N101">
        <f ca="1">IF(AND(ISNUMBER($N$305),$B$208=1),$N$305,HLOOKUP(INDIRECT(ADDRESS(2,COLUMN())),OFFSET($BN$2,0,0,ROW()-1,60),ROW()-1,FALSE))</f>
        <v>268751</v>
      </c>
      <c r="O101">
        <f ca="1">IF(AND(ISNUMBER($O$305),$B$208=1),$O$305,HLOOKUP(INDIRECT(ADDRESS(2,COLUMN())),OFFSET($BN$2,0,0,ROW()-1,60),ROW()-1,FALSE))</f>
        <v>269662</v>
      </c>
      <c r="P101">
        <f ca="1">IF(AND(ISNUMBER($P$305),$B$208=1),$P$305,HLOOKUP(INDIRECT(ADDRESS(2,COLUMN())),OFFSET($BN$2,0,0,ROW()-1,60),ROW()-1,FALSE))</f>
        <v>270994</v>
      </c>
      <c r="Q101">
        <f ca="1">IF(AND(ISNUMBER($Q$305),$B$208=1),$Q$305,HLOOKUP(INDIRECT(ADDRESS(2,COLUMN())),OFFSET($BN$2,0,0,ROW()-1,60),ROW()-1,FALSE))</f>
        <v>268788</v>
      </c>
      <c r="R101">
        <f ca="1">IF(AND(ISNUMBER($R$305),$B$208=1),$R$305,HLOOKUP(INDIRECT(ADDRESS(2,COLUMN())),OFFSET($BN$2,0,0,ROW()-1,60),ROW()-1,FALSE))</f>
        <v>272667</v>
      </c>
      <c r="S101">
        <f ca="1">IF(AND(ISNUMBER($S$305),$B$208=1),$S$305,HLOOKUP(INDIRECT(ADDRESS(2,COLUMN())),OFFSET($BN$2,0,0,ROW()-1,60),ROW()-1,FALSE))</f>
        <v>272484</v>
      </c>
      <c r="T101">
        <f ca="1">IF(AND(ISNUMBER($T$305),$B$208=1),$T$305,HLOOKUP(INDIRECT(ADDRESS(2,COLUMN())),OFFSET($BN$2,0,0,ROW()-1,60),ROW()-1,FALSE))</f>
        <v>271774</v>
      </c>
      <c r="U101">
        <f ca="1">IF(AND(ISNUMBER($U$305),$B$208=1),$U$305,HLOOKUP(INDIRECT(ADDRESS(2,COLUMN())),OFFSET($BN$2,0,0,ROW()-1,60),ROW()-1,FALSE))</f>
        <v>274220</v>
      </c>
      <c r="V101">
        <f ca="1">IF(AND(ISNUMBER($V$305),$B$208=1),$V$305,HLOOKUP(INDIRECT(ADDRESS(2,COLUMN())),OFFSET($BN$2,0,0,ROW()-1,60),ROW()-1,FALSE))</f>
        <v>269275</v>
      </c>
      <c r="W101">
        <f ca="1">IF(AND(ISNUMBER($W$305),$B$208=1),$W$305,HLOOKUP(INDIRECT(ADDRESS(2,COLUMN())),OFFSET($BN$2,0,0,ROW()-1,60),ROW()-1,FALSE))</f>
        <v>284475</v>
      </c>
      <c r="X101">
        <f ca="1">IF(AND(ISNUMBER($X$305),$B$208=1),$X$305,HLOOKUP(INDIRECT(ADDRESS(2,COLUMN())),OFFSET($BN$2,0,0,ROW()-1,60),ROW()-1,FALSE))</f>
        <v>211127</v>
      </c>
      <c r="Y101">
        <f ca="1">IF(AND(ISNUMBER($Y$305),$B$208=1),$Y$305,HLOOKUP(INDIRECT(ADDRESS(2,COLUMN())),OFFSET($BN$2,0,0,ROW()-1,60),ROW()-1,FALSE))</f>
        <v>200369</v>
      </c>
      <c r="Z101">
        <f ca="1">IF(AND(ISNUMBER($Z$305),$B$208=1),$Z$305,HLOOKUP(INDIRECT(ADDRESS(2,COLUMN())),OFFSET($BN$2,0,0,ROW()-1,60),ROW()-1,FALSE))</f>
        <v>197095</v>
      </c>
      <c r="AA101">
        <f ca="1">IF(AND(ISNUMBER($AA$305),$B$208=1),$AA$305,HLOOKUP(INDIRECT(ADDRESS(2,COLUMN())),OFFSET($BN$2,0,0,ROW()-1,60),ROW()-1,FALSE))</f>
        <v>197361</v>
      </c>
      <c r="AB101">
        <f ca="1">IF(AND(ISNUMBER($AB$305),$B$208=1),$AB$305,HLOOKUP(INDIRECT(ADDRESS(2,COLUMN())),OFFSET($BN$2,0,0,ROW()-1,60),ROW()-1,FALSE))</f>
        <v>195609</v>
      </c>
      <c r="AC101">
        <f ca="1">IF(AND(ISNUMBER($AC$305),$B$208=1),$AC$305,HLOOKUP(INDIRECT(ADDRESS(2,COLUMN())),OFFSET($BN$2,0,0,ROW()-1,60),ROW()-1,FALSE))</f>
        <v>197709</v>
      </c>
      <c r="AD101">
        <f ca="1">IF(AND(ISNUMBER($AD$305),$B$208=1),$AD$305,HLOOKUP(INDIRECT(ADDRESS(2,COLUMN())),OFFSET($BN$2,0,0,ROW()-1,60),ROW()-1,FALSE))</f>
        <v>198748</v>
      </c>
      <c r="AE101">
        <f ca="1">IF(AND(ISNUMBER($AE$305),$B$208=1),$AE$305,HLOOKUP(INDIRECT(ADDRESS(2,COLUMN())),OFFSET($BN$2,0,0,ROW()-1,60),ROW()-1,FALSE))</f>
        <v>195841</v>
      </c>
      <c r="AF101">
        <f ca="1">IF(AND(ISNUMBER($AF$305),$B$208=1),$AF$305,HLOOKUP(INDIRECT(ADDRESS(2,COLUMN())),OFFSET($BN$2,0,0,ROW()-1,60),ROW()-1,FALSE))</f>
        <v>196141</v>
      </c>
      <c r="AG101">
        <f ca="1">IF(AND(ISNUMBER($AG$305),$B$208=1),$AG$305,HLOOKUP(INDIRECT(ADDRESS(2,COLUMN())),OFFSET($BN$2,0,0,ROW()-1,60),ROW()-1,FALSE))</f>
        <v>196571</v>
      </c>
      <c r="AH101">
        <f ca="1">IF(AND(ISNUMBER($AH$305),$B$208=1),$AH$305,HLOOKUP(INDIRECT(ADDRESS(2,COLUMN())),OFFSET($BN$2,0,0,ROW()-1,60),ROW()-1,FALSE))</f>
        <v>195245</v>
      </c>
      <c r="AI101">
        <f ca="1">IF(AND(ISNUMBER($AI$305),$B$208=1),$AI$305,HLOOKUP(INDIRECT(ADDRESS(2,COLUMN())),OFFSET($BN$2,0,0,ROW()-1,60),ROW()-1,FALSE))</f>
        <v>191880</v>
      </c>
      <c r="AJ101">
        <f ca="1">IF(AND(ISNUMBER($AJ$305),$B$208=1),$AJ$305,HLOOKUP(INDIRECT(ADDRESS(2,COLUMN())),OFFSET($BN$2,0,0,ROW()-1,60),ROW()-1,FALSE))</f>
        <v>188906</v>
      </c>
      <c r="AK101" t="str">
        <f ca="1">IF(AND(ISNUMBER($AK$305),$B$208=1),$AK$305,HLOOKUP(INDIRECT(ADDRESS(2,COLUMN())),OFFSET($BN$2,0,0,ROW()-1,60),ROW()-1,FALSE))</f>
        <v/>
      </c>
      <c r="AL101">
        <f ca="1">IF(AND(ISNUMBER($AL$305),$B$208=1),$AL$305,HLOOKUP(INDIRECT(ADDRESS(2,COLUMN())),OFFSET($BN$2,0,0,ROW()-1,60),ROW()-1,FALSE))</f>
        <v>204576</v>
      </c>
      <c r="AM101" t="str">
        <f ca="1">IF(AND(ISNUMBER($AM$305),$B$208=1),$AM$305,HLOOKUP(INDIRECT(ADDRESS(2,COLUMN())),OFFSET($BN$2,0,0,ROW()-1,60),ROW()-1,FALSE))</f>
        <v/>
      </c>
      <c r="AN101" t="str">
        <f ca="1">IF(AND(ISNUMBER($AN$305),$B$208=1),$AN$305,HLOOKUP(INDIRECT(ADDRESS(2,COLUMN())),OFFSET($BN$2,0,0,ROW()-1,60),ROW()-1,FALSE))</f>
        <v/>
      </c>
      <c r="AO101" t="str">
        <f ca="1">IF(AND(ISNUMBER($AO$305),$B$208=1),$AO$305,HLOOKUP(INDIRECT(ADDRESS(2,COLUMN())),OFFSET($BN$2,0,0,ROW()-1,60),ROW()-1,FALSE))</f>
        <v/>
      </c>
      <c r="AP101">
        <f ca="1">IF(AND(ISNUMBER($AP$305),$B$208=1),$AP$305,HLOOKUP(INDIRECT(ADDRESS(2,COLUMN())),OFFSET($BN$2,0,0,ROW()-1,60),ROW()-1,FALSE))</f>
        <v>203034</v>
      </c>
      <c r="AQ101" t="str">
        <f ca="1">IF(AND(ISNUMBER($AQ$305),$B$208=1),$AQ$305,HLOOKUP(INDIRECT(ADDRESS(2,COLUMN())),OFFSET($BN$2,0,0,ROW()-1,60),ROW()-1,FALSE))</f>
        <v/>
      </c>
      <c r="AR101" t="str">
        <f ca="1">IF(AND(ISNUMBER($AR$305),$B$208=1),$AR$305,HLOOKUP(INDIRECT(ADDRESS(2,COLUMN())),OFFSET($BN$2,0,0,ROW()-1,60),ROW()-1,FALSE))</f>
        <v/>
      </c>
      <c r="AS101" t="str">
        <f ca="1">IF(AND(ISNUMBER($AS$305),$B$208=1),$AS$305,HLOOKUP(INDIRECT(ADDRESS(2,COLUMN())),OFFSET($BN$2,0,0,ROW()-1,60),ROW()-1,FALSE))</f>
        <v/>
      </c>
      <c r="AT101" t="str">
        <f ca="1">IF(AND(ISNUMBER($AT$305),$B$208=1),$AT$305,HLOOKUP(INDIRECT(ADDRESS(2,COLUMN())),OFFSET($BN$2,0,0,ROW()-1,60),ROW()-1,FALSE))</f>
        <v/>
      </c>
      <c r="AU101" t="str">
        <f ca="1">IF(AND(ISNUMBER($AU$305),$B$208=1),$AU$305,HLOOKUP(INDIRECT(ADDRESS(2,COLUMN())),OFFSET($BN$2,0,0,ROW()-1,60),ROW()-1,FALSE))</f>
        <v/>
      </c>
      <c r="AV101" t="str">
        <f ca="1">IF(AND(ISNUMBER($AV$305),$B$208=1),$AV$305,HLOOKUP(INDIRECT(ADDRESS(2,COLUMN())),OFFSET($BN$2,0,0,ROW()-1,60),ROW()-1,FALSE))</f>
        <v/>
      </c>
      <c r="AW101" t="str">
        <f ca="1">IF(AND(ISNUMBER($AW$305),$B$208=1),$AW$305,HLOOKUP(INDIRECT(ADDRESS(2,COLUMN())),OFFSET($BN$2,0,0,ROW()-1,60),ROW()-1,FALSE))</f>
        <v/>
      </c>
      <c r="AX101" t="str">
        <f ca="1">IF(AND(ISNUMBER($AX$305),$B$208=1),$AX$305,HLOOKUP(INDIRECT(ADDRESS(2,COLUMN())),OFFSET($BN$2,0,0,ROW()-1,60),ROW()-1,FALSE))</f>
        <v/>
      </c>
      <c r="AY101" t="str">
        <f ca="1">IF(AND(ISNUMBER($AY$305),$B$208=1),$AY$305,HLOOKUP(INDIRECT(ADDRESS(2,COLUMN())),OFFSET($BN$2,0,0,ROW()-1,60),ROW()-1,FALSE))</f>
        <v/>
      </c>
      <c r="AZ101" t="str">
        <f ca="1">IF(AND(ISNUMBER($AZ$305),$B$208=1),$AZ$305,HLOOKUP(INDIRECT(ADDRESS(2,COLUMN())),OFFSET($BN$2,0,0,ROW()-1,60),ROW()-1,FALSE))</f>
        <v/>
      </c>
      <c r="BA101" t="str">
        <f ca="1">IF(AND(ISNUMBER($BA$305),$B$208=1),$BA$305,HLOOKUP(INDIRECT(ADDRESS(2,COLUMN())),OFFSET($BN$2,0,0,ROW()-1,60),ROW()-1,FALSE))</f>
        <v/>
      </c>
      <c r="BB101" t="str">
        <f ca="1">IF(AND(ISNUMBER($BB$305),$B$208=1),$BB$305,HLOOKUP(INDIRECT(ADDRESS(2,COLUMN())),OFFSET($BN$2,0,0,ROW()-1,60),ROW()-1,FALSE))</f>
        <v/>
      </c>
      <c r="BC101" t="str">
        <f ca="1">IF(AND(ISNUMBER($BC$305),$B$208=1),$BC$305,HLOOKUP(INDIRECT(ADDRESS(2,COLUMN())),OFFSET($BN$2,0,0,ROW()-1,60),ROW()-1,FALSE))</f>
        <v/>
      </c>
      <c r="BD101" t="str">
        <f ca="1">IF(AND(ISNUMBER($BD$305),$B$208=1),$BD$305,HLOOKUP(INDIRECT(ADDRESS(2,COLUMN())),OFFSET($BN$2,0,0,ROW()-1,60),ROW()-1,FALSE))</f>
        <v/>
      </c>
      <c r="BE101" t="str">
        <f ca="1">IF(AND(ISNUMBER($BE$305),$B$208=1),$BE$305,HLOOKUP(INDIRECT(ADDRESS(2,COLUMN())),OFFSET($BN$2,0,0,ROW()-1,60),ROW()-1,FALSE))</f>
        <v/>
      </c>
      <c r="BF101" t="str">
        <f ca="1">IF(AND(ISNUMBER($BF$305),$B$208=1),$BF$305,HLOOKUP(INDIRECT(ADDRESS(2,COLUMN())),OFFSET($BN$2,0,0,ROW()-1,60),ROW()-1,FALSE))</f>
        <v/>
      </c>
      <c r="BG101" t="str">
        <f ca="1">IF(AND(ISNUMBER($BG$305),$B$208=1),$BG$305,HLOOKUP(INDIRECT(ADDRESS(2,COLUMN())),OFFSET($BN$2,0,0,ROW()-1,60),ROW()-1,FALSE))</f>
        <v/>
      </c>
      <c r="BH101" t="str">
        <f ca="1">IF(AND(ISNUMBER($BH$305),$B$208=1),$BH$305,HLOOKUP(INDIRECT(ADDRESS(2,COLUMN())),OFFSET($BN$2,0,0,ROW()-1,60),ROW()-1,FALSE))</f>
        <v/>
      </c>
      <c r="BI101" t="str">
        <f ca="1">IF(AND(ISNUMBER($BI$305),$B$208=1),$BI$305,HLOOKUP(INDIRECT(ADDRESS(2,COLUMN())),OFFSET($BN$2,0,0,ROW()-1,60),ROW()-1,FALSE))</f>
        <v/>
      </c>
      <c r="BJ101" t="str">
        <f ca="1">IF(AND(ISNUMBER($BJ$305),$B$208=1),$BJ$305,HLOOKUP(INDIRECT(ADDRESS(2,COLUMN())),OFFSET($BN$2,0,0,ROW()-1,60),ROW()-1,FALSE))</f>
        <v/>
      </c>
      <c r="BK101" t="str">
        <f ca="1">IF(AND(ISNUMBER($BK$305),$B$208=1),$BK$305,HLOOKUP(INDIRECT(ADDRESS(2,COLUMN())),OFFSET($BN$2,0,0,ROW()-1,60),ROW()-1,FALSE))</f>
        <v/>
      </c>
      <c r="BL101" t="str">
        <f ca="1">IF(AND(ISNUMBER($BL$305),$B$208=1),$BL$305,HLOOKUP(INDIRECT(ADDRESS(2,COLUMN())),OFFSET($BN$2,0,0,ROW()-1,60),ROW()-1,FALSE))</f>
        <v/>
      </c>
      <c r="BM101" t="str">
        <f ca="1">IF(AND(ISNUMBER($BM$305),$B$208=1),$BM$305,HLOOKUP(INDIRECT(ADDRESS(2,COLUMN())),OFFSET($BN$2,0,0,ROW()-1,60),ROW()-1,FALSE))</f>
        <v/>
      </c>
      <c r="BN101" t="str">
        <f>""</f>
        <v/>
      </c>
      <c r="BO101">
        <f>237982</f>
        <v>237982</v>
      </c>
      <c r="BP101">
        <f>239877</f>
        <v>239877</v>
      </c>
      <c r="BQ101">
        <f>242666</f>
        <v>242666</v>
      </c>
      <c r="BR101">
        <f>250152</f>
        <v>250152</v>
      </c>
      <c r="BS101">
        <f>251796</f>
        <v>251796</v>
      </c>
      <c r="BT101">
        <f>256167</f>
        <v>256167</v>
      </c>
      <c r="BU101">
        <f>263503</f>
        <v>263503</v>
      </c>
      <c r="BV101">
        <f>268751</f>
        <v>268751</v>
      </c>
      <c r="BW101">
        <f>269662</f>
        <v>269662</v>
      </c>
      <c r="BX101">
        <f>270994</f>
        <v>270994</v>
      </c>
      <c r="BY101">
        <f>268788</f>
        <v>268788</v>
      </c>
      <c r="BZ101">
        <f>272667</f>
        <v>272667</v>
      </c>
      <c r="CA101">
        <f>272484</f>
        <v>272484</v>
      </c>
      <c r="CB101">
        <f>271774</f>
        <v>271774</v>
      </c>
      <c r="CC101">
        <f>274220</f>
        <v>274220</v>
      </c>
      <c r="CD101">
        <f>269275</f>
        <v>269275</v>
      </c>
      <c r="CE101">
        <f>284475</f>
        <v>284475</v>
      </c>
      <c r="CF101">
        <f>211127</f>
        <v>211127</v>
      </c>
      <c r="CG101">
        <f>200369</f>
        <v>200369</v>
      </c>
      <c r="CH101">
        <f>197095</f>
        <v>197095</v>
      </c>
      <c r="CI101">
        <f>197361</f>
        <v>197361</v>
      </c>
      <c r="CJ101">
        <f>195609</f>
        <v>195609</v>
      </c>
      <c r="CK101">
        <f>197709</f>
        <v>197709</v>
      </c>
      <c r="CL101">
        <f>198748</f>
        <v>198748</v>
      </c>
      <c r="CM101">
        <f>195841</f>
        <v>195841</v>
      </c>
      <c r="CN101">
        <f>196141</f>
        <v>196141</v>
      </c>
      <c r="CO101">
        <f>196571</f>
        <v>196571</v>
      </c>
      <c r="CP101">
        <f>195245</f>
        <v>195245</v>
      </c>
      <c r="CQ101">
        <f>191880</f>
        <v>191880</v>
      </c>
      <c r="CR101">
        <f>188906</f>
        <v>188906</v>
      </c>
      <c r="CS101" t="str">
        <f>""</f>
        <v/>
      </c>
      <c r="CT101">
        <f>204576</f>
        <v>204576</v>
      </c>
      <c r="CU101" t="str">
        <f>""</f>
        <v/>
      </c>
      <c r="CV101" t="str">
        <f>""</f>
        <v/>
      </c>
      <c r="CW101" t="str">
        <f>""</f>
        <v/>
      </c>
      <c r="CX101">
        <f>203034</f>
        <v>203034</v>
      </c>
      <c r="CY101" t="str">
        <f>""</f>
        <v/>
      </c>
      <c r="CZ101" t="str">
        <f>""</f>
        <v/>
      </c>
      <c r="DA101" t="str">
        <f>""</f>
        <v/>
      </c>
      <c r="DB101" t="str">
        <f>""</f>
        <v/>
      </c>
      <c r="DC101" t="str">
        <f>""</f>
        <v/>
      </c>
      <c r="DD101" t="str">
        <f>""</f>
        <v/>
      </c>
      <c r="DE101" t="str">
        <f>""</f>
        <v/>
      </c>
      <c r="DF101" t="str">
        <f>""</f>
        <v/>
      </c>
      <c r="DG101" t="str">
        <f>""</f>
        <v/>
      </c>
      <c r="DH101" t="str">
        <f>""</f>
        <v/>
      </c>
      <c r="DI101" t="str">
        <f>""</f>
        <v/>
      </c>
      <c r="DJ101" t="str">
        <f>""</f>
        <v/>
      </c>
      <c r="DK101" t="str">
        <f>""</f>
        <v/>
      </c>
      <c r="DL101" t="str">
        <f>""</f>
        <v/>
      </c>
      <c r="DM101" t="str">
        <f>""</f>
        <v/>
      </c>
      <c r="DN101" t="str">
        <f>""</f>
        <v/>
      </c>
      <c r="DO101" t="str">
        <f>""</f>
        <v/>
      </c>
      <c r="DP101" t="str">
        <f>""</f>
        <v/>
      </c>
      <c r="DQ101" t="str">
        <f>""</f>
        <v/>
      </c>
      <c r="DR101" t="str">
        <f>""</f>
        <v/>
      </c>
      <c r="DS101" t="str">
        <f>""</f>
        <v/>
      </c>
      <c r="DT101" t="str">
        <f>""</f>
        <v/>
      </c>
      <c r="DU101" t="str">
        <f>""</f>
        <v/>
      </c>
    </row>
    <row r="102" spans="1:125" x14ac:dyDescent="0.25">
      <c r="A102" t="str">
        <f>"    Jyske Bank A/S"</f>
        <v xml:space="preserve">    Jyske Bank A/S</v>
      </c>
      <c r="B102" t="str">
        <f>"JYSK DC Equity"</f>
        <v>JYSK DC Equity</v>
      </c>
      <c r="C102" t="str">
        <f t="shared" si="6"/>
        <v>BS017</v>
      </c>
      <c r="D102" t="str">
        <f t="shared" si="7"/>
        <v>BS_CONS_LOAN</v>
      </c>
      <c r="E102" t="str">
        <f t="shared" si="8"/>
        <v>Dynamic</v>
      </c>
      <c r="F102" t="str">
        <f ca="1">IF(AND(ISNUMBER($F$306),$B$208=1),$F$306,HLOOKUP(INDIRECT(ADDRESS(2,COLUMN())),OFFSET($BN$2,0,0,ROW()-1,60),ROW()-1,FALSE))</f>
        <v/>
      </c>
      <c r="G102">
        <f ca="1">IF(AND(ISNUMBER($G$306),$B$208=1),$G$306,HLOOKUP(INDIRECT(ADDRESS(2,COLUMN())),OFFSET($BN$2,0,0,ROW()-1,60),ROW()-1,FALSE))</f>
        <v>52289.092579999997</v>
      </c>
      <c r="H102">
        <f ca="1">IF(AND(ISNUMBER($H$306),$B$208=1),$H$306,HLOOKUP(INDIRECT(ADDRESS(2,COLUMN())),OFFSET($BN$2,0,0,ROW()-1,60),ROW()-1,FALSE))</f>
        <v>51225.084629999998</v>
      </c>
      <c r="I102" t="str">
        <f ca="1">IF(AND(ISNUMBER($I$306),$B$208=1),$I$306,HLOOKUP(INDIRECT(ADDRESS(2,COLUMN())),OFFSET($BN$2,0,0,ROW()-1,60),ROW()-1,FALSE))</f>
        <v/>
      </c>
      <c r="J102" t="str">
        <f ca="1">IF(AND(ISNUMBER($J$306),$B$208=1),$J$306,HLOOKUP(INDIRECT(ADDRESS(2,COLUMN())),OFFSET($BN$2,0,0,ROW()-1,60),ROW()-1,FALSE))</f>
        <v/>
      </c>
      <c r="K102">
        <f ca="1">IF(AND(ISNUMBER($K$306),$B$208=1),$K$306,HLOOKUP(INDIRECT(ADDRESS(2,COLUMN())),OFFSET($BN$2,0,0,ROW()-1,60),ROW()-1,FALSE))</f>
        <v>49155.037620000003</v>
      </c>
      <c r="L102">
        <f ca="1">IF(AND(ISNUMBER($L$306),$B$208=1),$L$306,HLOOKUP(INDIRECT(ADDRESS(2,COLUMN())),OFFSET($BN$2,0,0,ROW()-1,60),ROW()-1,FALSE))</f>
        <v>49377.358500000002</v>
      </c>
      <c r="M102" t="str">
        <f ca="1">IF(AND(ISNUMBER($M$306),$B$208=1),$M$306,HLOOKUP(INDIRECT(ADDRESS(2,COLUMN())),OFFSET($BN$2,0,0,ROW()-1,60),ROW()-1,FALSE))</f>
        <v/>
      </c>
      <c r="N102" t="str">
        <f ca="1">IF(AND(ISNUMBER($N$306),$B$208=1),$N$306,HLOOKUP(INDIRECT(ADDRESS(2,COLUMN())),OFFSET($BN$2,0,0,ROW()-1,60),ROW()-1,FALSE))</f>
        <v/>
      </c>
      <c r="O102" t="str">
        <f ca="1">IF(AND(ISNUMBER($O$306),$B$208=1),$O$306,HLOOKUP(INDIRECT(ADDRESS(2,COLUMN())),OFFSET($BN$2,0,0,ROW()-1,60),ROW()-1,FALSE))</f>
        <v/>
      </c>
      <c r="P102" t="str">
        <f ca="1">IF(AND(ISNUMBER($P$306),$B$208=1),$P$306,HLOOKUP(INDIRECT(ADDRESS(2,COLUMN())),OFFSET($BN$2,0,0,ROW()-1,60),ROW()-1,FALSE))</f>
        <v/>
      </c>
      <c r="Q102" t="str">
        <f ca="1">IF(AND(ISNUMBER($Q$306),$B$208=1),$Q$306,HLOOKUP(INDIRECT(ADDRESS(2,COLUMN())),OFFSET($BN$2,0,0,ROW()-1,60),ROW()-1,FALSE))</f>
        <v/>
      </c>
      <c r="R102" t="str">
        <f ca="1">IF(AND(ISNUMBER($R$306),$B$208=1),$R$306,HLOOKUP(INDIRECT(ADDRESS(2,COLUMN())),OFFSET($BN$2,0,0,ROW()-1,60),ROW()-1,FALSE))</f>
        <v/>
      </c>
      <c r="S102" t="str">
        <f ca="1">IF(AND(ISNUMBER($S$306),$B$208=1),$S$306,HLOOKUP(INDIRECT(ADDRESS(2,COLUMN())),OFFSET($BN$2,0,0,ROW()-1,60),ROW()-1,FALSE))</f>
        <v/>
      </c>
      <c r="T102" t="str">
        <f ca="1">IF(AND(ISNUMBER($T$306),$B$208=1),$T$306,HLOOKUP(INDIRECT(ADDRESS(2,COLUMN())),OFFSET($BN$2,0,0,ROW()-1,60),ROW()-1,FALSE))</f>
        <v/>
      </c>
      <c r="U102" t="str">
        <f ca="1">IF(AND(ISNUMBER($U$306),$B$208=1),$U$306,HLOOKUP(INDIRECT(ADDRESS(2,COLUMN())),OFFSET($BN$2,0,0,ROW()-1,60),ROW()-1,FALSE))</f>
        <v/>
      </c>
      <c r="V102" t="str">
        <f ca="1">IF(AND(ISNUMBER($V$306),$B$208=1),$V$306,HLOOKUP(INDIRECT(ADDRESS(2,COLUMN())),OFFSET($BN$2,0,0,ROW()-1,60),ROW()-1,FALSE))</f>
        <v/>
      </c>
      <c r="W102" t="str">
        <f ca="1">IF(AND(ISNUMBER($W$306),$B$208=1),$W$306,HLOOKUP(INDIRECT(ADDRESS(2,COLUMN())),OFFSET($BN$2,0,0,ROW()-1,60),ROW()-1,FALSE))</f>
        <v/>
      </c>
      <c r="X102" t="str">
        <f ca="1">IF(AND(ISNUMBER($X$306),$B$208=1),$X$306,HLOOKUP(INDIRECT(ADDRESS(2,COLUMN())),OFFSET($BN$2,0,0,ROW()-1,60),ROW()-1,FALSE))</f>
        <v/>
      </c>
      <c r="Y102" t="str">
        <f ca="1">IF(AND(ISNUMBER($Y$306),$B$208=1),$Y$306,HLOOKUP(INDIRECT(ADDRESS(2,COLUMN())),OFFSET($BN$2,0,0,ROW()-1,60),ROW()-1,FALSE))</f>
        <v/>
      </c>
      <c r="Z102" t="str">
        <f ca="1">IF(AND(ISNUMBER($Z$306),$B$208=1),$Z$306,HLOOKUP(INDIRECT(ADDRESS(2,COLUMN())),OFFSET($BN$2,0,0,ROW()-1,60),ROW()-1,FALSE))</f>
        <v/>
      </c>
      <c r="AA102" t="str">
        <f ca="1">IF(AND(ISNUMBER($AA$306),$B$208=1),$AA$306,HLOOKUP(INDIRECT(ADDRESS(2,COLUMN())),OFFSET($BN$2,0,0,ROW()-1,60),ROW()-1,FALSE))</f>
        <v/>
      </c>
      <c r="AB102" t="str">
        <f ca="1">IF(AND(ISNUMBER($AB$306),$B$208=1),$AB$306,HLOOKUP(INDIRECT(ADDRESS(2,COLUMN())),OFFSET($BN$2,0,0,ROW()-1,60),ROW()-1,FALSE))</f>
        <v/>
      </c>
      <c r="AC102" t="str">
        <f ca="1">IF(AND(ISNUMBER($AC$306),$B$208=1),$AC$306,HLOOKUP(INDIRECT(ADDRESS(2,COLUMN())),OFFSET($BN$2,0,0,ROW()-1,60),ROW()-1,FALSE))</f>
        <v/>
      </c>
      <c r="AD102" t="str">
        <f ca="1">IF(AND(ISNUMBER($AD$306),$B$208=1),$AD$306,HLOOKUP(INDIRECT(ADDRESS(2,COLUMN())),OFFSET($BN$2,0,0,ROW()-1,60),ROW()-1,FALSE))</f>
        <v/>
      </c>
      <c r="AE102" t="str">
        <f ca="1">IF(AND(ISNUMBER($AE$306),$B$208=1),$AE$306,HLOOKUP(INDIRECT(ADDRESS(2,COLUMN())),OFFSET($BN$2,0,0,ROW()-1,60),ROW()-1,FALSE))</f>
        <v/>
      </c>
      <c r="AF102" t="str">
        <f ca="1">IF(AND(ISNUMBER($AF$306),$B$208=1),$AF$306,HLOOKUP(INDIRECT(ADDRESS(2,COLUMN())),OFFSET($BN$2,0,0,ROW()-1,60),ROW()-1,FALSE))</f>
        <v/>
      </c>
      <c r="AG102" t="str">
        <f ca="1">IF(AND(ISNUMBER($AG$306),$B$208=1),$AG$306,HLOOKUP(INDIRECT(ADDRESS(2,COLUMN())),OFFSET($BN$2,0,0,ROW()-1,60),ROW()-1,FALSE))</f>
        <v/>
      </c>
      <c r="AH102" t="str">
        <f ca="1">IF(AND(ISNUMBER($AH$306),$B$208=1),$AH$306,HLOOKUP(INDIRECT(ADDRESS(2,COLUMN())),OFFSET($BN$2,0,0,ROW()-1,60),ROW()-1,FALSE))</f>
        <v/>
      </c>
      <c r="AI102" t="str">
        <f ca="1">IF(AND(ISNUMBER($AI$306),$B$208=1),$AI$306,HLOOKUP(INDIRECT(ADDRESS(2,COLUMN())),OFFSET($BN$2,0,0,ROW()-1,60),ROW()-1,FALSE))</f>
        <v/>
      </c>
      <c r="AJ102" t="str">
        <f ca="1">IF(AND(ISNUMBER($AJ$306),$B$208=1),$AJ$306,HLOOKUP(INDIRECT(ADDRESS(2,COLUMN())),OFFSET($BN$2,0,0,ROW()-1,60),ROW()-1,FALSE))</f>
        <v/>
      </c>
      <c r="AK102" t="str">
        <f ca="1">IF(AND(ISNUMBER($AK$306),$B$208=1),$AK$306,HLOOKUP(INDIRECT(ADDRESS(2,COLUMN())),OFFSET($BN$2,0,0,ROW()-1,60),ROW()-1,FALSE))</f>
        <v/>
      </c>
      <c r="AL102" t="str">
        <f ca="1">IF(AND(ISNUMBER($AL$306),$B$208=1),$AL$306,HLOOKUP(INDIRECT(ADDRESS(2,COLUMN())),OFFSET($BN$2,0,0,ROW()-1,60),ROW()-1,FALSE))</f>
        <v/>
      </c>
      <c r="AM102" t="str">
        <f ca="1">IF(AND(ISNUMBER($AM$306),$B$208=1),$AM$306,HLOOKUP(INDIRECT(ADDRESS(2,COLUMN())),OFFSET($BN$2,0,0,ROW()-1,60),ROW()-1,FALSE))</f>
        <v/>
      </c>
      <c r="AN102" t="str">
        <f ca="1">IF(AND(ISNUMBER($AN$306),$B$208=1),$AN$306,HLOOKUP(INDIRECT(ADDRESS(2,COLUMN())),OFFSET($BN$2,0,0,ROW()-1,60),ROW()-1,FALSE))</f>
        <v/>
      </c>
      <c r="AO102" t="str">
        <f ca="1">IF(AND(ISNUMBER($AO$306),$B$208=1),$AO$306,HLOOKUP(INDIRECT(ADDRESS(2,COLUMN())),OFFSET($BN$2,0,0,ROW()-1,60),ROW()-1,FALSE))</f>
        <v/>
      </c>
      <c r="AP102" t="str">
        <f ca="1">IF(AND(ISNUMBER($AP$306),$B$208=1),$AP$306,HLOOKUP(INDIRECT(ADDRESS(2,COLUMN())),OFFSET($BN$2,0,0,ROW()-1,60),ROW()-1,FALSE))</f>
        <v/>
      </c>
      <c r="AQ102" t="str">
        <f ca="1">IF(AND(ISNUMBER($AQ$306),$B$208=1),$AQ$306,HLOOKUP(INDIRECT(ADDRESS(2,COLUMN())),OFFSET($BN$2,0,0,ROW()-1,60),ROW()-1,FALSE))</f>
        <v/>
      </c>
      <c r="AR102" t="str">
        <f ca="1">IF(AND(ISNUMBER($AR$306),$B$208=1),$AR$306,HLOOKUP(INDIRECT(ADDRESS(2,COLUMN())),OFFSET($BN$2,0,0,ROW()-1,60),ROW()-1,FALSE))</f>
        <v/>
      </c>
      <c r="AS102" t="str">
        <f ca="1">IF(AND(ISNUMBER($AS$306),$B$208=1),$AS$306,HLOOKUP(INDIRECT(ADDRESS(2,COLUMN())),OFFSET($BN$2,0,0,ROW()-1,60),ROW()-1,FALSE))</f>
        <v/>
      </c>
      <c r="AT102" t="str">
        <f ca="1">IF(AND(ISNUMBER($AT$306),$B$208=1),$AT$306,HLOOKUP(INDIRECT(ADDRESS(2,COLUMN())),OFFSET($BN$2,0,0,ROW()-1,60),ROW()-1,FALSE))</f>
        <v/>
      </c>
      <c r="AU102" t="str">
        <f ca="1">IF(AND(ISNUMBER($AU$306),$B$208=1),$AU$306,HLOOKUP(INDIRECT(ADDRESS(2,COLUMN())),OFFSET($BN$2,0,0,ROW()-1,60),ROW()-1,FALSE))</f>
        <v/>
      </c>
      <c r="AV102" t="str">
        <f ca="1">IF(AND(ISNUMBER($AV$306),$B$208=1),$AV$306,HLOOKUP(INDIRECT(ADDRESS(2,COLUMN())),OFFSET($BN$2,0,0,ROW()-1,60),ROW()-1,FALSE))</f>
        <v/>
      </c>
      <c r="AW102" t="str">
        <f ca="1">IF(AND(ISNUMBER($AW$306),$B$208=1),$AW$306,HLOOKUP(INDIRECT(ADDRESS(2,COLUMN())),OFFSET($BN$2,0,0,ROW()-1,60),ROW()-1,FALSE))</f>
        <v/>
      </c>
      <c r="AX102" t="str">
        <f ca="1">IF(AND(ISNUMBER($AX$306),$B$208=1),$AX$306,HLOOKUP(INDIRECT(ADDRESS(2,COLUMN())),OFFSET($BN$2,0,0,ROW()-1,60),ROW()-1,FALSE))</f>
        <v/>
      </c>
      <c r="AY102" t="str">
        <f ca="1">IF(AND(ISNUMBER($AY$306),$B$208=1),$AY$306,HLOOKUP(INDIRECT(ADDRESS(2,COLUMN())),OFFSET($BN$2,0,0,ROW()-1,60),ROW()-1,FALSE))</f>
        <v/>
      </c>
      <c r="AZ102" t="str">
        <f ca="1">IF(AND(ISNUMBER($AZ$306),$B$208=1),$AZ$306,HLOOKUP(INDIRECT(ADDRESS(2,COLUMN())),OFFSET($BN$2,0,0,ROW()-1,60),ROW()-1,FALSE))</f>
        <v/>
      </c>
      <c r="BA102" t="str">
        <f ca="1">IF(AND(ISNUMBER($BA$306),$B$208=1),$BA$306,HLOOKUP(INDIRECT(ADDRESS(2,COLUMN())),OFFSET($BN$2,0,0,ROW()-1,60),ROW()-1,FALSE))</f>
        <v/>
      </c>
      <c r="BB102" t="str">
        <f ca="1">IF(AND(ISNUMBER($BB$306),$B$208=1),$BB$306,HLOOKUP(INDIRECT(ADDRESS(2,COLUMN())),OFFSET($BN$2,0,0,ROW()-1,60),ROW()-1,FALSE))</f>
        <v/>
      </c>
      <c r="BC102" t="str">
        <f ca="1">IF(AND(ISNUMBER($BC$306),$B$208=1),$BC$306,HLOOKUP(INDIRECT(ADDRESS(2,COLUMN())),OFFSET($BN$2,0,0,ROW()-1,60),ROW()-1,FALSE))</f>
        <v/>
      </c>
      <c r="BD102" t="str">
        <f ca="1">IF(AND(ISNUMBER($BD$306),$B$208=1),$BD$306,HLOOKUP(INDIRECT(ADDRESS(2,COLUMN())),OFFSET($BN$2,0,0,ROW()-1,60),ROW()-1,FALSE))</f>
        <v/>
      </c>
      <c r="BE102" t="str">
        <f ca="1">IF(AND(ISNUMBER($BE$306),$B$208=1),$BE$306,HLOOKUP(INDIRECT(ADDRESS(2,COLUMN())),OFFSET($BN$2,0,0,ROW()-1,60),ROW()-1,FALSE))</f>
        <v/>
      </c>
      <c r="BF102" t="str">
        <f ca="1">IF(AND(ISNUMBER($BF$306),$B$208=1),$BF$306,HLOOKUP(INDIRECT(ADDRESS(2,COLUMN())),OFFSET($BN$2,0,0,ROW()-1,60),ROW()-1,FALSE))</f>
        <v/>
      </c>
      <c r="BG102" t="str">
        <f ca="1">IF(AND(ISNUMBER($BG$306),$B$208=1),$BG$306,HLOOKUP(INDIRECT(ADDRESS(2,COLUMN())),OFFSET($BN$2,0,0,ROW()-1,60),ROW()-1,FALSE))</f>
        <v/>
      </c>
      <c r="BH102" t="str">
        <f ca="1">IF(AND(ISNUMBER($BH$306),$B$208=1),$BH$306,HLOOKUP(INDIRECT(ADDRESS(2,COLUMN())),OFFSET($BN$2,0,0,ROW()-1,60),ROW()-1,FALSE))</f>
        <v/>
      </c>
      <c r="BI102" t="str">
        <f ca="1">IF(AND(ISNUMBER($BI$306),$B$208=1),$BI$306,HLOOKUP(INDIRECT(ADDRESS(2,COLUMN())),OFFSET($BN$2,0,0,ROW()-1,60),ROW()-1,FALSE))</f>
        <v/>
      </c>
      <c r="BJ102" t="str">
        <f ca="1">IF(AND(ISNUMBER($BJ$306),$B$208=1),$BJ$306,HLOOKUP(INDIRECT(ADDRESS(2,COLUMN())),OFFSET($BN$2,0,0,ROW()-1,60),ROW()-1,FALSE))</f>
        <v/>
      </c>
      <c r="BK102" t="str">
        <f ca="1">IF(AND(ISNUMBER($BK$306),$B$208=1),$BK$306,HLOOKUP(INDIRECT(ADDRESS(2,COLUMN())),OFFSET($BN$2,0,0,ROW()-1,60),ROW()-1,FALSE))</f>
        <v/>
      </c>
      <c r="BL102" t="str">
        <f ca="1">IF(AND(ISNUMBER($BL$306),$B$208=1),$BL$306,HLOOKUP(INDIRECT(ADDRESS(2,COLUMN())),OFFSET($BN$2,0,0,ROW()-1,60),ROW()-1,FALSE))</f>
        <v/>
      </c>
      <c r="BM102" t="str">
        <f ca="1">IF(AND(ISNUMBER($BM$306),$B$208=1),$BM$306,HLOOKUP(INDIRECT(ADDRESS(2,COLUMN())),OFFSET($BN$2,0,0,ROW()-1,60),ROW()-1,FALSE))</f>
        <v/>
      </c>
      <c r="BN102" t="str">
        <f>""</f>
        <v/>
      </c>
      <c r="BO102">
        <f>52289.09258</f>
        <v>52289.092579999997</v>
      </c>
      <c r="BP102">
        <f>51225.08463</f>
        <v>51225.084629999998</v>
      </c>
      <c r="BQ102" t="str">
        <f>""</f>
        <v/>
      </c>
      <c r="BR102" t="str">
        <f>""</f>
        <v/>
      </c>
      <c r="BS102">
        <f>49155.03762</f>
        <v>49155.037620000003</v>
      </c>
      <c r="BT102">
        <f>49377.3585</f>
        <v>49377.358500000002</v>
      </c>
      <c r="BU102" t="str">
        <f>""</f>
        <v/>
      </c>
      <c r="BV102" t="str">
        <f>""</f>
        <v/>
      </c>
      <c r="BW102" t="str">
        <f>""</f>
        <v/>
      </c>
      <c r="BX102" t="str">
        <f>""</f>
        <v/>
      </c>
      <c r="BY102" t="str">
        <f>""</f>
        <v/>
      </c>
      <c r="BZ102" t="str">
        <f>""</f>
        <v/>
      </c>
      <c r="CA102" t="str">
        <f>""</f>
        <v/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 t="str">
        <f>""</f>
        <v/>
      </c>
      <c r="CG102" t="str">
        <f>""</f>
        <v/>
      </c>
      <c r="CH102" t="str">
        <f>""</f>
        <v/>
      </c>
      <c r="CI102" t="str">
        <f>""</f>
        <v/>
      </c>
      <c r="CJ102" t="str">
        <f>""</f>
        <v/>
      </c>
      <c r="CK102" t="str">
        <f>""</f>
        <v/>
      </c>
      <c r="CL102" t="str">
        <f>""</f>
        <v/>
      </c>
      <c r="CM102" t="str">
        <f>""</f>
        <v/>
      </c>
      <c r="CN102" t="str">
        <f>""</f>
        <v/>
      </c>
      <c r="CO102" t="str">
        <f>""</f>
        <v/>
      </c>
      <c r="CP102" t="str">
        <f>""</f>
        <v/>
      </c>
      <c r="CQ102" t="str">
        <f>""</f>
        <v/>
      </c>
      <c r="CR102" t="str">
        <f>""</f>
        <v/>
      </c>
      <c r="CS102" t="str">
        <f>""</f>
        <v/>
      </c>
      <c r="CT102" t="str">
        <f>""</f>
        <v/>
      </c>
      <c r="CU102" t="str">
        <f>""</f>
        <v/>
      </c>
      <c r="CV102" t="str">
        <f>""</f>
        <v/>
      </c>
      <c r="CW102" t="str">
        <f>""</f>
        <v/>
      </c>
      <c r="CX102" t="str">
        <f>""</f>
        <v/>
      </c>
      <c r="CY102" t="str">
        <f>""</f>
        <v/>
      </c>
      <c r="CZ102" t="str">
        <f>""</f>
        <v/>
      </c>
      <c r="DA102" t="str">
        <f>""</f>
        <v/>
      </c>
      <c r="DB102" t="str">
        <f>""</f>
        <v/>
      </c>
      <c r="DC102" t="str">
        <f>""</f>
        <v/>
      </c>
      <c r="DD102" t="str">
        <f>""</f>
        <v/>
      </c>
      <c r="DE102" t="str">
        <f>""</f>
        <v/>
      </c>
      <c r="DF102" t="str">
        <f>""</f>
        <v/>
      </c>
      <c r="DG102" t="str">
        <f>""</f>
        <v/>
      </c>
      <c r="DH102" t="str">
        <f>""</f>
        <v/>
      </c>
      <c r="DI102" t="str">
        <f>""</f>
        <v/>
      </c>
      <c r="DJ102" t="str">
        <f>""</f>
        <v/>
      </c>
      <c r="DK102" t="str">
        <f>""</f>
        <v/>
      </c>
      <c r="DL102" t="str">
        <f>""</f>
        <v/>
      </c>
      <c r="DM102" t="str">
        <f>""</f>
        <v/>
      </c>
      <c r="DN102" t="str">
        <f>""</f>
        <v/>
      </c>
      <c r="DO102" t="str">
        <f>""</f>
        <v/>
      </c>
      <c r="DP102" t="str">
        <f>""</f>
        <v/>
      </c>
      <c r="DQ102" t="str">
        <f>""</f>
        <v/>
      </c>
      <c r="DR102" t="str">
        <f>""</f>
        <v/>
      </c>
      <c r="DS102" t="str">
        <f>""</f>
        <v/>
      </c>
      <c r="DT102" t="str">
        <f>""</f>
        <v/>
      </c>
      <c r="DU102" t="str">
        <f>""</f>
        <v/>
      </c>
    </row>
    <row r="103" spans="1:125" x14ac:dyDescent="0.25">
      <c r="A103" t="str">
        <f>"    KBC Group NV"</f>
        <v xml:space="preserve">    KBC Group NV</v>
      </c>
      <c r="B103" t="str">
        <f>"KBC BB Equity"</f>
        <v>KBC BB Equity</v>
      </c>
      <c r="C103" t="str">
        <f t="shared" si="6"/>
        <v>BS017</v>
      </c>
      <c r="D103" t="str">
        <f t="shared" si="7"/>
        <v>BS_CONS_LOAN</v>
      </c>
      <c r="E103" t="str">
        <f t="shared" si="8"/>
        <v>Dynamic</v>
      </c>
      <c r="F103">
        <f ca="1">IF(AND(ISNUMBER($F$307),$B$208=1),$F$307,HLOOKUP(INDIRECT(ADDRESS(2,COLUMN())),OFFSET($BN$2,0,0,ROW()-1,60),ROW()-1,FALSE))</f>
        <v>86953</v>
      </c>
      <c r="G103">
        <f ca="1">IF(AND(ISNUMBER($G$307),$B$208=1),$G$307,HLOOKUP(INDIRECT(ADDRESS(2,COLUMN())),OFFSET($BN$2,0,0,ROW()-1,60),ROW()-1,FALSE))</f>
        <v>85332</v>
      </c>
      <c r="H103">
        <f ca="1">IF(AND(ISNUMBER($H$307),$B$208=1),$H$307,HLOOKUP(INDIRECT(ADDRESS(2,COLUMN())),OFFSET($BN$2,0,0,ROW()-1,60),ROW()-1,FALSE))</f>
        <v>85652</v>
      </c>
      <c r="I103">
        <f ca="1">IF(AND(ISNUMBER($I$307),$B$208=1),$I$307,HLOOKUP(INDIRECT(ADDRESS(2,COLUMN())),OFFSET($BN$2,0,0,ROW()-1,60),ROW()-1,FALSE))</f>
        <v>84290</v>
      </c>
      <c r="J103">
        <f ca="1">IF(AND(ISNUMBER($J$307),$B$208=1),$J$307,HLOOKUP(INDIRECT(ADDRESS(2,COLUMN())),OFFSET($BN$2,0,0,ROW()-1,60),ROW()-1,FALSE))</f>
        <v>84538</v>
      </c>
      <c r="K103">
        <f ca="1">IF(AND(ISNUMBER($K$307),$B$208=1),$K$307,HLOOKUP(INDIRECT(ADDRESS(2,COLUMN())),OFFSET($BN$2,0,0,ROW()-1,60),ROW()-1,FALSE))</f>
        <v>83920</v>
      </c>
      <c r="L103">
        <f ca="1">IF(AND(ISNUMBER($L$307),$B$208=1),$L$307,HLOOKUP(INDIRECT(ADDRESS(2,COLUMN())),OFFSET($BN$2,0,0,ROW()-1,60),ROW()-1,FALSE))</f>
        <v>84161</v>
      </c>
      <c r="M103">
        <f ca="1">IF(AND(ISNUMBER($M$307),$B$208=1),$M$307,HLOOKUP(INDIRECT(ADDRESS(2,COLUMN())),OFFSET($BN$2,0,0,ROW()-1,60),ROW()-1,FALSE))</f>
        <v>83548</v>
      </c>
      <c r="N103">
        <f ca="1">IF(AND(ISNUMBER($N$307),$B$208=1),$N$307,HLOOKUP(INDIRECT(ADDRESS(2,COLUMN())),OFFSET($BN$2,0,0,ROW()-1,60),ROW()-1,FALSE))</f>
        <v>82505</v>
      </c>
      <c r="O103">
        <f ca="1">IF(AND(ISNUMBER($O$307),$B$208=1),$O$307,HLOOKUP(INDIRECT(ADDRESS(2,COLUMN())),OFFSET($BN$2,0,0,ROW()-1,60),ROW()-1,FALSE))</f>
        <v>80963</v>
      </c>
      <c r="P103">
        <f ca="1">IF(AND(ISNUMBER($P$307),$B$208=1),$P$307,HLOOKUP(INDIRECT(ADDRESS(2,COLUMN())),OFFSET($BN$2,0,0,ROW()-1,60),ROW()-1,FALSE))</f>
        <v>78533</v>
      </c>
      <c r="Q103">
        <f ca="1">IF(AND(ISNUMBER($Q$307),$B$208=1),$Q$307,HLOOKUP(INDIRECT(ADDRESS(2,COLUMN())),OFFSET($BN$2,0,0,ROW()-1,60),ROW()-1,FALSE))</f>
        <v>77027</v>
      </c>
      <c r="R103">
        <f ca="1">IF(AND(ISNUMBER($R$307),$B$208=1),$R$307,HLOOKUP(INDIRECT(ADDRESS(2,COLUMN())),OFFSET($BN$2,0,0,ROW()-1,60),ROW()-1,FALSE))</f>
        <v>75046</v>
      </c>
      <c r="S103">
        <f ca="1">IF(AND(ISNUMBER($S$307),$B$208=1),$S$307,HLOOKUP(INDIRECT(ADDRESS(2,COLUMN())),OFFSET($BN$2,0,0,ROW()-1,60),ROW()-1,FALSE))</f>
        <v>73423</v>
      </c>
      <c r="T103">
        <f ca="1">IF(AND(ISNUMBER($T$307),$B$208=1),$T$307,HLOOKUP(INDIRECT(ADDRESS(2,COLUMN())),OFFSET($BN$2,0,0,ROW()-1,60),ROW()-1,FALSE))</f>
        <v>82327</v>
      </c>
      <c r="U103">
        <f ca="1">IF(AND(ISNUMBER($U$307),$B$208=1),$U$307,HLOOKUP(INDIRECT(ADDRESS(2,COLUMN())),OFFSET($BN$2,0,0,ROW()-1,60),ROW()-1,FALSE))</f>
        <v>80027</v>
      </c>
      <c r="V103">
        <f ca="1">IF(AND(ISNUMBER($V$307),$B$208=1),$V$307,HLOOKUP(INDIRECT(ADDRESS(2,COLUMN())),OFFSET($BN$2,0,0,ROW()-1,60),ROW()-1,FALSE))</f>
        <v>79003</v>
      </c>
      <c r="W103">
        <f ca="1">IF(AND(ISNUMBER($W$307),$B$208=1),$W$307,HLOOKUP(INDIRECT(ADDRESS(2,COLUMN())),OFFSET($BN$2,0,0,ROW()-1,60),ROW()-1,FALSE))</f>
        <v>75768</v>
      </c>
      <c r="X103">
        <f ca="1">IF(AND(ISNUMBER($X$307),$B$208=1),$X$307,HLOOKUP(INDIRECT(ADDRESS(2,COLUMN())),OFFSET($BN$2,0,0,ROW()-1,60),ROW()-1,FALSE))</f>
        <v>74824</v>
      </c>
      <c r="Y103">
        <f ca="1">IF(AND(ISNUMBER($Y$307),$B$208=1),$Y$307,HLOOKUP(INDIRECT(ADDRESS(2,COLUMN())),OFFSET($BN$2,0,0,ROW()-1,60),ROW()-1,FALSE))</f>
        <v>73624</v>
      </c>
      <c r="Z103">
        <f ca="1">IF(AND(ISNUMBER($Z$307),$B$208=1),$Z$307,HLOOKUP(INDIRECT(ADDRESS(2,COLUMN())),OFFSET($BN$2,0,0,ROW()-1,60),ROW()-1,FALSE))</f>
        <v>74979</v>
      </c>
      <c r="AA103">
        <f ca="1">IF(AND(ISNUMBER($AA$307),$B$208=1),$AA$307,HLOOKUP(INDIRECT(ADDRESS(2,COLUMN())),OFFSET($BN$2,0,0,ROW()-1,60),ROW()-1,FALSE))</f>
        <v>73687</v>
      </c>
      <c r="AB103">
        <f ca="1">IF(AND(ISNUMBER($AB$307),$B$208=1),$AB$307,HLOOKUP(INDIRECT(ADDRESS(2,COLUMN())),OFFSET($BN$2,0,0,ROW()-1,60),ROW()-1,FALSE))</f>
        <v>73537</v>
      </c>
      <c r="AC103">
        <f ca="1">IF(AND(ISNUMBER($AC$307),$B$208=1),$AC$307,HLOOKUP(INDIRECT(ADDRESS(2,COLUMN())),OFFSET($BN$2,0,0,ROW()-1,60),ROW()-1,FALSE))</f>
        <v>69963</v>
      </c>
      <c r="AD103">
        <f ca="1">IF(AND(ISNUMBER($AD$307),$B$208=1),$AD$307,HLOOKUP(INDIRECT(ADDRESS(2,COLUMN())),OFFSET($BN$2,0,0,ROW()-1,60),ROW()-1,FALSE))</f>
        <v>69483</v>
      </c>
      <c r="AE103">
        <f ca="1">IF(AND(ISNUMBER($AE$307),$B$208=1),$AE$307,HLOOKUP(INDIRECT(ADDRESS(2,COLUMN())),OFFSET($BN$2,0,0,ROW()-1,60),ROW()-1,FALSE))</f>
        <v>69122</v>
      </c>
      <c r="AF103">
        <f ca="1">IF(AND(ISNUMBER($AF$307),$B$208=1),$AF$307,HLOOKUP(INDIRECT(ADDRESS(2,COLUMN())),OFFSET($BN$2,0,0,ROW()-1,60),ROW()-1,FALSE))</f>
        <v>69507</v>
      </c>
      <c r="AG103">
        <f ca="1">IF(AND(ISNUMBER($AG$307),$B$208=1),$AG$307,HLOOKUP(INDIRECT(ADDRESS(2,COLUMN())),OFFSET($BN$2,0,0,ROW()-1,60),ROW()-1,FALSE))</f>
        <v>68570</v>
      </c>
      <c r="AH103">
        <f ca="1">IF(AND(ISNUMBER($AH$307),$B$208=1),$AH$307,HLOOKUP(INDIRECT(ADDRESS(2,COLUMN())),OFFSET($BN$2,0,0,ROW()-1,60),ROW()-1,FALSE))</f>
        <v>68444</v>
      </c>
      <c r="AI103">
        <f ca="1">IF(AND(ISNUMBER($AI$307),$B$208=1),$AI$307,HLOOKUP(INDIRECT(ADDRESS(2,COLUMN())),OFFSET($BN$2,0,0,ROW()-1,60),ROW()-1,FALSE))</f>
        <v>66836</v>
      </c>
      <c r="AJ103">
        <f ca="1">IF(AND(ISNUMBER($AJ$307),$B$208=1),$AJ$307,HLOOKUP(INDIRECT(ADDRESS(2,COLUMN())),OFFSET($BN$2,0,0,ROW()-1,60),ROW()-1,FALSE))</f>
        <v>66277</v>
      </c>
      <c r="AK103">
        <f ca="1">IF(AND(ISNUMBER($AK$307),$B$208=1),$AK$307,HLOOKUP(INDIRECT(ADDRESS(2,COLUMN())),OFFSET($BN$2,0,0,ROW()-1,60),ROW()-1,FALSE))</f>
        <v>64206</v>
      </c>
      <c r="AL103">
        <f ca="1">IF(AND(ISNUMBER($AL$307),$B$208=1),$AL$307,HLOOKUP(INDIRECT(ADDRESS(2,COLUMN())),OFFSET($BN$2,0,0,ROW()-1,60),ROW()-1,FALSE))</f>
        <v>64036</v>
      </c>
      <c r="AM103">
        <f ca="1">IF(AND(ISNUMBER($AM$307),$B$208=1),$AM$307,HLOOKUP(INDIRECT(ADDRESS(2,COLUMN())),OFFSET($BN$2,0,0,ROW()-1,60),ROW()-1,FALSE))</f>
        <v>63457</v>
      </c>
      <c r="AN103">
        <f ca="1">IF(AND(ISNUMBER($AN$307),$B$208=1),$AN$307,HLOOKUP(INDIRECT(ADDRESS(2,COLUMN())),OFFSET($BN$2,0,0,ROW()-1,60),ROW()-1,FALSE))</f>
        <v>62953</v>
      </c>
      <c r="AO103">
        <f ca="1">IF(AND(ISNUMBER($AO$307),$B$208=1),$AO$307,HLOOKUP(INDIRECT(ADDRESS(2,COLUMN())),OFFSET($BN$2,0,0,ROW()-1,60),ROW()-1,FALSE))</f>
        <v>61797</v>
      </c>
      <c r="AP103">
        <f ca="1">IF(AND(ISNUMBER($AP$307),$B$208=1),$AP$307,HLOOKUP(INDIRECT(ADDRESS(2,COLUMN())),OFFSET($BN$2,0,0,ROW()-1,60),ROW()-1,FALSE))</f>
        <v>61707</v>
      </c>
      <c r="AQ103">
        <f ca="1">IF(AND(ISNUMBER($AQ$307),$B$208=1),$AQ$307,HLOOKUP(INDIRECT(ADDRESS(2,COLUMN())),OFFSET($BN$2,0,0,ROW()-1,60),ROW()-1,FALSE))</f>
        <v>61086</v>
      </c>
      <c r="AR103">
        <f ca="1">IF(AND(ISNUMBER($AR$307),$B$208=1),$AR$307,HLOOKUP(INDIRECT(ADDRESS(2,COLUMN())),OFFSET($BN$2,0,0,ROW()-1,60),ROW()-1,FALSE))</f>
        <v>60450</v>
      </c>
      <c r="AS103">
        <f ca="1">IF(AND(ISNUMBER($AS$307),$B$208=1),$AS$307,HLOOKUP(INDIRECT(ADDRESS(2,COLUMN())),OFFSET($BN$2,0,0,ROW()-1,60),ROW()-1,FALSE))</f>
        <v>59399</v>
      </c>
      <c r="AT103">
        <f ca="1">IF(AND(ISNUMBER($AT$307),$B$208=1),$AT$307,HLOOKUP(INDIRECT(ADDRESS(2,COLUMN())),OFFSET($BN$2,0,0,ROW()-1,60),ROW()-1,FALSE))</f>
        <v>59184</v>
      </c>
      <c r="AU103">
        <f ca="1">IF(AND(ISNUMBER($AU$307),$B$208=1),$AU$307,HLOOKUP(INDIRECT(ADDRESS(2,COLUMN())),OFFSET($BN$2,0,0,ROW()-1,60),ROW()-1,FALSE))</f>
        <v>58219</v>
      </c>
      <c r="AV103">
        <f ca="1">IF(AND(ISNUMBER($AV$307),$B$208=1),$AV$307,HLOOKUP(INDIRECT(ADDRESS(2,COLUMN())),OFFSET($BN$2,0,0,ROW()-1,60),ROW()-1,FALSE))</f>
        <v>58303</v>
      </c>
      <c r="AW103">
        <f ca="1">IF(AND(ISNUMBER($AW$307),$B$208=1),$AW$307,HLOOKUP(INDIRECT(ADDRESS(2,COLUMN())),OFFSET($BN$2,0,0,ROW()-1,60),ROW()-1,FALSE))</f>
        <v>55382</v>
      </c>
      <c r="AX103">
        <f ca="1">IF(AND(ISNUMBER($AX$307),$B$208=1),$AX$307,HLOOKUP(INDIRECT(ADDRESS(2,COLUMN())),OFFSET($BN$2,0,0,ROW()-1,60),ROW()-1,FALSE))</f>
        <v>55510</v>
      </c>
      <c r="AY103">
        <f ca="1">IF(AND(ISNUMBER($AY$307),$B$208=1),$AY$307,HLOOKUP(INDIRECT(ADDRESS(2,COLUMN())),OFFSET($BN$2,0,0,ROW()-1,60),ROW()-1,FALSE))</f>
        <v>58355</v>
      </c>
      <c r="AZ103">
        <f ca="1">IF(AND(ISNUMBER($AZ$307),$B$208=1),$AZ$307,HLOOKUP(INDIRECT(ADDRESS(2,COLUMN())),OFFSET($BN$2,0,0,ROW()-1,60),ROW()-1,FALSE))</f>
        <v>57583</v>
      </c>
      <c r="BA103">
        <f ca="1">IF(AND(ISNUMBER($BA$307),$B$208=1),$BA$307,HLOOKUP(INDIRECT(ADDRESS(2,COLUMN())),OFFSET($BN$2,0,0,ROW()-1,60),ROW()-1,FALSE))</f>
        <v>57262</v>
      </c>
      <c r="BB103">
        <f ca="1">IF(AND(ISNUMBER($BB$307),$B$208=1),$BB$307,HLOOKUP(INDIRECT(ADDRESS(2,COLUMN())),OFFSET($BN$2,0,0,ROW()-1,60),ROW()-1,FALSE))</f>
        <v>57173</v>
      </c>
      <c r="BC103">
        <f ca="1">IF(AND(ISNUMBER($BC$307),$B$208=1),$BC$307,HLOOKUP(INDIRECT(ADDRESS(2,COLUMN())),OFFSET($BN$2,0,0,ROW()-1,60),ROW()-1,FALSE))</f>
        <v>56938</v>
      </c>
      <c r="BD103">
        <f ca="1">IF(AND(ISNUMBER($BD$307),$B$208=1),$BD$307,HLOOKUP(INDIRECT(ADDRESS(2,COLUMN())),OFFSET($BN$2,0,0,ROW()-1,60),ROW()-1,FALSE))</f>
        <v>56309</v>
      </c>
      <c r="BE103">
        <f ca="1">IF(AND(ISNUMBER($BE$307),$B$208=1),$BE$307,HLOOKUP(INDIRECT(ADDRESS(2,COLUMN())),OFFSET($BN$2,0,0,ROW()-1,60),ROW()-1,FALSE))</f>
        <v>57192</v>
      </c>
      <c r="BF103">
        <f ca="1">IF(AND(ISNUMBER($BF$307),$B$208=1),$BF$307,HLOOKUP(INDIRECT(ADDRESS(2,COLUMN())),OFFSET($BN$2,0,0,ROW()-1,60),ROW()-1,FALSE))</f>
        <v>61300</v>
      </c>
      <c r="BG103">
        <f ca="1">IF(AND(ISNUMBER($BG$307),$B$208=1),$BG$307,HLOOKUP(INDIRECT(ADDRESS(2,COLUMN())),OFFSET($BN$2,0,0,ROW()-1,60),ROW()-1,FALSE))</f>
        <v>60933</v>
      </c>
      <c r="BH103">
        <f ca="1">IF(AND(ISNUMBER($BH$307),$B$208=1),$BH$307,HLOOKUP(INDIRECT(ADDRESS(2,COLUMN())),OFFSET($BN$2,0,0,ROW()-1,60),ROW()-1,FALSE))</f>
        <v>60678</v>
      </c>
      <c r="BI103">
        <f ca="1">IF(AND(ISNUMBER($BI$307),$B$208=1),$BI$307,HLOOKUP(INDIRECT(ADDRESS(2,COLUMN())),OFFSET($BN$2,0,0,ROW()-1,60),ROW()-1,FALSE))</f>
        <v>59444</v>
      </c>
      <c r="BJ103">
        <f ca="1">IF(AND(ISNUMBER($BJ$307),$B$208=1),$BJ$307,HLOOKUP(INDIRECT(ADDRESS(2,COLUMN())),OFFSET($BN$2,0,0,ROW()-1,60),ROW()-1,FALSE))</f>
        <v>65591</v>
      </c>
      <c r="BK103">
        <f ca="1">IF(AND(ISNUMBER($BK$307),$B$208=1),$BK$307,HLOOKUP(INDIRECT(ADDRESS(2,COLUMN())),OFFSET($BN$2,0,0,ROW()-1,60),ROW()-1,FALSE))</f>
        <v>64914</v>
      </c>
      <c r="BL103">
        <f ca="1">IF(AND(ISNUMBER($BL$307),$B$208=1),$BL$307,HLOOKUP(INDIRECT(ADDRESS(2,COLUMN())),OFFSET($BN$2,0,0,ROW()-1,60),ROW()-1,FALSE))</f>
        <v>64035</v>
      </c>
      <c r="BM103" t="str">
        <f ca="1">IF(AND(ISNUMBER($BM$307),$B$208=1),$BM$307,HLOOKUP(INDIRECT(ADDRESS(2,COLUMN())),OFFSET($BN$2,0,0,ROW()-1,60),ROW()-1,FALSE))</f>
        <v/>
      </c>
      <c r="BN103">
        <f>86953</f>
        <v>86953</v>
      </c>
      <c r="BO103">
        <f>85332</f>
        <v>85332</v>
      </c>
      <c r="BP103">
        <f>85652</f>
        <v>85652</v>
      </c>
      <c r="BQ103">
        <f>84290</f>
        <v>84290</v>
      </c>
      <c r="BR103">
        <f>84538</f>
        <v>84538</v>
      </c>
      <c r="BS103">
        <f>83920</f>
        <v>83920</v>
      </c>
      <c r="BT103">
        <f>84161</f>
        <v>84161</v>
      </c>
      <c r="BU103">
        <f>83548</f>
        <v>83548</v>
      </c>
      <c r="BV103">
        <f>82505</f>
        <v>82505</v>
      </c>
      <c r="BW103">
        <f>80963</f>
        <v>80963</v>
      </c>
      <c r="BX103">
        <f>78533</f>
        <v>78533</v>
      </c>
      <c r="BY103">
        <f>77027</f>
        <v>77027</v>
      </c>
      <c r="BZ103">
        <f>75046</f>
        <v>75046</v>
      </c>
      <c r="CA103">
        <f>73423</f>
        <v>73423</v>
      </c>
      <c r="CB103">
        <f>82327</f>
        <v>82327</v>
      </c>
      <c r="CC103">
        <f>80027</f>
        <v>80027</v>
      </c>
      <c r="CD103">
        <f>79003</f>
        <v>79003</v>
      </c>
      <c r="CE103">
        <f>75768</f>
        <v>75768</v>
      </c>
      <c r="CF103">
        <f>74824</f>
        <v>74824</v>
      </c>
      <c r="CG103">
        <f>73624</f>
        <v>73624</v>
      </c>
      <c r="CH103">
        <f>74979</f>
        <v>74979</v>
      </c>
      <c r="CI103">
        <f>73687</f>
        <v>73687</v>
      </c>
      <c r="CJ103">
        <f>73537</f>
        <v>73537</v>
      </c>
      <c r="CK103">
        <f>69963</f>
        <v>69963</v>
      </c>
      <c r="CL103">
        <f>69483</f>
        <v>69483</v>
      </c>
      <c r="CM103">
        <f>69122</f>
        <v>69122</v>
      </c>
      <c r="CN103">
        <f>69507</f>
        <v>69507</v>
      </c>
      <c r="CO103">
        <f>68570</f>
        <v>68570</v>
      </c>
      <c r="CP103">
        <f>68444</f>
        <v>68444</v>
      </c>
      <c r="CQ103">
        <f>66836</f>
        <v>66836</v>
      </c>
      <c r="CR103">
        <f>66277</f>
        <v>66277</v>
      </c>
      <c r="CS103">
        <f>64206</f>
        <v>64206</v>
      </c>
      <c r="CT103">
        <f>64036</f>
        <v>64036</v>
      </c>
      <c r="CU103">
        <f>63457</f>
        <v>63457</v>
      </c>
      <c r="CV103">
        <f>62953</f>
        <v>62953</v>
      </c>
      <c r="CW103">
        <f>61797</f>
        <v>61797</v>
      </c>
      <c r="CX103">
        <f>61707</f>
        <v>61707</v>
      </c>
      <c r="CY103">
        <f>61086</f>
        <v>61086</v>
      </c>
      <c r="CZ103">
        <f>60450</f>
        <v>60450</v>
      </c>
      <c r="DA103">
        <f>59399</f>
        <v>59399</v>
      </c>
      <c r="DB103">
        <f>59184</f>
        <v>59184</v>
      </c>
      <c r="DC103">
        <f>58219</f>
        <v>58219</v>
      </c>
      <c r="DD103">
        <f>58303</f>
        <v>58303</v>
      </c>
      <c r="DE103">
        <f>55382</f>
        <v>55382</v>
      </c>
      <c r="DF103">
        <f>55510</f>
        <v>55510</v>
      </c>
      <c r="DG103">
        <f>58355</f>
        <v>58355</v>
      </c>
      <c r="DH103">
        <f>57583</f>
        <v>57583</v>
      </c>
      <c r="DI103">
        <f>57262</f>
        <v>57262</v>
      </c>
      <c r="DJ103">
        <f>57173</f>
        <v>57173</v>
      </c>
      <c r="DK103">
        <f>56938</f>
        <v>56938</v>
      </c>
      <c r="DL103">
        <f>56309</f>
        <v>56309</v>
      </c>
      <c r="DM103">
        <f>57192</f>
        <v>57192</v>
      </c>
      <c r="DN103">
        <f>61300</f>
        <v>61300</v>
      </c>
      <c r="DO103">
        <f>60933</f>
        <v>60933</v>
      </c>
      <c r="DP103">
        <f>60678</f>
        <v>60678</v>
      </c>
      <c r="DQ103">
        <f>59444</f>
        <v>59444</v>
      </c>
      <c r="DR103">
        <f>65591</f>
        <v>65591</v>
      </c>
      <c r="DS103">
        <f>64914</f>
        <v>64914</v>
      </c>
      <c r="DT103">
        <f>64035</f>
        <v>64035</v>
      </c>
      <c r="DU103" t="str">
        <f>""</f>
        <v/>
      </c>
    </row>
    <row r="104" spans="1:125" x14ac:dyDescent="0.25">
      <c r="A104" t="str">
        <f>"    Komercni Banka AS"</f>
        <v xml:space="preserve">    Komercni Banka AS</v>
      </c>
      <c r="B104" t="str">
        <f>"KOMB CP Equity"</f>
        <v>KOMB CP Equity</v>
      </c>
      <c r="C104" t="str">
        <f t="shared" si="6"/>
        <v>BS017</v>
      </c>
      <c r="D104" t="str">
        <f t="shared" si="7"/>
        <v>BS_CONS_LOAN</v>
      </c>
      <c r="E104" t="str">
        <f t="shared" si="8"/>
        <v>Dynamic</v>
      </c>
      <c r="F104">
        <f ca="1">IF(AND(ISNUMBER($F$308),$B$208=1),$F$308,HLOOKUP(INDIRECT(ADDRESS(2,COLUMN())),OFFSET($BN$2,0,0,ROW()-1,60),ROW()-1,FALSE))</f>
        <v>16803.608100000001</v>
      </c>
      <c r="G104">
        <f ca="1">IF(AND(ISNUMBER($G$308),$B$208=1),$G$308,HLOOKUP(INDIRECT(ADDRESS(2,COLUMN())),OFFSET($BN$2,0,0,ROW()-1,60),ROW()-1,FALSE))</f>
        <v>16645.16172</v>
      </c>
      <c r="H104">
        <f ca="1">IF(AND(ISNUMBER($H$308),$B$208=1),$H$308,HLOOKUP(INDIRECT(ADDRESS(2,COLUMN())),OFFSET($BN$2,0,0,ROW()-1,60),ROW()-1,FALSE))</f>
        <v>17201.14687</v>
      </c>
      <c r="I104">
        <f ca="1">IF(AND(ISNUMBER($I$308),$B$208=1),$I$308,HLOOKUP(INDIRECT(ADDRESS(2,COLUMN())),OFFSET($BN$2,0,0,ROW()-1,60),ROW()-1,FALSE))</f>
        <v>16262.405909999999</v>
      </c>
      <c r="J104">
        <f ca="1">IF(AND(ISNUMBER($J$308),$B$208=1),$J$308,HLOOKUP(INDIRECT(ADDRESS(2,COLUMN())),OFFSET($BN$2,0,0,ROW()-1,60),ROW()-1,FALSE))</f>
        <v>17100.034729999999</v>
      </c>
      <c r="K104">
        <f ca="1">IF(AND(ISNUMBER($K$308),$B$208=1),$K$308,HLOOKUP(INDIRECT(ADDRESS(2,COLUMN())),OFFSET($BN$2,0,0,ROW()-1,60),ROW()-1,FALSE))</f>
        <v>16460.564640000001</v>
      </c>
      <c r="L104">
        <f ca="1">IF(AND(ISNUMBER($L$308),$B$208=1),$L$308,HLOOKUP(INDIRECT(ADDRESS(2,COLUMN())),OFFSET($BN$2,0,0,ROW()-1,60),ROW()-1,FALSE))</f>
        <v>17377.444660000001</v>
      </c>
      <c r="M104">
        <f ca="1">IF(AND(ISNUMBER($M$308),$B$208=1),$M$308,HLOOKUP(INDIRECT(ADDRESS(2,COLUMN())),OFFSET($BN$2,0,0,ROW()-1,60),ROW()-1,FALSE))</f>
        <v>16710.083920000001</v>
      </c>
      <c r="N104">
        <f ca="1">IF(AND(ISNUMBER($N$308),$B$208=1),$N$308,HLOOKUP(INDIRECT(ADDRESS(2,COLUMN())),OFFSET($BN$2,0,0,ROW()-1,60),ROW()-1,FALSE))</f>
        <v>16776.46113</v>
      </c>
      <c r="O104">
        <f ca="1">IF(AND(ISNUMBER($O$308),$B$208=1),$O$308,HLOOKUP(INDIRECT(ADDRESS(2,COLUMN())),OFFSET($BN$2,0,0,ROW()-1,60),ROW()-1,FALSE))</f>
        <v>15685.834220000001</v>
      </c>
      <c r="P104">
        <f ca="1">IF(AND(ISNUMBER($P$308),$B$208=1),$P$308,HLOOKUP(INDIRECT(ADDRESS(2,COLUMN())),OFFSET($BN$2,0,0,ROW()-1,60),ROW()-1,FALSE))</f>
        <v>16116.590899999999</v>
      </c>
      <c r="Q104">
        <f ca="1">IF(AND(ISNUMBER($Q$308),$B$208=1),$Q$308,HLOOKUP(INDIRECT(ADDRESS(2,COLUMN())),OFFSET($BN$2,0,0,ROW()-1,60),ROW()-1,FALSE))</f>
        <v>15431.572910000001</v>
      </c>
      <c r="R104">
        <f ca="1">IF(AND(ISNUMBER($R$308),$B$208=1),$R$308,HLOOKUP(INDIRECT(ADDRESS(2,COLUMN())),OFFSET($BN$2,0,0,ROW()-1,60),ROW()-1,FALSE))</f>
        <v>15642.430689999999</v>
      </c>
      <c r="S104">
        <f ca="1">IF(AND(ISNUMBER($S$308),$B$208=1),$S$308,HLOOKUP(INDIRECT(ADDRESS(2,COLUMN())),OFFSET($BN$2,0,0,ROW()-1,60),ROW()-1,FALSE))</f>
        <v>14348.73933</v>
      </c>
      <c r="T104">
        <f ca="1">IF(AND(ISNUMBER($T$308),$B$208=1),$T$308,HLOOKUP(INDIRECT(ADDRESS(2,COLUMN())),OFFSET($BN$2,0,0,ROW()-1,60),ROW()-1,FALSE))</f>
        <v>14594.23504</v>
      </c>
      <c r="U104">
        <f ca="1">IF(AND(ISNUMBER($U$308),$B$208=1),$U$308,HLOOKUP(INDIRECT(ADDRESS(2,COLUMN())),OFFSET($BN$2,0,0,ROW()-1,60),ROW()-1,FALSE))</f>
        <v>13532.058950000001</v>
      </c>
      <c r="V104">
        <f ca="1">IF(AND(ISNUMBER($V$308),$B$208=1),$V$308,HLOOKUP(INDIRECT(ADDRESS(2,COLUMN())),OFFSET($BN$2,0,0,ROW()-1,60),ROW()-1,FALSE))</f>
        <v>13680.304</v>
      </c>
      <c r="W104">
        <f ca="1">IF(AND(ISNUMBER($W$308),$B$208=1),$W$308,HLOOKUP(INDIRECT(ADDRESS(2,COLUMN())),OFFSET($BN$2,0,0,ROW()-1,60),ROW()-1,FALSE))</f>
        <v>12680.6034</v>
      </c>
      <c r="X104">
        <f ca="1">IF(AND(ISNUMBER($X$308),$B$208=1),$X$308,HLOOKUP(INDIRECT(ADDRESS(2,COLUMN())),OFFSET($BN$2,0,0,ROW()-1,60),ROW()-1,FALSE))</f>
        <v>12965.75411</v>
      </c>
      <c r="Y104">
        <f ca="1">IF(AND(ISNUMBER($Y$308),$B$208=1),$Y$308,HLOOKUP(INDIRECT(ADDRESS(2,COLUMN())),OFFSET($BN$2,0,0,ROW()-1,60),ROW()-1,FALSE))</f>
        <v>12021.926890000001</v>
      </c>
      <c r="Z104">
        <f ca="1">IF(AND(ISNUMBER($Z$308),$B$208=1),$Z$308,HLOOKUP(INDIRECT(ADDRESS(2,COLUMN())),OFFSET($BN$2,0,0,ROW()-1,60),ROW()-1,FALSE))</f>
        <v>13453.993979999999</v>
      </c>
      <c r="AA104">
        <f ca="1">IF(AND(ISNUMBER($AA$308),$B$208=1),$AA$308,HLOOKUP(INDIRECT(ADDRESS(2,COLUMN())),OFFSET($BN$2,0,0,ROW()-1,60),ROW()-1,FALSE))</f>
        <v>12434.284949999999</v>
      </c>
      <c r="AB104">
        <f ca="1">IF(AND(ISNUMBER($AB$308),$B$208=1),$AB$308,HLOOKUP(INDIRECT(ADDRESS(2,COLUMN())),OFFSET($BN$2,0,0,ROW()-1,60),ROW()-1,FALSE))</f>
        <v>13120.28176</v>
      </c>
      <c r="AC104">
        <f ca="1">IF(AND(ISNUMBER($AC$308),$B$208=1),$AC$308,HLOOKUP(INDIRECT(ADDRESS(2,COLUMN())),OFFSET($BN$2,0,0,ROW()-1,60),ROW()-1,FALSE))</f>
        <v>12183.78501</v>
      </c>
      <c r="AD104">
        <f ca="1">IF(AND(ISNUMBER($AD$308),$B$208=1),$AD$308,HLOOKUP(INDIRECT(ADDRESS(2,COLUMN())),OFFSET($BN$2,0,0,ROW()-1,60),ROW()-1,FALSE))</f>
        <v>12623.6276</v>
      </c>
      <c r="AE104">
        <f ca="1">IF(AND(ISNUMBER($AE$308),$B$208=1),$AE$308,HLOOKUP(INDIRECT(ADDRESS(2,COLUMN())),OFFSET($BN$2,0,0,ROW()-1,60),ROW()-1,FALSE))</f>
        <v>12071.56243</v>
      </c>
      <c r="AF104">
        <f ca="1">IF(AND(ISNUMBER($AF$308),$B$208=1),$AF$308,HLOOKUP(INDIRECT(ADDRESS(2,COLUMN())),OFFSET($BN$2,0,0,ROW()-1,60),ROW()-1,FALSE))</f>
        <v>12228.69751</v>
      </c>
      <c r="AG104">
        <f ca="1">IF(AND(ISNUMBER($AG$308),$B$208=1),$AG$308,HLOOKUP(INDIRECT(ADDRESS(2,COLUMN())),OFFSET($BN$2,0,0,ROW()-1,60),ROW()-1,FALSE))</f>
        <v>11964.796249999999</v>
      </c>
      <c r="AH104">
        <f ca="1">IF(AND(ISNUMBER($AH$308),$B$208=1),$AH$308,HLOOKUP(INDIRECT(ADDRESS(2,COLUMN())),OFFSET($BN$2,0,0,ROW()-1,60),ROW()-1,FALSE))</f>
        <v>11465.195540000001</v>
      </c>
      <c r="AI104">
        <f ca="1">IF(AND(ISNUMBER($AI$308),$B$208=1),$AI$308,HLOOKUP(INDIRECT(ADDRESS(2,COLUMN())),OFFSET($BN$2,0,0,ROW()-1,60),ROW()-1,FALSE))</f>
        <v>11357.165360000001</v>
      </c>
      <c r="AJ104">
        <f ca="1">IF(AND(ISNUMBER($AJ$308),$B$208=1),$AJ$308,HLOOKUP(INDIRECT(ADDRESS(2,COLUMN())),OFFSET($BN$2,0,0,ROW()-1,60),ROW()-1,FALSE))</f>
        <v>10862.967329999999</v>
      </c>
      <c r="AK104">
        <f ca="1">IF(AND(ISNUMBER($AK$308),$B$208=1),$AK$308,HLOOKUP(INDIRECT(ADDRESS(2,COLUMN())),OFFSET($BN$2,0,0,ROW()-1,60),ROW()-1,FALSE))</f>
        <v>10558.560439999999</v>
      </c>
      <c r="AL104">
        <f ca="1">IF(AND(ISNUMBER($AL$308),$B$208=1),$AL$308,HLOOKUP(INDIRECT(ADDRESS(2,COLUMN())),OFFSET($BN$2,0,0,ROW()-1,60),ROW()-1,FALSE))</f>
        <v>11320.80467</v>
      </c>
      <c r="AM104">
        <f ca="1">IF(AND(ISNUMBER($AM$308),$B$208=1),$AM$308,HLOOKUP(INDIRECT(ADDRESS(2,COLUMN())),OFFSET($BN$2,0,0,ROW()-1,60),ROW()-1,FALSE))</f>
        <v>10143.257610000001</v>
      </c>
      <c r="AN104">
        <f ca="1">IF(AND(ISNUMBER($AN$308),$B$208=1),$AN$308,HLOOKUP(INDIRECT(ADDRESS(2,COLUMN())),OFFSET($BN$2,0,0,ROW()-1,60),ROW()-1,FALSE))</f>
        <v>10738.576499999999</v>
      </c>
      <c r="AO104">
        <f ca="1">IF(AND(ISNUMBER($AO$308),$B$208=1),$AO$308,HLOOKUP(INDIRECT(ADDRESS(2,COLUMN())),OFFSET($BN$2,0,0,ROW()-1,60),ROW()-1,FALSE))</f>
        <v>9501.3971239999992</v>
      </c>
      <c r="AP104">
        <f ca="1">IF(AND(ISNUMBER($AP$308),$B$208=1),$AP$308,HLOOKUP(INDIRECT(ADDRESS(2,COLUMN())),OFFSET($BN$2,0,0,ROW()-1,60),ROW()-1,FALSE))</f>
        <v>10460.87413</v>
      </c>
      <c r="AQ104">
        <f ca="1">IF(AND(ISNUMBER($AQ$308),$B$208=1),$AQ$308,HLOOKUP(INDIRECT(ADDRESS(2,COLUMN())),OFFSET($BN$2,0,0,ROW()-1,60),ROW()-1,FALSE))</f>
        <v>9029.7116040000001</v>
      </c>
      <c r="AR104">
        <f ca="1">IF(AND(ISNUMBER($AR$308),$B$208=1),$AR$308,HLOOKUP(INDIRECT(ADDRESS(2,COLUMN())),OFFSET($BN$2,0,0,ROW()-1,60),ROW()-1,FALSE))</f>
        <v>9919.0626979999997</v>
      </c>
      <c r="AS104">
        <f ca="1">IF(AND(ISNUMBER($AS$308),$B$208=1),$AS$308,HLOOKUP(INDIRECT(ADDRESS(2,COLUMN())),OFFSET($BN$2,0,0,ROW()-1,60),ROW()-1,FALSE))</f>
        <v>8439.6457410000003</v>
      </c>
      <c r="AT104">
        <f ca="1">IF(AND(ISNUMBER($AT$308),$B$208=1),$AT$308,HLOOKUP(INDIRECT(ADDRESS(2,COLUMN())),OFFSET($BN$2,0,0,ROW()-1,60),ROW()-1,FALSE))</f>
        <v>9424.490554</v>
      </c>
      <c r="AU104" t="str">
        <f ca="1">IF(AND(ISNUMBER($AU$308),$B$208=1),$AU$308,HLOOKUP(INDIRECT(ADDRESS(2,COLUMN())),OFFSET($BN$2,0,0,ROW()-1,60),ROW()-1,FALSE))</f>
        <v/>
      </c>
      <c r="AV104">
        <f ca="1">IF(AND(ISNUMBER($AV$308),$B$208=1),$AV$308,HLOOKUP(INDIRECT(ADDRESS(2,COLUMN())),OFFSET($BN$2,0,0,ROW()-1,60),ROW()-1,FALSE))</f>
        <v>9302.6189300000005</v>
      </c>
      <c r="AW104">
        <f ca="1">IF(AND(ISNUMBER($AW$308),$B$208=1),$AW$308,HLOOKUP(INDIRECT(ADDRESS(2,COLUMN())),OFFSET($BN$2,0,0,ROW()-1,60),ROW()-1,FALSE))</f>
        <v>7967.631077</v>
      </c>
      <c r="AX104">
        <f ca="1">IF(AND(ISNUMBER($AX$308),$B$208=1),$AX$308,HLOOKUP(INDIRECT(ADDRESS(2,COLUMN())),OFFSET($BN$2,0,0,ROW()-1,60),ROW()-1,FALSE))</f>
        <v>9276.3973530000003</v>
      </c>
      <c r="AY104" t="str">
        <f ca="1">IF(AND(ISNUMBER($AY$308),$B$208=1),$AY$308,HLOOKUP(INDIRECT(ADDRESS(2,COLUMN())),OFFSET($BN$2,0,0,ROW()-1,60),ROW()-1,FALSE))</f>
        <v/>
      </c>
      <c r="AZ104" t="str">
        <f ca="1">IF(AND(ISNUMBER($AZ$308),$B$208=1),$AZ$308,HLOOKUP(INDIRECT(ADDRESS(2,COLUMN())),OFFSET($BN$2,0,0,ROW()-1,60),ROW()-1,FALSE))</f>
        <v/>
      </c>
      <c r="BA104" t="str">
        <f ca="1">IF(AND(ISNUMBER($BA$308),$B$208=1),$BA$308,HLOOKUP(INDIRECT(ADDRESS(2,COLUMN())),OFFSET($BN$2,0,0,ROW()-1,60),ROW()-1,FALSE))</f>
        <v/>
      </c>
      <c r="BB104">
        <f ca="1">IF(AND(ISNUMBER($BB$308),$B$208=1),$BB$308,HLOOKUP(INDIRECT(ADDRESS(2,COLUMN())),OFFSET($BN$2,0,0,ROW()-1,60),ROW()-1,FALSE))</f>
        <v>9721.4726009999995</v>
      </c>
      <c r="BC104" t="str">
        <f ca="1">IF(AND(ISNUMBER($BC$308),$B$208=1),$BC$308,HLOOKUP(INDIRECT(ADDRESS(2,COLUMN())),OFFSET($BN$2,0,0,ROW()-1,60),ROW()-1,FALSE))</f>
        <v/>
      </c>
      <c r="BD104" t="str">
        <f ca="1">IF(AND(ISNUMBER($BD$308),$B$208=1),$BD$308,HLOOKUP(INDIRECT(ADDRESS(2,COLUMN())),OFFSET($BN$2,0,0,ROW()-1,60),ROW()-1,FALSE))</f>
        <v/>
      </c>
      <c r="BE104" t="str">
        <f ca="1">IF(AND(ISNUMBER($BE$308),$B$208=1),$BE$308,HLOOKUP(INDIRECT(ADDRESS(2,COLUMN())),OFFSET($BN$2,0,0,ROW()-1,60),ROW()-1,FALSE))</f>
        <v/>
      </c>
      <c r="BF104" t="str">
        <f ca="1">IF(AND(ISNUMBER($BF$308),$B$208=1),$BF$308,HLOOKUP(INDIRECT(ADDRESS(2,COLUMN())),OFFSET($BN$2,0,0,ROW()-1,60),ROW()-1,FALSE))</f>
        <v/>
      </c>
      <c r="BG104" t="str">
        <f ca="1">IF(AND(ISNUMBER($BG$308),$B$208=1),$BG$308,HLOOKUP(INDIRECT(ADDRESS(2,COLUMN())),OFFSET($BN$2,0,0,ROW()-1,60),ROW()-1,FALSE))</f>
        <v/>
      </c>
      <c r="BH104" t="str">
        <f ca="1">IF(AND(ISNUMBER($BH$308),$B$208=1),$BH$308,HLOOKUP(INDIRECT(ADDRESS(2,COLUMN())),OFFSET($BN$2,0,0,ROW()-1,60),ROW()-1,FALSE))</f>
        <v/>
      </c>
      <c r="BI104" t="str">
        <f ca="1">IF(AND(ISNUMBER($BI$308),$B$208=1),$BI$308,HLOOKUP(INDIRECT(ADDRESS(2,COLUMN())),OFFSET($BN$2,0,0,ROW()-1,60),ROW()-1,FALSE))</f>
        <v/>
      </c>
      <c r="BJ104" t="str">
        <f ca="1">IF(AND(ISNUMBER($BJ$308),$B$208=1),$BJ$308,HLOOKUP(INDIRECT(ADDRESS(2,COLUMN())),OFFSET($BN$2,0,0,ROW()-1,60),ROW()-1,FALSE))</f>
        <v/>
      </c>
      <c r="BK104" t="str">
        <f ca="1">IF(AND(ISNUMBER($BK$308),$B$208=1),$BK$308,HLOOKUP(INDIRECT(ADDRESS(2,COLUMN())),OFFSET($BN$2,0,0,ROW()-1,60),ROW()-1,FALSE))</f>
        <v/>
      </c>
      <c r="BL104" t="str">
        <f ca="1">IF(AND(ISNUMBER($BL$308),$B$208=1),$BL$308,HLOOKUP(INDIRECT(ADDRESS(2,COLUMN())),OFFSET($BN$2,0,0,ROW()-1,60),ROW()-1,FALSE))</f>
        <v/>
      </c>
      <c r="BM104" t="str">
        <f ca="1">IF(AND(ISNUMBER($BM$308),$B$208=1),$BM$308,HLOOKUP(INDIRECT(ADDRESS(2,COLUMN())),OFFSET($BN$2,0,0,ROW()-1,60),ROW()-1,FALSE))</f>
        <v/>
      </c>
      <c r="BN104">
        <f>16803.6081</f>
        <v>16803.608100000001</v>
      </c>
      <c r="BO104">
        <f>16645.16172</f>
        <v>16645.16172</v>
      </c>
      <c r="BP104">
        <f>17201.14687</f>
        <v>17201.14687</v>
      </c>
      <c r="BQ104">
        <f>16262.40591</f>
        <v>16262.405909999999</v>
      </c>
      <c r="BR104">
        <f>17100.03473</f>
        <v>17100.034729999999</v>
      </c>
      <c r="BS104">
        <f>16460.56464</f>
        <v>16460.564640000001</v>
      </c>
      <c r="BT104">
        <f>17377.44466</f>
        <v>17377.444660000001</v>
      </c>
      <c r="BU104">
        <f>16710.08392</f>
        <v>16710.083920000001</v>
      </c>
      <c r="BV104">
        <f>16776.46113</f>
        <v>16776.46113</v>
      </c>
      <c r="BW104">
        <f>15685.83422</f>
        <v>15685.834220000001</v>
      </c>
      <c r="BX104">
        <f>16116.5909</f>
        <v>16116.590899999999</v>
      </c>
      <c r="BY104">
        <f>15431.57291</f>
        <v>15431.572910000001</v>
      </c>
      <c r="BZ104">
        <f>15642.43069</f>
        <v>15642.430689999999</v>
      </c>
      <c r="CA104">
        <f>14348.73933</f>
        <v>14348.73933</v>
      </c>
      <c r="CB104">
        <f>14594.23504</f>
        <v>14594.23504</v>
      </c>
      <c r="CC104">
        <f>13532.05895</f>
        <v>13532.058950000001</v>
      </c>
      <c r="CD104">
        <f>13680.304</f>
        <v>13680.304</v>
      </c>
      <c r="CE104">
        <f>12680.6034</f>
        <v>12680.6034</v>
      </c>
      <c r="CF104">
        <f>12965.75411</f>
        <v>12965.75411</v>
      </c>
      <c r="CG104">
        <f>12021.92689</f>
        <v>12021.926890000001</v>
      </c>
      <c r="CH104">
        <f>13453.99398</f>
        <v>13453.993979999999</v>
      </c>
      <c r="CI104">
        <f>12434.28495</f>
        <v>12434.284949999999</v>
      </c>
      <c r="CJ104">
        <f>13120.28176</f>
        <v>13120.28176</v>
      </c>
      <c r="CK104">
        <f>12183.78501</f>
        <v>12183.78501</v>
      </c>
      <c r="CL104">
        <f>12623.6276</f>
        <v>12623.6276</v>
      </c>
      <c r="CM104">
        <f>12071.56243</f>
        <v>12071.56243</v>
      </c>
      <c r="CN104">
        <f>12228.69751</f>
        <v>12228.69751</v>
      </c>
      <c r="CO104">
        <f>11964.79625</f>
        <v>11964.796249999999</v>
      </c>
      <c r="CP104">
        <f>11465.19554</f>
        <v>11465.195540000001</v>
      </c>
      <c r="CQ104">
        <f>11357.16536</f>
        <v>11357.165360000001</v>
      </c>
      <c r="CR104">
        <f>10862.96733</f>
        <v>10862.967329999999</v>
      </c>
      <c r="CS104">
        <f>10558.56044</f>
        <v>10558.560439999999</v>
      </c>
      <c r="CT104">
        <f>11320.80467</f>
        <v>11320.80467</v>
      </c>
      <c r="CU104">
        <f>10143.25761</f>
        <v>10143.257610000001</v>
      </c>
      <c r="CV104">
        <f>10738.5765</f>
        <v>10738.576499999999</v>
      </c>
      <c r="CW104">
        <f>9501.397124</f>
        <v>9501.3971239999992</v>
      </c>
      <c r="CX104">
        <f>10460.87413</f>
        <v>10460.87413</v>
      </c>
      <c r="CY104">
        <f>9029.711604</f>
        <v>9029.7116040000001</v>
      </c>
      <c r="CZ104">
        <f>9919.062698</f>
        <v>9919.0626979999997</v>
      </c>
      <c r="DA104">
        <f>8439.645741</f>
        <v>8439.6457410000003</v>
      </c>
      <c r="DB104">
        <f>9424.490554</f>
        <v>9424.490554</v>
      </c>
      <c r="DC104" t="str">
        <f>""</f>
        <v/>
      </c>
      <c r="DD104">
        <f>9302.61893</f>
        <v>9302.6189300000005</v>
      </c>
      <c r="DE104">
        <f>7967.631077</f>
        <v>7967.631077</v>
      </c>
      <c r="DF104">
        <f>9276.397353</f>
        <v>9276.3973530000003</v>
      </c>
      <c r="DG104" t="str">
        <f>""</f>
        <v/>
      </c>
      <c r="DH104" t="str">
        <f>""</f>
        <v/>
      </c>
      <c r="DI104" t="str">
        <f>""</f>
        <v/>
      </c>
      <c r="DJ104">
        <f>9721.472601</f>
        <v>9721.4726009999995</v>
      </c>
      <c r="DK104" t="str">
        <f>""</f>
        <v/>
      </c>
      <c r="DL104" t="str">
        <f>""</f>
        <v/>
      </c>
      <c r="DM104" t="str">
        <f>""</f>
        <v/>
      </c>
      <c r="DN104" t="str">
        <f>""</f>
        <v/>
      </c>
      <c r="DO104" t="str">
        <f>""</f>
        <v/>
      </c>
      <c r="DP104" t="str">
        <f>""</f>
        <v/>
      </c>
      <c r="DQ104" t="str">
        <f>""</f>
        <v/>
      </c>
      <c r="DR104" t="str">
        <f>""</f>
        <v/>
      </c>
      <c r="DS104" t="str">
        <f>""</f>
        <v/>
      </c>
      <c r="DT104" t="str">
        <f>""</f>
        <v/>
      </c>
      <c r="DU104" t="str">
        <f>""</f>
        <v/>
      </c>
    </row>
    <row r="105" spans="1:125" x14ac:dyDescent="0.25">
      <c r="A105" t="str">
        <f>"    Lloyds Banking Group PLC"</f>
        <v xml:space="preserve">    Lloyds Banking Group PLC</v>
      </c>
      <c r="B105" t="str">
        <f>"LLOY LN Equity"</f>
        <v>LLOY LN Equity</v>
      </c>
      <c r="C105" t="str">
        <f t="shared" si="6"/>
        <v>BS017</v>
      </c>
      <c r="D105" t="str">
        <f t="shared" si="7"/>
        <v>BS_CONS_LOAN</v>
      </c>
      <c r="E105" t="str">
        <f t="shared" si="8"/>
        <v>Dynamic</v>
      </c>
      <c r="F105">
        <f ca="1">IF(AND(ISNUMBER($F$309),$B$208=1),$F$309,HLOOKUP(INDIRECT(ADDRESS(2,COLUMN())),OFFSET($BN$2,0,0,ROW()-1,60),ROW()-1,FALSE))</f>
        <v>437925.4829</v>
      </c>
      <c r="G105">
        <f ca="1">IF(AND(ISNUMBER($G$309),$B$208=1),$G$309,HLOOKUP(INDIRECT(ADDRESS(2,COLUMN())),OFFSET($BN$2,0,0,ROW()-1,60),ROW()-1,FALSE))</f>
        <v>414637.29849999998</v>
      </c>
      <c r="H105" t="str">
        <f ca="1">IF(AND(ISNUMBER($H$309),$B$208=1),$H$309,HLOOKUP(INDIRECT(ADDRESS(2,COLUMN())),OFFSET($BN$2,0,0,ROW()-1,60),ROW()-1,FALSE))</f>
        <v/>
      </c>
      <c r="I105" t="str">
        <f ca="1">IF(AND(ISNUMBER($I$309),$B$208=1),$I$309,HLOOKUP(INDIRECT(ADDRESS(2,COLUMN())),OFFSET($BN$2,0,0,ROW()-1,60),ROW()-1,FALSE))</f>
        <v/>
      </c>
      <c r="J105">
        <f ca="1">IF(AND(ISNUMBER($J$309),$B$208=1),$J$309,HLOOKUP(INDIRECT(ADDRESS(2,COLUMN())),OFFSET($BN$2,0,0,ROW()-1,60),ROW()-1,FALSE))</f>
        <v>405618.61430000002</v>
      </c>
      <c r="K105">
        <f ca="1">IF(AND(ISNUMBER($K$309),$B$208=1),$K$309,HLOOKUP(INDIRECT(ADDRESS(2,COLUMN())),OFFSET($BN$2,0,0,ROW()-1,60),ROW()-1,FALSE))</f>
        <v>391832.4472</v>
      </c>
      <c r="L105" t="str">
        <f ca="1">IF(AND(ISNUMBER($L$309),$B$208=1),$L$309,HLOOKUP(INDIRECT(ADDRESS(2,COLUMN())),OFFSET($BN$2,0,0,ROW()-1,60),ROW()-1,FALSE))</f>
        <v/>
      </c>
      <c r="M105" t="str">
        <f ca="1">IF(AND(ISNUMBER($M$309),$B$208=1),$M$309,HLOOKUP(INDIRECT(ADDRESS(2,COLUMN())),OFFSET($BN$2,0,0,ROW()-1,60),ROW()-1,FALSE))</f>
        <v/>
      </c>
      <c r="N105">
        <f ca="1">IF(AND(ISNUMBER($N$309),$B$208=1),$N$309,HLOOKUP(INDIRECT(ADDRESS(2,COLUMN())),OFFSET($BN$2,0,0,ROW()-1,60),ROW()-1,FALSE))</f>
        <v>398262.636</v>
      </c>
      <c r="O105" t="str">
        <f ca="1">IF(AND(ISNUMBER($O$309),$B$208=1),$O$309,HLOOKUP(INDIRECT(ADDRESS(2,COLUMN())),OFFSET($BN$2,0,0,ROW()-1,60),ROW()-1,FALSE))</f>
        <v/>
      </c>
      <c r="P105" t="str">
        <f ca="1">IF(AND(ISNUMBER($P$309),$B$208=1),$P$309,HLOOKUP(INDIRECT(ADDRESS(2,COLUMN())),OFFSET($BN$2,0,0,ROW()-1,60),ROW()-1,FALSE))</f>
        <v/>
      </c>
      <c r="Q105" t="str">
        <f ca="1">IF(AND(ISNUMBER($Q$309),$B$208=1),$Q$309,HLOOKUP(INDIRECT(ADDRESS(2,COLUMN())),OFFSET($BN$2,0,0,ROW()-1,60),ROW()-1,FALSE))</f>
        <v/>
      </c>
      <c r="R105">
        <f ca="1">IF(AND(ISNUMBER($R$309),$B$208=1),$R$309,HLOOKUP(INDIRECT(ADDRESS(2,COLUMN())),OFFSET($BN$2,0,0,ROW()-1,60),ROW()-1,FALSE))</f>
        <v>411741.68979999999</v>
      </c>
      <c r="S105" t="str">
        <f ca="1">IF(AND(ISNUMBER($S$309),$B$208=1),$S$309,HLOOKUP(INDIRECT(ADDRESS(2,COLUMN())),OFFSET($BN$2,0,0,ROW()-1,60),ROW()-1,FALSE))</f>
        <v/>
      </c>
      <c r="T105" t="str">
        <f ca="1">IF(AND(ISNUMBER($T$309),$B$208=1),$T$309,HLOOKUP(INDIRECT(ADDRESS(2,COLUMN())),OFFSET($BN$2,0,0,ROW()-1,60),ROW()-1,FALSE))</f>
        <v/>
      </c>
      <c r="U105" t="str">
        <f ca="1">IF(AND(ISNUMBER($U$309),$B$208=1),$U$309,HLOOKUP(INDIRECT(ADDRESS(2,COLUMN())),OFFSET($BN$2,0,0,ROW()-1,60),ROW()-1,FALSE))</f>
        <v/>
      </c>
      <c r="V105">
        <f ca="1">IF(AND(ISNUMBER($V$309),$B$208=1),$V$309,HLOOKUP(INDIRECT(ADDRESS(2,COLUMN())),OFFSET($BN$2,0,0,ROW()-1,60),ROW()-1,FALSE))</f>
        <v>374204.89689999999</v>
      </c>
      <c r="W105" t="str">
        <f ca="1">IF(AND(ISNUMBER($W$309),$B$208=1),$W$309,HLOOKUP(INDIRECT(ADDRESS(2,COLUMN())),OFFSET($BN$2,0,0,ROW()-1,60),ROW()-1,FALSE))</f>
        <v/>
      </c>
      <c r="X105" t="str">
        <f ca="1">IF(AND(ISNUMBER($X$309),$B$208=1),$X$309,HLOOKUP(INDIRECT(ADDRESS(2,COLUMN())),OFFSET($BN$2,0,0,ROW()-1,60),ROW()-1,FALSE))</f>
        <v/>
      </c>
      <c r="Y105" t="str">
        <f ca="1">IF(AND(ISNUMBER($Y$309),$B$208=1),$Y$309,HLOOKUP(INDIRECT(ADDRESS(2,COLUMN())),OFFSET($BN$2,0,0,ROW()-1,60),ROW()-1,FALSE))</f>
        <v/>
      </c>
      <c r="Z105">
        <f ca="1">IF(AND(ISNUMBER($Z$309),$B$208=1),$Z$309,HLOOKUP(INDIRECT(ADDRESS(2,COLUMN())),OFFSET($BN$2,0,0,ROW()-1,60),ROW()-1,FALSE))</f>
        <v>390172.44349999999</v>
      </c>
      <c r="AA105" t="str">
        <f ca="1">IF(AND(ISNUMBER($AA$309),$B$208=1),$AA$309,HLOOKUP(INDIRECT(ADDRESS(2,COLUMN())),OFFSET($BN$2,0,0,ROW()-1,60),ROW()-1,FALSE))</f>
        <v/>
      </c>
      <c r="AB105" t="str">
        <f ca="1">IF(AND(ISNUMBER($AB$309),$B$208=1),$AB$309,HLOOKUP(INDIRECT(ADDRESS(2,COLUMN())),OFFSET($BN$2,0,0,ROW()-1,60),ROW()-1,FALSE))</f>
        <v/>
      </c>
      <c r="AC105" t="str">
        <f ca="1">IF(AND(ISNUMBER($AC$309),$B$208=1),$AC$309,HLOOKUP(INDIRECT(ADDRESS(2,COLUMN())),OFFSET($BN$2,0,0,ROW()-1,60),ROW()-1,FALSE))</f>
        <v/>
      </c>
      <c r="AD105">
        <f ca="1">IF(AND(ISNUMBER($AD$309),$B$208=1),$AD$309,HLOOKUP(INDIRECT(ADDRESS(2,COLUMN())),OFFSET($BN$2,0,0,ROW()-1,60),ROW()-1,FALSE))</f>
        <v>452334.9719</v>
      </c>
      <c r="AE105" t="str">
        <f ca="1">IF(AND(ISNUMBER($AE$309),$B$208=1),$AE$309,HLOOKUP(INDIRECT(ADDRESS(2,COLUMN())),OFFSET($BN$2,0,0,ROW()-1,60),ROW()-1,FALSE))</f>
        <v/>
      </c>
      <c r="AF105">
        <f ca="1">IF(AND(ISNUMBER($AF$309),$B$208=1),$AF$309,HLOOKUP(INDIRECT(ADDRESS(2,COLUMN())),OFFSET($BN$2,0,0,ROW()-1,60),ROW()-1,FALSE))</f>
        <v>443807.42660000001</v>
      </c>
      <c r="AG105" t="str">
        <f ca="1">IF(AND(ISNUMBER($AG$309),$B$208=1),$AG$309,HLOOKUP(INDIRECT(ADDRESS(2,COLUMN())),OFFSET($BN$2,0,0,ROW()-1,60),ROW()-1,FALSE))</f>
        <v/>
      </c>
      <c r="AH105">
        <f ca="1">IF(AND(ISNUMBER($AH$309),$B$208=1),$AH$309,HLOOKUP(INDIRECT(ADDRESS(2,COLUMN())),OFFSET($BN$2,0,0,ROW()-1,60),ROW()-1,FALSE))</f>
        <v>439207.14289999998</v>
      </c>
      <c r="AI105" t="str">
        <f ca="1">IF(AND(ISNUMBER($AI$309),$B$208=1),$AI$309,HLOOKUP(INDIRECT(ADDRESS(2,COLUMN())),OFFSET($BN$2,0,0,ROW()-1,60),ROW()-1,FALSE))</f>
        <v/>
      </c>
      <c r="AJ105">
        <f ca="1">IF(AND(ISNUMBER($AJ$309),$B$208=1),$AJ$309,HLOOKUP(INDIRECT(ADDRESS(2,COLUMN())),OFFSET($BN$2,0,0,ROW()-1,60),ROW()-1,FALSE))</f>
        <v>440678.62540000002</v>
      </c>
      <c r="AK105" t="str">
        <f ca="1">IF(AND(ISNUMBER($AK$309),$B$208=1),$AK$309,HLOOKUP(INDIRECT(ADDRESS(2,COLUMN())),OFFSET($BN$2,0,0,ROW()-1,60),ROW()-1,FALSE))</f>
        <v/>
      </c>
      <c r="AL105">
        <f ca="1">IF(AND(ISNUMBER($AL$309),$B$208=1),$AL$309,HLOOKUP(INDIRECT(ADDRESS(2,COLUMN())),OFFSET($BN$2,0,0,ROW()-1,60),ROW()-1,FALSE))</f>
        <v>443848.80820000003</v>
      </c>
      <c r="AM105" t="str">
        <f ca="1">IF(AND(ISNUMBER($AM$309),$B$208=1),$AM$309,HLOOKUP(INDIRECT(ADDRESS(2,COLUMN())),OFFSET($BN$2,0,0,ROW()-1,60),ROW()-1,FALSE))</f>
        <v/>
      </c>
      <c r="AN105">
        <f ca="1">IF(AND(ISNUMBER($AN$309),$B$208=1),$AN$309,HLOOKUP(INDIRECT(ADDRESS(2,COLUMN())),OFFSET($BN$2,0,0,ROW()-1,60),ROW()-1,FALSE))</f>
        <v>448522.6251</v>
      </c>
      <c r="AO105" t="str">
        <f ca="1">IF(AND(ISNUMBER($AO$309),$B$208=1),$AO$309,HLOOKUP(INDIRECT(ADDRESS(2,COLUMN())),OFFSET($BN$2,0,0,ROW()-1,60),ROW()-1,FALSE))</f>
        <v/>
      </c>
      <c r="AP105">
        <f ca="1">IF(AND(ISNUMBER($AP$309),$B$208=1),$AP$309,HLOOKUP(INDIRECT(ADDRESS(2,COLUMN())),OFFSET($BN$2,0,0,ROW()-1,60),ROW()-1,FALSE))</f>
        <v>514037.06920000003</v>
      </c>
      <c r="AQ105" t="str">
        <f ca="1">IF(AND(ISNUMBER($AQ$309),$B$208=1),$AQ$309,HLOOKUP(INDIRECT(ADDRESS(2,COLUMN())),OFFSET($BN$2,0,0,ROW()-1,60),ROW()-1,FALSE))</f>
        <v/>
      </c>
      <c r="AR105">
        <f ca="1">IF(AND(ISNUMBER($AR$309),$B$208=1),$AR$309,HLOOKUP(INDIRECT(ADDRESS(2,COLUMN())),OFFSET($BN$2,0,0,ROW()-1,60),ROW()-1,FALSE))</f>
        <v>526469.55980000005</v>
      </c>
      <c r="AS105" t="str">
        <f ca="1">IF(AND(ISNUMBER($AS$309),$B$208=1),$AS$309,HLOOKUP(INDIRECT(ADDRESS(2,COLUMN())),OFFSET($BN$2,0,0,ROW()-1,60),ROW()-1,FALSE))</f>
        <v/>
      </c>
      <c r="AT105">
        <f ca="1">IF(AND(ISNUMBER($AT$309),$B$208=1),$AT$309,HLOOKUP(INDIRECT(ADDRESS(2,COLUMN())),OFFSET($BN$2,0,0,ROW()-1,60),ROW()-1,FALSE))</f>
        <v>520281.78210000001</v>
      </c>
      <c r="AU105" t="str">
        <f ca="1">IF(AND(ISNUMBER($AU$309),$B$208=1),$AU$309,HLOOKUP(INDIRECT(ADDRESS(2,COLUMN())),OFFSET($BN$2,0,0,ROW()-1,60),ROW()-1,FALSE))</f>
        <v/>
      </c>
      <c r="AV105">
        <f ca="1">IF(AND(ISNUMBER($AV$309),$B$208=1),$AV$309,HLOOKUP(INDIRECT(ADDRESS(2,COLUMN())),OFFSET($BN$2,0,0,ROW()-1,60),ROW()-1,FALSE))</f>
        <v>507732.02120000002</v>
      </c>
      <c r="AW105" t="str">
        <f ca="1">IF(AND(ISNUMBER($AW$309),$B$208=1),$AW$309,HLOOKUP(INDIRECT(ADDRESS(2,COLUMN())),OFFSET($BN$2,0,0,ROW()-1,60),ROW()-1,FALSE))</f>
        <v/>
      </c>
      <c r="AX105">
        <f ca="1">IF(AND(ISNUMBER($AX$309),$B$208=1),$AX$309,HLOOKUP(INDIRECT(ADDRESS(2,COLUMN())),OFFSET($BN$2,0,0,ROW()-1,60),ROW()-1,FALSE))</f>
        <v>487779.73690000002</v>
      </c>
      <c r="AY105" t="str">
        <f ca="1">IF(AND(ISNUMBER($AY$309),$B$208=1),$AY$309,HLOOKUP(INDIRECT(ADDRESS(2,COLUMN())),OFFSET($BN$2,0,0,ROW()-1,60),ROW()-1,FALSE))</f>
        <v/>
      </c>
      <c r="AZ105">
        <f ca="1">IF(AND(ISNUMBER($AZ$309),$B$208=1),$AZ$309,HLOOKUP(INDIRECT(ADDRESS(2,COLUMN())),OFFSET($BN$2,0,0,ROW()-1,60),ROW()-1,FALSE))</f>
        <v>478496.22220000002</v>
      </c>
      <c r="BA105" t="str">
        <f ca="1">IF(AND(ISNUMBER($BA$309),$B$208=1),$BA$309,HLOOKUP(INDIRECT(ADDRESS(2,COLUMN())),OFFSET($BN$2,0,0,ROW()-1,60),ROW()-1,FALSE))</f>
        <v/>
      </c>
      <c r="BB105">
        <f ca="1">IF(AND(ISNUMBER($BB$309),$B$208=1),$BB$309,HLOOKUP(INDIRECT(ADDRESS(2,COLUMN())),OFFSET($BN$2,0,0,ROW()-1,60),ROW()-1,FALSE))</f>
        <v>512970.03860000003</v>
      </c>
      <c r="BC105" t="str">
        <f ca="1">IF(AND(ISNUMBER($BC$309),$B$208=1),$BC$309,HLOOKUP(INDIRECT(ADDRESS(2,COLUMN())),OFFSET($BN$2,0,0,ROW()-1,60),ROW()-1,FALSE))</f>
        <v/>
      </c>
      <c r="BD105">
        <f ca="1">IF(AND(ISNUMBER($BD$309),$B$208=1),$BD$309,HLOOKUP(INDIRECT(ADDRESS(2,COLUMN())),OFFSET($BN$2,0,0,ROW()-1,60),ROW()-1,FALSE))</f>
        <v>524090.67979999998</v>
      </c>
      <c r="BE105" t="str">
        <f ca="1">IF(AND(ISNUMBER($BE$309),$B$208=1),$BE$309,HLOOKUP(INDIRECT(ADDRESS(2,COLUMN())),OFFSET($BN$2,0,0,ROW()-1,60),ROW()-1,FALSE))</f>
        <v/>
      </c>
      <c r="BF105">
        <f ca="1">IF(AND(ISNUMBER($BF$309),$B$208=1),$BF$309,HLOOKUP(INDIRECT(ADDRESS(2,COLUMN())),OFFSET($BN$2,0,0,ROW()-1,60),ROW()-1,FALSE))</f>
        <v>531525.50109999999</v>
      </c>
      <c r="BG105" t="str">
        <f ca="1">IF(AND(ISNUMBER($BG$309),$B$208=1),$BG$309,HLOOKUP(INDIRECT(ADDRESS(2,COLUMN())),OFFSET($BN$2,0,0,ROW()-1,60),ROW()-1,FALSE))</f>
        <v/>
      </c>
      <c r="BH105">
        <f ca="1">IF(AND(ISNUMBER($BH$309),$B$208=1),$BH$309,HLOOKUP(INDIRECT(ADDRESS(2,COLUMN())),OFFSET($BN$2,0,0,ROW()-1,60),ROW()-1,FALSE))</f>
        <v>506782.63429999998</v>
      </c>
      <c r="BI105" t="str">
        <f ca="1">IF(AND(ISNUMBER($BI$309),$B$208=1),$BI$309,HLOOKUP(INDIRECT(ADDRESS(2,COLUMN())),OFFSET($BN$2,0,0,ROW()-1,60),ROW()-1,FALSE))</f>
        <v/>
      </c>
      <c r="BJ105">
        <f ca="1">IF(AND(ISNUMBER($BJ$309),$B$208=1),$BJ$309,HLOOKUP(INDIRECT(ADDRESS(2,COLUMN())),OFFSET($BN$2,0,0,ROW()-1,60),ROW()-1,FALSE))</f>
        <v>530158.1557</v>
      </c>
      <c r="BK105" t="str">
        <f ca="1">IF(AND(ISNUMBER($BK$309),$B$208=1),$BK$309,HLOOKUP(INDIRECT(ADDRESS(2,COLUMN())),OFFSET($BN$2,0,0,ROW()-1,60),ROW()-1,FALSE))</f>
        <v/>
      </c>
      <c r="BL105">
        <f ca="1">IF(AND(ISNUMBER($BL$309),$B$208=1),$BL$309,HLOOKUP(INDIRECT(ADDRESS(2,COLUMN())),OFFSET($BN$2,0,0,ROW()-1,60),ROW()-1,FALSE))</f>
        <v>566947.17879999999</v>
      </c>
      <c r="BM105" t="str">
        <f ca="1">IF(AND(ISNUMBER($BM$309),$B$208=1),$BM$309,HLOOKUP(INDIRECT(ADDRESS(2,COLUMN())),OFFSET($BN$2,0,0,ROW()-1,60),ROW()-1,FALSE))</f>
        <v/>
      </c>
      <c r="BN105">
        <f>437925.4829</f>
        <v>437925.4829</v>
      </c>
      <c r="BO105">
        <f>414637.2985</f>
        <v>414637.29849999998</v>
      </c>
      <c r="BP105" t="str">
        <f>""</f>
        <v/>
      </c>
      <c r="BQ105" t="str">
        <f>""</f>
        <v/>
      </c>
      <c r="BR105">
        <f>405618.6143</f>
        <v>405618.61430000002</v>
      </c>
      <c r="BS105">
        <f>391832.4472</f>
        <v>391832.4472</v>
      </c>
      <c r="BT105" t="str">
        <f>""</f>
        <v/>
      </c>
      <c r="BU105" t="str">
        <f>""</f>
        <v/>
      </c>
      <c r="BV105">
        <f>398262.636</f>
        <v>398262.636</v>
      </c>
      <c r="BW105" t="str">
        <f>""</f>
        <v/>
      </c>
      <c r="BX105" t="str">
        <f>""</f>
        <v/>
      </c>
      <c r="BY105" t="str">
        <f>""</f>
        <v/>
      </c>
      <c r="BZ105">
        <f>411741.6898</f>
        <v>411741.68979999999</v>
      </c>
      <c r="CA105" t="str">
        <f>""</f>
        <v/>
      </c>
      <c r="CB105" t="str">
        <f>""</f>
        <v/>
      </c>
      <c r="CC105" t="str">
        <f>""</f>
        <v/>
      </c>
      <c r="CD105">
        <f>374204.8969</f>
        <v>374204.89689999999</v>
      </c>
      <c r="CE105" t="str">
        <f>""</f>
        <v/>
      </c>
      <c r="CF105" t="str">
        <f>""</f>
        <v/>
      </c>
      <c r="CG105" t="str">
        <f>""</f>
        <v/>
      </c>
      <c r="CH105">
        <f>390172.4435</f>
        <v>390172.44349999999</v>
      </c>
      <c r="CI105" t="str">
        <f>""</f>
        <v/>
      </c>
      <c r="CJ105" t="str">
        <f>""</f>
        <v/>
      </c>
      <c r="CK105" t="str">
        <f>""</f>
        <v/>
      </c>
      <c r="CL105">
        <f>452334.9719</f>
        <v>452334.9719</v>
      </c>
      <c r="CM105" t="str">
        <f>""</f>
        <v/>
      </c>
      <c r="CN105">
        <f>443807.4266</f>
        <v>443807.42660000001</v>
      </c>
      <c r="CO105" t="str">
        <f>""</f>
        <v/>
      </c>
      <c r="CP105">
        <f>439207.1429</f>
        <v>439207.14289999998</v>
      </c>
      <c r="CQ105" t="str">
        <f>""</f>
        <v/>
      </c>
      <c r="CR105">
        <f>440678.6254</f>
        <v>440678.62540000002</v>
      </c>
      <c r="CS105" t="str">
        <f>""</f>
        <v/>
      </c>
      <c r="CT105">
        <f>443848.8082</f>
        <v>443848.80820000003</v>
      </c>
      <c r="CU105" t="str">
        <f>""</f>
        <v/>
      </c>
      <c r="CV105">
        <f>448522.6251</f>
        <v>448522.6251</v>
      </c>
      <c r="CW105" t="str">
        <f>""</f>
        <v/>
      </c>
      <c r="CX105">
        <f>514037.0692</f>
        <v>514037.06920000003</v>
      </c>
      <c r="CY105" t="str">
        <f>""</f>
        <v/>
      </c>
      <c r="CZ105">
        <f>526469.5598</f>
        <v>526469.55980000005</v>
      </c>
      <c r="DA105" t="str">
        <f>""</f>
        <v/>
      </c>
      <c r="DB105">
        <f>520281.7821</f>
        <v>520281.78210000001</v>
      </c>
      <c r="DC105" t="str">
        <f>""</f>
        <v/>
      </c>
      <c r="DD105">
        <f>507732.0212</f>
        <v>507732.02120000002</v>
      </c>
      <c r="DE105" t="str">
        <f>""</f>
        <v/>
      </c>
      <c r="DF105">
        <f>487779.7369</f>
        <v>487779.73690000002</v>
      </c>
      <c r="DG105" t="str">
        <f>""</f>
        <v/>
      </c>
      <c r="DH105">
        <f>478496.2222</f>
        <v>478496.22220000002</v>
      </c>
      <c r="DI105" t="str">
        <f>""</f>
        <v/>
      </c>
      <c r="DJ105">
        <f>512970.0386</f>
        <v>512970.03860000003</v>
      </c>
      <c r="DK105" t="str">
        <f>""</f>
        <v/>
      </c>
      <c r="DL105">
        <f>524090.6798</f>
        <v>524090.67979999998</v>
      </c>
      <c r="DM105" t="str">
        <f>""</f>
        <v/>
      </c>
      <c r="DN105">
        <f>531525.5011</f>
        <v>531525.50109999999</v>
      </c>
      <c r="DO105" t="str">
        <f>""</f>
        <v/>
      </c>
      <c r="DP105">
        <f>506782.6343</f>
        <v>506782.63429999998</v>
      </c>
      <c r="DQ105" t="str">
        <f>""</f>
        <v/>
      </c>
      <c r="DR105">
        <f>530158.1557</f>
        <v>530158.1557</v>
      </c>
      <c r="DS105" t="str">
        <f>""</f>
        <v/>
      </c>
      <c r="DT105">
        <f>566947.1788</f>
        <v>566947.17879999999</v>
      </c>
      <c r="DU105" t="str">
        <f>""</f>
        <v/>
      </c>
    </row>
    <row r="106" spans="1:125" x14ac:dyDescent="0.25">
      <c r="A106" t="str">
        <f>"    Mediobanca Banca di Credito Finanziario SpA"</f>
        <v xml:space="preserve">    Mediobanca Banca di Credito Finanziario SpA</v>
      </c>
      <c r="B106" t="str">
        <f>"MB IM Equity"</f>
        <v>MB IM Equity</v>
      </c>
      <c r="C106" t="str">
        <f t="shared" si="6"/>
        <v>BS017</v>
      </c>
      <c r="D106" t="str">
        <f t="shared" si="7"/>
        <v>BS_CONS_LOAN</v>
      </c>
      <c r="E106" t="str">
        <f t="shared" si="8"/>
        <v>Dynamic</v>
      </c>
      <c r="F106">
        <f ca="1">IF(AND(ISNUMBER($F$310),$B$208=1),$F$310,HLOOKUP(INDIRECT(ADDRESS(2,COLUMN())),OFFSET($BN$2,0,0,ROW()-1,60),ROW()-1,FALSE))</f>
        <v>45349.3</v>
      </c>
      <c r="G106">
        <f ca="1">IF(AND(ISNUMBER($G$310),$B$208=1),$G$310,HLOOKUP(INDIRECT(ADDRESS(2,COLUMN())),OFFSET($BN$2,0,0,ROW()-1,60),ROW()-1,FALSE))</f>
        <v>44362.400000000001</v>
      </c>
      <c r="H106">
        <f ca="1">IF(AND(ISNUMBER($H$310),$B$208=1),$H$310,HLOOKUP(INDIRECT(ADDRESS(2,COLUMN())),OFFSET($BN$2,0,0,ROW()-1,60),ROW()-1,FALSE))</f>
        <v>40140.69</v>
      </c>
      <c r="I106">
        <f ca="1">IF(AND(ISNUMBER($I$310),$B$208=1),$I$310,HLOOKUP(INDIRECT(ADDRESS(2,COLUMN())),OFFSET($BN$2,0,0,ROW()-1,60),ROW()-1,FALSE))</f>
        <v>43791.6</v>
      </c>
      <c r="J106">
        <f ca="1">IF(AND(ISNUMBER($J$310),$B$208=1),$J$310,HLOOKUP(INDIRECT(ADDRESS(2,COLUMN())),OFFSET($BN$2,0,0,ROW()-1,60),ROW()-1,FALSE))</f>
        <v>39793.906000000003</v>
      </c>
      <c r="K106">
        <f ca="1">IF(AND(ISNUMBER($K$310),$B$208=1),$K$310,HLOOKUP(INDIRECT(ADDRESS(2,COLUMN())),OFFSET($BN$2,0,0,ROW()-1,60),ROW()-1,FALSE))</f>
        <v>42722.8</v>
      </c>
      <c r="L106">
        <f ca="1">IF(AND(ISNUMBER($L$310),$B$208=1),$L$310,HLOOKUP(INDIRECT(ADDRESS(2,COLUMN())),OFFSET($BN$2,0,0,ROW()-1,60),ROW()-1,FALSE))</f>
        <v>40932.682999999997</v>
      </c>
      <c r="M106">
        <f ca="1">IF(AND(ISNUMBER($M$310),$B$208=1),$M$310,HLOOKUP(INDIRECT(ADDRESS(2,COLUMN())),OFFSET($BN$2,0,0,ROW()-1,60),ROW()-1,FALSE))</f>
        <v>44443.8</v>
      </c>
      <c r="N106">
        <f ca="1">IF(AND(ISNUMBER($N$310),$B$208=1),$N$310,HLOOKUP(INDIRECT(ADDRESS(2,COLUMN())),OFFSET($BN$2,0,0,ROW()-1,60),ROW()-1,FALSE))</f>
        <v>42017.57</v>
      </c>
      <c r="O106">
        <f ca="1">IF(AND(ISNUMBER($O$310),$B$208=1),$O$310,HLOOKUP(INDIRECT(ADDRESS(2,COLUMN())),OFFSET($BN$2,0,0,ROW()-1,60),ROW()-1,FALSE))</f>
        <v>43664.1</v>
      </c>
      <c r="P106">
        <f ca="1">IF(AND(ISNUMBER($P$310),$B$208=1),$P$310,HLOOKUP(INDIRECT(ADDRESS(2,COLUMN())),OFFSET($BN$2,0,0,ROW()-1,60),ROW()-1,FALSE))</f>
        <v>40637.919999999998</v>
      </c>
      <c r="Q106">
        <f ca="1">IF(AND(ISNUMBER($Q$310),$B$208=1),$Q$310,HLOOKUP(INDIRECT(ADDRESS(2,COLUMN())),OFFSET($BN$2,0,0,ROW()-1,60),ROW()-1,FALSE))</f>
        <v>42819.1</v>
      </c>
      <c r="R106">
        <f ca="1">IF(AND(ISNUMBER($R$310),$B$208=1),$R$310,HLOOKUP(INDIRECT(ADDRESS(2,COLUMN())),OFFSET($BN$2,0,0,ROW()-1,60),ROW()-1,FALSE))</f>
        <v>39230.392</v>
      </c>
      <c r="S106">
        <f ca="1">IF(AND(ISNUMBER($S$310),$B$208=1),$S$310,HLOOKUP(INDIRECT(ADDRESS(2,COLUMN())),OFFSET($BN$2,0,0,ROW()-1,60),ROW()-1,FALSE))</f>
        <v>41061</v>
      </c>
      <c r="T106">
        <f ca="1">IF(AND(ISNUMBER($T$310),$B$208=1),$T$310,HLOOKUP(INDIRECT(ADDRESS(2,COLUMN())),OFFSET($BN$2,0,0,ROW()-1,60),ROW()-1,FALSE))</f>
        <v>38009.317999999999</v>
      </c>
      <c r="U106">
        <f ca="1">IF(AND(ISNUMBER($U$310),$B$208=1),$U$310,HLOOKUP(INDIRECT(ADDRESS(2,COLUMN())),OFFSET($BN$2,0,0,ROW()-1,60),ROW()-1,FALSE))</f>
        <v>39986</v>
      </c>
      <c r="V106">
        <f ca="1">IF(AND(ISNUMBER($V$310),$B$208=1),$V$310,HLOOKUP(INDIRECT(ADDRESS(2,COLUMN())),OFFSET($BN$2,0,0,ROW()-1,60),ROW()-1,FALSE))</f>
        <v>37870.699999999997</v>
      </c>
      <c r="W106">
        <f ca="1">IF(AND(ISNUMBER($W$310),$B$208=1),$W$310,HLOOKUP(INDIRECT(ADDRESS(2,COLUMN())),OFFSET($BN$2,0,0,ROW()-1,60),ROW()-1,FALSE))</f>
        <v>39769.699999999997</v>
      </c>
      <c r="X106">
        <f ca="1">IF(AND(ISNUMBER($X$310),$B$208=1),$X$310,HLOOKUP(INDIRECT(ADDRESS(2,COLUMN())),OFFSET($BN$2,0,0,ROW()-1,60),ROW()-1,FALSE))</f>
        <v>38040.108</v>
      </c>
      <c r="Y106">
        <f ca="1">IF(AND(ISNUMBER($Y$310),$B$208=1),$Y$310,HLOOKUP(INDIRECT(ADDRESS(2,COLUMN())),OFFSET($BN$2,0,0,ROW()-1,60),ROW()-1,FALSE))</f>
        <v>40257.199999999997</v>
      </c>
      <c r="Z106">
        <f ca="1">IF(AND(ISNUMBER($Z$310),$B$208=1),$Z$310,HLOOKUP(INDIRECT(ADDRESS(2,COLUMN())),OFFSET($BN$2,0,0,ROW()-1,60),ROW()-1,FALSE))</f>
        <v>36991.440000000002</v>
      </c>
      <c r="AA106">
        <f ca="1">IF(AND(ISNUMBER($AA$310),$B$208=1),$AA$310,HLOOKUP(INDIRECT(ADDRESS(2,COLUMN())),OFFSET($BN$2,0,0,ROW()-1,60),ROW()-1,FALSE))</f>
        <v>38215.1</v>
      </c>
      <c r="AB106">
        <f ca="1">IF(AND(ISNUMBER($AB$310),$B$208=1),$AB$310,HLOOKUP(INDIRECT(ADDRESS(2,COLUMN())),OFFSET($BN$2,0,0,ROW()-1,60),ROW()-1,FALSE))</f>
        <v>35529.212</v>
      </c>
      <c r="AC106">
        <f ca="1">IF(AND(ISNUMBER($AC$310),$B$208=1),$AC$310,HLOOKUP(INDIRECT(ADDRESS(2,COLUMN())),OFFSET($BN$2,0,0,ROW()-1,60),ROW()-1,FALSE))</f>
        <v>24000</v>
      </c>
      <c r="AD106">
        <f ca="1">IF(AND(ISNUMBER($AD$310),$B$208=1),$AD$310,HLOOKUP(INDIRECT(ADDRESS(2,COLUMN())),OFFSET($BN$2,0,0,ROW()-1,60),ROW()-1,FALSE))</f>
        <v>33764.150999999998</v>
      </c>
      <c r="AE106">
        <f ca="1">IF(AND(ISNUMBER($AE$310),$B$208=1),$AE$310,HLOOKUP(INDIRECT(ADDRESS(2,COLUMN())),OFFSET($BN$2,0,0,ROW()-1,60),ROW()-1,FALSE))</f>
        <v>35802.699999999997</v>
      </c>
      <c r="AF106">
        <f ca="1">IF(AND(ISNUMBER($AF$310),$B$208=1),$AF$310,HLOOKUP(INDIRECT(ADDRESS(2,COLUMN())),OFFSET($BN$2,0,0,ROW()-1,60),ROW()-1,FALSE))</f>
        <v>32667.260999999999</v>
      </c>
      <c r="AG106">
        <f ca="1">IF(AND(ISNUMBER($AG$310),$B$208=1),$AG$310,HLOOKUP(INDIRECT(ADDRESS(2,COLUMN())),OFFSET($BN$2,0,0,ROW()-1,60),ROW()-1,FALSE))</f>
        <v>22400</v>
      </c>
      <c r="AH106">
        <f ca="1">IF(AND(ISNUMBER($AH$310),$B$208=1),$AH$310,HLOOKUP(INDIRECT(ADDRESS(2,COLUMN())),OFFSET($BN$2,0,0,ROW()-1,60),ROW()-1,FALSE))</f>
        <v>31540.767</v>
      </c>
      <c r="AI106">
        <f ca="1">IF(AND(ISNUMBER($AI$310),$B$208=1),$AI$310,HLOOKUP(INDIRECT(ADDRESS(2,COLUMN())),OFFSET($BN$2,0,0,ROW()-1,60),ROW()-1,FALSE))</f>
        <v>32723.200000000001</v>
      </c>
      <c r="AJ106">
        <f ca="1">IF(AND(ISNUMBER($AJ$310),$B$208=1),$AJ$310,HLOOKUP(INDIRECT(ADDRESS(2,COLUMN())),OFFSET($BN$2,0,0,ROW()-1,60),ROW()-1,FALSE))</f>
        <v>30385.257000000001</v>
      </c>
      <c r="AK106">
        <f ca="1">IF(AND(ISNUMBER($AK$310),$B$208=1),$AK$310,HLOOKUP(INDIRECT(ADDRESS(2,COLUMN())),OFFSET($BN$2,0,0,ROW()-1,60),ROW()-1,FALSE))</f>
        <v>20200</v>
      </c>
      <c r="AL106">
        <f ca="1">IF(AND(ISNUMBER($AL$310),$B$208=1),$AL$310,HLOOKUP(INDIRECT(ADDRESS(2,COLUMN())),OFFSET($BN$2,0,0,ROW()-1,60),ROW()-1,FALSE))</f>
        <v>30418.713</v>
      </c>
      <c r="AM106">
        <f ca="1">IF(AND(ISNUMBER($AM$310),$B$208=1),$AM$310,HLOOKUP(INDIRECT(ADDRESS(2,COLUMN())),OFFSET($BN$2,0,0,ROW()-1,60),ROW()-1,FALSE))</f>
        <v>32246.5</v>
      </c>
      <c r="AN106">
        <f ca="1">IF(AND(ISNUMBER($AN$310),$B$208=1),$AN$310,HLOOKUP(INDIRECT(ADDRESS(2,COLUMN())),OFFSET($BN$2,0,0,ROW()-1,60),ROW()-1,FALSE))</f>
        <v>27575.806</v>
      </c>
      <c r="AO106">
        <f ca="1">IF(AND(ISNUMBER($AO$310),$B$208=1),$AO$310,HLOOKUP(INDIRECT(ADDRESS(2,COLUMN())),OFFSET($BN$2,0,0,ROW()-1,60),ROW()-1,FALSE))</f>
        <v>17600</v>
      </c>
      <c r="AP106">
        <f ca="1">IF(AND(ISNUMBER($AP$310),$B$208=1),$AP$310,HLOOKUP(INDIRECT(ADDRESS(2,COLUMN())),OFFSET($BN$2,0,0,ROW()-1,60),ROW()-1,FALSE))</f>
        <v>28144.955000000002</v>
      </c>
      <c r="AQ106">
        <f ca="1">IF(AND(ISNUMBER($AQ$310),$B$208=1),$AQ$310,HLOOKUP(INDIRECT(ADDRESS(2,COLUMN())),OFFSET($BN$2,0,0,ROW()-1,60),ROW()-1,FALSE))</f>
        <v>16700</v>
      </c>
      <c r="AR106">
        <f ca="1">IF(AND(ISNUMBER($AR$310),$B$208=1),$AR$310,HLOOKUP(INDIRECT(ADDRESS(2,COLUMN())),OFFSET($BN$2,0,0,ROW()-1,60),ROW()-1,FALSE))</f>
        <v>28426.673999999999</v>
      </c>
      <c r="AS106" t="str">
        <f ca="1">IF(AND(ISNUMBER($AS$310),$B$208=1),$AS$310,HLOOKUP(INDIRECT(ADDRESS(2,COLUMN())),OFFSET($BN$2,0,0,ROW()-1,60),ROW()-1,FALSE))</f>
        <v/>
      </c>
      <c r="AT106">
        <f ca="1">IF(AND(ISNUMBER($AT$310),$B$208=1),$AT$310,HLOOKUP(INDIRECT(ADDRESS(2,COLUMN())),OFFSET($BN$2,0,0,ROW()-1,60),ROW()-1,FALSE))</f>
        <v>27649.039000000001</v>
      </c>
      <c r="AU106" t="str">
        <f ca="1">IF(AND(ISNUMBER($AU$310),$B$208=1),$AU$310,HLOOKUP(INDIRECT(ADDRESS(2,COLUMN())),OFFSET($BN$2,0,0,ROW()-1,60),ROW()-1,FALSE))</f>
        <v/>
      </c>
      <c r="AV106">
        <f ca="1">IF(AND(ISNUMBER($AV$310),$B$208=1),$AV$310,HLOOKUP(INDIRECT(ADDRESS(2,COLUMN())),OFFSET($BN$2,0,0,ROW()-1,60),ROW()-1,FALSE))</f>
        <v>26595.769</v>
      </c>
      <c r="AW106" t="str">
        <f ca="1">IF(AND(ISNUMBER($AW$310),$B$208=1),$AW$310,HLOOKUP(INDIRECT(ADDRESS(2,COLUMN())),OFFSET($BN$2,0,0,ROW()-1,60),ROW()-1,FALSE))</f>
        <v/>
      </c>
      <c r="AX106">
        <f ca="1">IF(AND(ISNUMBER($AX$310),$B$208=1),$AX$310,HLOOKUP(INDIRECT(ADDRESS(2,COLUMN())),OFFSET($BN$2,0,0,ROW()-1,60),ROW()-1,FALSE))</f>
        <v>28330.089</v>
      </c>
      <c r="AY106" t="str">
        <f ca="1">IF(AND(ISNUMBER($AY$310),$B$208=1),$AY$310,HLOOKUP(INDIRECT(ADDRESS(2,COLUMN())),OFFSET($BN$2,0,0,ROW()-1,60),ROW()-1,FALSE))</f>
        <v/>
      </c>
      <c r="AZ106">
        <f ca="1">IF(AND(ISNUMBER($AZ$310),$B$208=1),$AZ$310,HLOOKUP(INDIRECT(ADDRESS(2,COLUMN())),OFFSET($BN$2,0,0,ROW()-1,60),ROW()-1,FALSE))</f>
        <v>28345.609</v>
      </c>
      <c r="BA106" t="str">
        <f ca="1">IF(AND(ISNUMBER($BA$310),$B$208=1),$BA$310,HLOOKUP(INDIRECT(ADDRESS(2,COLUMN())),OFFSET($BN$2,0,0,ROW()-1,60),ROW()-1,FALSE))</f>
        <v/>
      </c>
      <c r="BB106">
        <f ca="1">IF(AND(ISNUMBER($BB$310),$B$208=1),$BB$310,HLOOKUP(INDIRECT(ADDRESS(2,COLUMN())),OFFSET($BN$2,0,0,ROW()-1,60),ROW()-1,FALSE))</f>
        <v>28545.517</v>
      </c>
      <c r="BC106" t="str">
        <f ca="1">IF(AND(ISNUMBER($BC$310),$B$208=1),$BC$310,HLOOKUP(INDIRECT(ADDRESS(2,COLUMN())),OFFSET($BN$2,0,0,ROW()-1,60),ROW()-1,FALSE))</f>
        <v/>
      </c>
      <c r="BD106">
        <f ca="1">IF(AND(ISNUMBER($BD$310),$B$208=1),$BD$310,HLOOKUP(INDIRECT(ADDRESS(2,COLUMN())),OFFSET($BN$2,0,0,ROW()-1,60),ROW()-1,FALSE))</f>
        <v>30347.234</v>
      </c>
      <c r="BE106" t="str">
        <f ca="1">IF(AND(ISNUMBER($BE$310),$B$208=1),$BE$310,HLOOKUP(INDIRECT(ADDRESS(2,COLUMN())),OFFSET($BN$2,0,0,ROW()-1,60),ROW()-1,FALSE))</f>
        <v/>
      </c>
      <c r="BF106">
        <f ca="1">IF(AND(ISNUMBER($BF$310),$B$208=1),$BF$310,HLOOKUP(INDIRECT(ADDRESS(2,COLUMN())),OFFSET($BN$2,0,0,ROW()-1,60),ROW()-1,FALSE))</f>
        <v>30883.421999999999</v>
      </c>
      <c r="BG106" t="str">
        <f ca="1">IF(AND(ISNUMBER($BG$310),$B$208=1),$BG$310,HLOOKUP(INDIRECT(ADDRESS(2,COLUMN())),OFFSET($BN$2,0,0,ROW()-1,60),ROW()-1,FALSE))</f>
        <v/>
      </c>
      <c r="BH106" t="str">
        <f ca="1">IF(AND(ISNUMBER($BH$310),$B$208=1),$BH$310,HLOOKUP(INDIRECT(ADDRESS(2,COLUMN())),OFFSET($BN$2,0,0,ROW()-1,60),ROW()-1,FALSE))</f>
        <v/>
      </c>
      <c r="BI106" t="str">
        <f ca="1">IF(AND(ISNUMBER($BI$310),$B$208=1),$BI$310,HLOOKUP(INDIRECT(ADDRESS(2,COLUMN())),OFFSET($BN$2,0,0,ROW()-1,60),ROW()-1,FALSE))</f>
        <v/>
      </c>
      <c r="BJ106" t="str">
        <f ca="1">IF(AND(ISNUMBER($BJ$310),$B$208=1),$BJ$310,HLOOKUP(INDIRECT(ADDRESS(2,COLUMN())),OFFSET($BN$2,0,0,ROW()-1,60),ROW()-1,FALSE))</f>
        <v/>
      </c>
      <c r="BK106" t="str">
        <f ca="1">IF(AND(ISNUMBER($BK$310),$B$208=1),$BK$310,HLOOKUP(INDIRECT(ADDRESS(2,COLUMN())),OFFSET($BN$2,0,0,ROW()-1,60),ROW()-1,FALSE))</f>
        <v/>
      </c>
      <c r="BL106" t="str">
        <f ca="1">IF(AND(ISNUMBER($BL$310),$B$208=1),$BL$310,HLOOKUP(INDIRECT(ADDRESS(2,COLUMN())),OFFSET($BN$2,0,0,ROW()-1,60),ROW()-1,FALSE))</f>
        <v/>
      </c>
      <c r="BM106" t="str">
        <f ca="1">IF(AND(ISNUMBER($BM$310),$B$208=1),$BM$310,HLOOKUP(INDIRECT(ADDRESS(2,COLUMN())),OFFSET($BN$2,0,0,ROW()-1,60),ROW()-1,FALSE))</f>
        <v/>
      </c>
      <c r="BN106">
        <f>45349.3</f>
        <v>45349.3</v>
      </c>
      <c r="BO106">
        <f>44362.4</f>
        <v>44362.400000000001</v>
      </c>
      <c r="BP106">
        <f>40140.69</f>
        <v>40140.69</v>
      </c>
      <c r="BQ106">
        <f>43791.6</f>
        <v>43791.6</v>
      </c>
      <c r="BR106">
        <f>39793.906</f>
        <v>39793.906000000003</v>
      </c>
      <c r="BS106">
        <f>42722.8</f>
        <v>42722.8</v>
      </c>
      <c r="BT106">
        <f>40932.683</f>
        <v>40932.682999999997</v>
      </c>
      <c r="BU106">
        <f>44443.8</f>
        <v>44443.8</v>
      </c>
      <c r="BV106">
        <f>42017.57</f>
        <v>42017.57</v>
      </c>
      <c r="BW106">
        <f>43664.1</f>
        <v>43664.1</v>
      </c>
      <c r="BX106">
        <f>40637.92</f>
        <v>40637.919999999998</v>
      </c>
      <c r="BY106">
        <f>42819.1</f>
        <v>42819.1</v>
      </c>
      <c r="BZ106">
        <f>39230.392</f>
        <v>39230.392</v>
      </c>
      <c r="CA106">
        <f>41061</f>
        <v>41061</v>
      </c>
      <c r="CB106">
        <f>38009.318</f>
        <v>38009.317999999999</v>
      </c>
      <c r="CC106">
        <f>39986</f>
        <v>39986</v>
      </c>
      <c r="CD106">
        <f>37870.7</f>
        <v>37870.699999999997</v>
      </c>
      <c r="CE106">
        <f>39769.7</f>
        <v>39769.699999999997</v>
      </c>
      <c r="CF106">
        <f>38040.108</f>
        <v>38040.108</v>
      </c>
      <c r="CG106">
        <f>40257.2</f>
        <v>40257.199999999997</v>
      </c>
      <c r="CH106">
        <f>36991.44</f>
        <v>36991.440000000002</v>
      </c>
      <c r="CI106">
        <f>38215.1</f>
        <v>38215.1</v>
      </c>
      <c r="CJ106">
        <f>35529.212</f>
        <v>35529.212</v>
      </c>
      <c r="CK106">
        <f>24000</f>
        <v>24000</v>
      </c>
      <c r="CL106">
        <f>33764.151</f>
        <v>33764.150999999998</v>
      </c>
      <c r="CM106">
        <f>35802.7</f>
        <v>35802.699999999997</v>
      </c>
      <c r="CN106">
        <f>32667.261</f>
        <v>32667.260999999999</v>
      </c>
      <c r="CO106">
        <f>22400</f>
        <v>22400</v>
      </c>
      <c r="CP106">
        <f>31540.767</f>
        <v>31540.767</v>
      </c>
      <c r="CQ106">
        <f>32723.2</f>
        <v>32723.200000000001</v>
      </c>
      <c r="CR106">
        <f>30385.257</f>
        <v>30385.257000000001</v>
      </c>
      <c r="CS106">
        <f>20200</f>
        <v>20200</v>
      </c>
      <c r="CT106">
        <f>30418.713</f>
        <v>30418.713</v>
      </c>
      <c r="CU106">
        <f>32246.5</f>
        <v>32246.5</v>
      </c>
      <c r="CV106">
        <f>27575.806</f>
        <v>27575.806</v>
      </c>
      <c r="CW106">
        <f>17600</f>
        <v>17600</v>
      </c>
      <c r="CX106">
        <f>28144.955</f>
        <v>28144.955000000002</v>
      </c>
      <c r="CY106">
        <f>16700</f>
        <v>16700</v>
      </c>
      <c r="CZ106">
        <f>28426.674</f>
        <v>28426.673999999999</v>
      </c>
      <c r="DA106" t="str">
        <f>""</f>
        <v/>
      </c>
      <c r="DB106">
        <f>27649.039</f>
        <v>27649.039000000001</v>
      </c>
      <c r="DC106" t="str">
        <f>""</f>
        <v/>
      </c>
      <c r="DD106">
        <f>26595.769</f>
        <v>26595.769</v>
      </c>
      <c r="DE106" t="str">
        <f>""</f>
        <v/>
      </c>
      <c r="DF106">
        <f>28330.089</f>
        <v>28330.089</v>
      </c>
      <c r="DG106" t="str">
        <f>""</f>
        <v/>
      </c>
      <c r="DH106">
        <f>28345.609</f>
        <v>28345.609</v>
      </c>
      <c r="DI106" t="str">
        <f>""</f>
        <v/>
      </c>
      <c r="DJ106">
        <f>28545.517</f>
        <v>28545.517</v>
      </c>
      <c r="DK106" t="str">
        <f>""</f>
        <v/>
      </c>
      <c r="DL106">
        <f>30347.234</f>
        <v>30347.234</v>
      </c>
      <c r="DM106" t="str">
        <f>""</f>
        <v/>
      </c>
      <c r="DN106">
        <f>30883.422</f>
        <v>30883.421999999999</v>
      </c>
      <c r="DO106" t="str">
        <f>""</f>
        <v/>
      </c>
      <c r="DP106" t="str">
        <f>""</f>
        <v/>
      </c>
      <c r="DQ106" t="str">
        <f>""</f>
        <v/>
      </c>
      <c r="DR106" t="str">
        <f>""</f>
        <v/>
      </c>
      <c r="DS106" t="str">
        <f>""</f>
        <v/>
      </c>
      <c r="DT106" t="str">
        <f>""</f>
        <v/>
      </c>
      <c r="DU106" t="str">
        <f>""</f>
        <v/>
      </c>
    </row>
    <row r="107" spans="1:125" x14ac:dyDescent="0.25">
      <c r="A107" t="str">
        <f>"    NatWest Group PLC"</f>
        <v xml:space="preserve">    NatWest Group PLC</v>
      </c>
      <c r="B107" t="str">
        <f>"NWG LN Equity"</f>
        <v>NWG LN Equity</v>
      </c>
      <c r="C107" t="str">
        <f t="shared" si="6"/>
        <v>BS017</v>
      </c>
      <c r="D107" t="str">
        <f t="shared" si="7"/>
        <v>BS_CONS_LOAN</v>
      </c>
      <c r="E107" t="str">
        <f t="shared" si="8"/>
        <v>Dynamic</v>
      </c>
      <c r="F107" t="str">
        <f ca="1">IF(AND(ISNUMBER($F$311),$B$208=1),$F$311,HLOOKUP(INDIRECT(ADDRESS(2,COLUMN())),OFFSET($BN$2,0,0,ROW()-1,60),ROW()-1,FALSE))</f>
        <v/>
      </c>
      <c r="G107" t="str">
        <f ca="1">IF(AND(ISNUMBER($G$311),$B$208=1),$G$311,HLOOKUP(INDIRECT(ADDRESS(2,COLUMN())),OFFSET($BN$2,0,0,ROW()-1,60),ROW()-1,FALSE))</f>
        <v/>
      </c>
      <c r="H107" t="str">
        <f ca="1">IF(AND(ISNUMBER($H$311),$B$208=1),$H$311,HLOOKUP(INDIRECT(ADDRESS(2,COLUMN())),OFFSET($BN$2,0,0,ROW()-1,60),ROW()-1,FALSE))</f>
        <v/>
      </c>
      <c r="I107" t="str">
        <f ca="1">IF(AND(ISNUMBER($I$311),$B$208=1),$I$311,HLOOKUP(INDIRECT(ADDRESS(2,COLUMN())),OFFSET($BN$2,0,0,ROW()-1,60),ROW()-1,FALSE))</f>
        <v/>
      </c>
      <c r="J107" t="str">
        <f ca="1">IF(AND(ISNUMBER($J$311),$B$208=1),$J$311,HLOOKUP(INDIRECT(ADDRESS(2,COLUMN())),OFFSET($BN$2,0,0,ROW()-1,60),ROW()-1,FALSE))</f>
        <v/>
      </c>
      <c r="K107" t="str">
        <f ca="1">IF(AND(ISNUMBER($K$311),$B$208=1),$K$311,HLOOKUP(INDIRECT(ADDRESS(2,COLUMN())),OFFSET($BN$2,0,0,ROW()-1,60),ROW()-1,FALSE))</f>
        <v/>
      </c>
      <c r="L107" t="str">
        <f ca="1">IF(AND(ISNUMBER($L$311),$B$208=1),$L$311,HLOOKUP(INDIRECT(ADDRESS(2,COLUMN())),OFFSET($BN$2,0,0,ROW()-1,60),ROW()-1,FALSE))</f>
        <v/>
      </c>
      <c r="M107" t="str">
        <f ca="1">IF(AND(ISNUMBER($M$311),$B$208=1),$M$311,HLOOKUP(INDIRECT(ADDRESS(2,COLUMN())),OFFSET($BN$2,0,0,ROW()-1,60),ROW()-1,FALSE))</f>
        <v/>
      </c>
      <c r="N107" t="str">
        <f ca="1">IF(AND(ISNUMBER($N$311),$B$208=1),$N$311,HLOOKUP(INDIRECT(ADDRESS(2,COLUMN())),OFFSET($BN$2,0,0,ROW()-1,60),ROW()-1,FALSE))</f>
        <v/>
      </c>
      <c r="O107" t="str">
        <f ca="1">IF(AND(ISNUMBER($O$311),$B$208=1),$O$311,HLOOKUP(INDIRECT(ADDRESS(2,COLUMN())),OFFSET($BN$2,0,0,ROW()-1,60),ROW()-1,FALSE))</f>
        <v/>
      </c>
      <c r="P107" t="str">
        <f ca="1">IF(AND(ISNUMBER($P$311),$B$208=1),$P$311,HLOOKUP(INDIRECT(ADDRESS(2,COLUMN())),OFFSET($BN$2,0,0,ROW()-1,60),ROW()-1,FALSE))</f>
        <v/>
      </c>
      <c r="Q107" t="str">
        <f ca="1">IF(AND(ISNUMBER($Q$311),$B$208=1),$Q$311,HLOOKUP(INDIRECT(ADDRESS(2,COLUMN())),OFFSET($BN$2,0,0,ROW()-1,60),ROW()-1,FALSE))</f>
        <v/>
      </c>
      <c r="R107" t="str">
        <f ca="1">IF(AND(ISNUMBER($R$311),$B$208=1),$R$311,HLOOKUP(INDIRECT(ADDRESS(2,COLUMN())),OFFSET($BN$2,0,0,ROW()-1,60),ROW()-1,FALSE))</f>
        <v/>
      </c>
      <c r="S107" t="str">
        <f ca="1">IF(AND(ISNUMBER($S$311),$B$208=1),$S$311,HLOOKUP(INDIRECT(ADDRESS(2,COLUMN())),OFFSET($BN$2,0,0,ROW()-1,60),ROW()-1,FALSE))</f>
        <v/>
      </c>
      <c r="T107" t="str">
        <f ca="1">IF(AND(ISNUMBER($T$311),$B$208=1),$T$311,HLOOKUP(INDIRECT(ADDRESS(2,COLUMN())),OFFSET($BN$2,0,0,ROW()-1,60),ROW()-1,FALSE))</f>
        <v/>
      </c>
      <c r="U107" t="str">
        <f ca="1">IF(AND(ISNUMBER($U$311),$B$208=1),$U$311,HLOOKUP(INDIRECT(ADDRESS(2,COLUMN())),OFFSET($BN$2,0,0,ROW()-1,60),ROW()-1,FALSE))</f>
        <v/>
      </c>
      <c r="V107" t="str">
        <f ca="1">IF(AND(ISNUMBER($V$311),$B$208=1),$V$311,HLOOKUP(INDIRECT(ADDRESS(2,COLUMN())),OFFSET($BN$2,0,0,ROW()-1,60),ROW()-1,FALSE))</f>
        <v/>
      </c>
      <c r="W107" t="str">
        <f ca="1">IF(AND(ISNUMBER($W$311),$B$208=1),$W$311,HLOOKUP(INDIRECT(ADDRESS(2,COLUMN())),OFFSET($BN$2,0,0,ROW()-1,60),ROW()-1,FALSE))</f>
        <v/>
      </c>
      <c r="X107" t="str">
        <f ca="1">IF(AND(ISNUMBER($X$311),$B$208=1),$X$311,HLOOKUP(INDIRECT(ADDRESS(2,COLUMN())),OFFSET($BN$2,0,0,ROW()-1,60),ROW()-1,FALSE))</f>
        <v/>
      </c>
      <c r="Y107" t="str">
        <f ca="1">IF(AND(ISNUMBER($Y$311),$B$208=1),$Y$311,HLOOKUP(INDIRECT(ADDRESS(2,COLUMN())),OFFSET($BN$2,0,0,ROW()-1,60),ROW()-1,FALSE))</f>
        <v/>
      </c>
      <c r="Z107" t="str">
        <f ca="1">IF(AND(ISNUMBER($Z$311),$B$208=1),$Z$311,HLOOKUP(INDIRECT(ADDRESS(2,COLUMN())),OFFSET($BN$2,0,0,ROW()-1,60),ROW()-1,FALSE))</f>
        <v/>
      </c>
      <c r="AA107" t="str">
        <f ca="1">IF(AND(ISNUMBER($AA$311),$B$208=1),$AA$311,HLOOKUP(INDIRECT(ADDRESS(2,COLUMN())),OFFSET($BN$2,0,0,ROW()-1,60),ROW()-1,FALSE))</f>
        <v/>
      </c>
      <c r="AB107" t="str">
        <f ca="1">IF(AND(ISNUMBER($AB$311),$B$208=1),$AB$311,HLOOKUP(INDIRECT(ADDRESS(2,COLUMN())),OFFSET($BN$2,0,0,ROW()-1,60),ROW()-1,FALSE))</f>
        <v/>
      </c>
      <c r="AC107" t="str">
        <f ca="1">IF(AND(ISNUMBER($AC$311),$B$208=1),$AC$311,HLOOKUP(INDIRECT(ADDRESS(2,COLUMN())),OFFSET($BN$2,0,0,ROW()-1,60),ROW()-1,FALSE))</f>
        <v/>
      </c>
      <c r="AD107" t="str">
        <f ca="1">IF(AND(ISNUMBER($AD$311),$B$208=1),$AD$311,HLOOKUP(INDIRECT(ADDRESS(2,COLUMN())),OFFSET($BN$2,0,0,ROW()-1,60),ROW()-1,FALSE))</f>
        <v/>
      </c>
      <c r="AE107" t="str">
        <f ca="1">IF(AND(ISNUMBER($AE$311),$B$208=1),$AE$311,HLOOKUP(INDIRECT(ADDRESS(2,COLUMN())),OFFSET($BN$2,0,0,ROW()-1,60),ROW()-1,FALSE))</f>
        <v/>
      </c>
      <c r="AF107" t="str">
        <f ca="1">IF(AND(ISNUMBER($AF$311),$B$208=1),$AF$311,HLOOKUP(INDIRECT(ADDRESS(2,COLUMN())),OFFSET($BN$2,0,0,ROW()-1,60),ROW()-1,FALSE))</f>
        <v/>
      </c>
      <c r="AG107" t="str">
        <f ca="1">IF(AND(ISNUMBER($AG$311),$B$208=1),$AG$311,HLOOKUP(INDIRECT(ADDRESS(2,COLUMN())),OFFSET($BN$2,0,0,ROW()-1,60),ROW()-1,FALSE))</f>
        <v/>
      </c>
      <c r="AH107" t="str">
        <f ca="1">IF(AND(ISNUMBER($AH$311),$B$208=1),$AH$311,HLOOKUP(INDIRECT(ADDRESS(2,COLUMN())),OFFSET($BN$2,0,0,ROW()-1,60),ROW()-1,FALSE))</f>
        <v/>
      </c>
      <c r="AI107" t="str">
        <f ca="1">IF(AND(ISNUMBER($AI$311),$B$208=1),$AI$311,HLOOKUP(INDIRECT(ADDRESS(2,COLUMN())),OFFSET($BN$2,0,0,ROW()-1,60),ROW()-1,FALSE))</f>
        <v/>
      </c>
      <c r="AJ107" t="str">
        <f ca="1">IF(AND(ISNUMBER($AJ$311),$B$208=1),$AJ$311,HLOOKUP(INDIRECT(ADDRESS(2,COLUMN())),OFFSET($BN$2,0,0,ROW()-1,60),ROW()-1,FALSE))</f>
        <v/>
      </c>
      <c r="AK107" t="str">
        <f ca="1">IF(AND(ISNUMBER($AK$311),$B$208=1),$AK$311,HLOOKUP(INDIRECT(ADDRESS(2,COLUMN())),OFFSET($BN$2,0,0,ROW()-1,60),ROW()-1,FALSE))</f>
        <v/>
      </c>
      <c r="AL107" t="str">
        <f ca="1">IF(AND(ISNUMBER($AL$311),$B$208=1),$AL$311,HLOOKUP(INDIRECT(ADDRESS(2,COLUMN())),OFFSET($BN$2,0,0,ROW()-1,60),ROW()-1,FALSE))</f>
        <v/>
      </c>
      <c r="AM107" t="str">
        <f ca="1">IF(AND(ISNUMBER($AM$311),$B$208=1),$AM$311,HLOOKUP(INDIRECT(ADDRESS(2,COLUMN())),OFFSET($BN$2,0,0,ROW()-1,60),ROW()-1,FALSE))</f>
        <v/>
      </c>
      <c r="AN107" t="str">
        <f ca="1">IF(AND(ISNUMBER($AN$311),$B$208=1),$AN$311,HLOOKUP(INDIRECT(ADDRESS(2,COLUMN())),OFFSET($BN$2,0,0,ROW()-1,60),ROW()-1,FALSE))</f>
        <v/>
      </c>
      <c r="AO107" t="str">
        <f ca="1">IF(AND(ISNUMBER($AO$311),$B$208=1),$AO$311,HLOOKUP(INDIRECT(ADDRESS(2,COLUMN())),OFFSET($BN$2,0,0,ROW()-1,60),ROW()-1,FALSE))</f>
        <v/>
      </c>
      <c r="AP107" t="str">
        <f ca="1">IF(AND(ISNUMBER($AP$311),$B$208=1),$AP$311,HLOOKUP(INDIRECT(ADDRESS(2,COLUMN())),OFFSET($BN$2,0,0,ROW()-1,60),ROW()-1,FALSE))</f>
        <v/>
      </c>
      <c r="AQ107" t="str">
        <f ca="1">IF(AND(ISNUMBER($AQ$311),$B$208=1),$AQ$311,HLOOKUP(INDIRECT(ADDRESS(2,COLUMN())),OFFSET($BN$2,0,0,ROW()-1,60),ROW()-1,FALSE))</f>
        <v/>
      </c>
      <c r="AR107" t="str">
        <f ca="1">IF(AND(ISNUMBER($AR$311),$B$208=1),$AR$311,HLOOKUP(INDIRECT(ADDRESS(2,COLUMN())),OFFSET($BN$2,0,0,ROW()-1,60),ROW()-1,FALSE))</f>
        <v/>
      </c>
      <c r="AS107" t="str">
        <f ca="1">IF(AND(ISNUMBER($AS$311),$B$208=1),$AS$311,HLOOKUP(INDIRECT(ADDRESS(2,COLUMN())),OFFSET($BN$2,0,0,ROW()-1,60),ROW()-1,FALSE))</f>
        <v/>
      </c>
      <c r="AT107" t="str">
        <f ca="1">IF(AND(ISNUMBER($AT$311),$B$208=1),$AT$311,HLOOKUP(INDIRECT(ADDRESS(2,COLUMN())),OFFSET($BN$2,0,0,ROW()-1,60),ROW()-1,FALSE))</f>
        <v/>
      </c>
      <c r="AU107" t="str">
        <f ca="1">IF(AND(ISNUMBER($AU$311),$B$208=1),$AU$311,HLOOKUP(INDIRECT(ADDRESS(2,COLUMN())),OFFSET($BN$2,0,0,ROW()-1,60),ROW()-1,FALSE))</f>
        <v/>
      </c>
      <c r="AV107" t="str">
        <f ca="1">IF(AND(ISNUMBER($AV$311),$B$208=1),$AV$311,HLOOKUP(INDIRECT(ADDRESS(2,COLUMN())),OFFSET($BN$2,0,0,ROW()-1,60),ROW()-1,FALSE))</f>
        <v/>
      </c>
      <c r="AW107" t="str">
        <f ca="1">IF(AND(ISNUMBER($AW$311),$B$208=1),$AW$311,HLOOKUP(INDIRECT(ADDRESS(2,COLUMN())),OFFSET($BN$2,0,0,ROW()-1,60),ROW()-1,FALSE))</f>
        <v/>
      </c>
      <c r="AX107">
        <f ca="1">IF(AND(ISNUMBER($AX$311),$B$208=1),$AX$311,HLOOKUP(INDIRECT(ADDRESS(2,COLUMN())),OFFSET($BN$2,0,0,ROW()-1,60),ROW()-1,FALSE))</f>
        <v>211926.82329999999</v>
      </c>
      <c r="AY107">
        <f ca="1">IF(AND(ISNUMBER($AY$311),$B$208=1),$AY$311,HLOOKUP(INDIRECT(ADDRESS(2,COLUMN())),OFFSET($BN$2,0,0,ROW()-1,60),ROW()-1,FALSE))</f>
        <v>210893.2776</v>
      </c>
      <c r="AZ107" t="str">
        <f ca="1">IF(AND(ISNUMBER($AZ$311),$B$208=1),$AZ$311,HLOOKUP(INDIRECT(ADDRESS(2,COLUMN())),OFFSET($BN$2,0,0,ROW()-1,60),ROW()-1,FALSE))</f>
        <v/>
      </c>
      <c r="BA107" t="str">
        <f ca="1">IF(AND(ISNUMBER($BA$311),$B$208=1),$BA$311,HLOOKUP(INDIRECT(ADDRESS(2,COLUMN())),OFFSET($BN$2,0,0,ROW()-1,60),ROW()-1,FALSE))</f>
        <v/>
      </c>
      <c r="BB107" t="str">
        <f ca="1">IF(AND(ISNUMBER($BB$311),$B$208=1),$BB$311,HLOOKUP(INDIRECT(ADDRESS(2,COLUMN())),OFFSET($BN$2,0,0,ROW()-1,60),ROW()-1,FALSE))</f>
        <v/>
      </c>
      <c r="BC107" t="str">
        <f ca="1">IF(AND(ISNUMBER($BC$311),$B$208=1),$BC$311,HLOOKUP(INDIRECT(ADDRESS(2,COLUMN())),OFFSET($BN$2,0,0,ROW()-1,60),ROW()-1,FALSE))</f>
        <v/>
      </c>
      <c r="BD107" t="str">
        <f ca="1">IF(AND(ISNUMBER($BD$311),$B$208=1),$BD$311,HLOOKUP(INDIRECT(ADDRESS(2,COLUMN())),OFFSET($BN$2,0,0,ROW()-1,60),ROW()-1,FALSE))</f>
        <v/>
      </c>
      <c r="BE107">
        <f ca="1">IF(AND(ISNUMBER($BE$311),$B$208=1),$BE$311,HLOOKUP(INDIRECT(ADDRESS(2,COLUMN())),OFFSET($BN$2,0,0,ROW()-1,60),ROW()-1,FALSE))</f>
        <v>210776.0612</v>
      </c>
      <c r="BF107">
        <f ca="1">IF(AND(ISNUMBER($BF$311),$B$208=1),$BF$311,HLOOKUP(INDIRECT(ADDRESS(2,COLUMN())),OFFSET($BN$2,0,0,ROW()-1,60),ROW()-1,FALSE))</f>
        <v>210896.073</v>
      </c>
      <c r="BG107">
        <f ca="1">IF(AND(ISNUMBER($BG$311),$B$208=1),$BG$311,HLOOKUP(INDIRECT(ADDRESS(2,COLUMN())),OFFSET($BN$2,0,0,ROW()-1,60),ROW()-1,FALSE))</f>
        <v>214343.50930000001</v>
      </c>
      <c r="BH107">
        <f ca="1">IF(AND(ISNUMBER($BH$311),$B$208=1),$BH$311,HLOOKUP(INDIRECT(ADDRESS(2,COLUMN())),OFFSET($BN$2,0,0,ROW()-1,60),ROW()-1,FALSE))</f>
        <v>205252.32629999999</v>
      </c>
      <c r="BI107">
        <f ca="1">IF(AND(ISNUMBER($BI$311),$B$208=1),$BI$311,HLOOKUP(INDIRECT(ADDRESS(2,COLUMN())),OFFSET($BN$2,0,0,ROW()-1,60),ROW()-1,FALSE))</f>
        <v>208800.30220000001</v>
      </c>
      <c r="BJ107">
        <f ca="1">IF(AND(ISNUMBER($BJ$311),$B$208=1),$BJ$311,HLOOKUP(INDIRECT(ADDRESS(2,COLUMN())),OFFSET($BN$2,0,0,ROW()-1,60),ROW()-1,FALSE))</f>
        <v>214598.462</v>
      </c>
      <c r="BK107">
        <f ca="1">IF(AND(ISNUMBER($BK$311),$B$208=1),$BK$311,HLOOKUP(INDIRECT(ADDRESS(2,COLUMN())),OFFSET($BN$2,0,0,ROW()-1,60),ROW()-1,FALSE))</f>
        <v>212616.6931</v>
      </c>
      <c r="BL107" t="str">
        <f ca="1">IF(AND(ISNUMBER($BL$311),$B$208=1),$BL$311,HLOOKUP(INDIRECT(ADDRESS(2,COLUMN())),OFFSET($BN$2,0,0,ROW()-1,60),ROW()-1,FALSE))</f>
        <v/>
      </c>
      <c r="BM107" t="str">
        <f ca="1">IF(AND(ISNUMBER($BM$311),$B$208=1),$BM$311,HLOOKUP(INDIRECT(ADDRESS(2,COLUMN())),OFFSET($BN$2,0,0,ROW()-1,60),ROW()-1,FALSE))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  <c r="BT107" t="str">
        <f>""</f>
        <v/>
      </c>
      <c r="BU107" t="str">
        <f>""</f>
        <v/>
      </c>
      <c r="BV107" t="str">
        <f>""</f>
        <v/>
      </c>
      <c r="BW107" t="str">
        <f>""</f>
        <v/>
      </c>
      <c r="BX107" t="str">
        <f>""</f>
        <v/>
      </c>
      <c r="BY107" t="str">
        <f>""</f>
        <v/>
      </c>
      <c r="BZ107" t="str">
        <f>""</f>
        <v/>
      </c>
      <c r="CA107" t="str">
        <f>""</f>
        <v/>
      </c>
      <c r="CB107" t="str">
        <f>""</f>
        <v/>
      </c>
      <c r="CC107" t="str">
        <f>""</f>
        <v/>
      </c>
      <c r="CD107" t="str">
        <f>""</f>
        <v/>
      </c>
      <c r="CE107" t="str">
        <f>""</f>
        <v/>
      </c>
      <c r="CF107" t="str">
        <f>""</f>
        <v/>
      </c>
      <c r="CG107" t="str">
        <f>""</f>
        <v/>
      </c>
      <c r="CH107" t="str">
        <f>""</f>
        <v/>
      </c>
      <c r="CI107" t="str">
        <f>""</f>
        <v/>
      </c>
      <c r="CJ107" t="str">
        <f>""</f>
        <v/>
      </c>
      <c r="CK107" t="str">
        <f>""</f>
        <v/>
      </c>
      <c r="CL107" t="str">
        <f>""</f>
        <v/>
      </c>
      <c r="CM107" t="str">
        <f>""</f>
        <v/>
      </c>
      <c r="CN107" t="str">
        <f>""</f>
        <v/>
      </c>
      <c r="CO107" t="str">
        <f>""</f>
        <v/>
      </c>
      <c r="CP107" t="str">
        <f>""</f>
        <v/>
      </c>
      <c r="CQ107" t="str">
        <f>""</f>
        <v/>
      </c>
      <c r="CR107" t="str">
        <f>""</f>
        <v/>
      </c>
      <c r="CS107" t="str">
        <f>""</f>
        <v/>
      </c>
      <c r="CT107" t="str">
        <f>""</f>
        <v/>
      </c>
      <c r="CU107" t="str">
        <f>""</f>
        <v/>
      </c>
      <c r="CV107" t="str">
        <f>""</f>
        <v/>
      </c>
      <c r="CW107" t="str">
        <f>""</f>
        <v/>
      </c>
      <c r="CX107" t="str">
        <f>""</f>
        <v/>
      </c>
      <c r="CY107" t="str">
        <f>""</f>
        <v/>
      </c>
      <c r="CZ107" t="str">
        <f>""</f>
        <v/>
      </c>
      <c r="DA107" t="str">
        <f>""</f>
        <v/>
      </c>
      <c r="DB107" t="str">
        <f>""</f>
        <v/>
      </c>
      <c r="DC107" t="str">
        <f>""</f>
        <v/>
      </c>
      <c r="DD107" t="str">
        <f>""</f>
        <v/>
      </c>
      <c r="DE107" t="str">
        <f>""</f>
        <v/>
      </c>
      <c r="DF107">
        <f>211926.8233</f>
        <v>211926.82329999999</v>
      </c>
      <c r="DG107">
        <f>210893.2776</f>
        <v>210893.2776</v>
      </c>
      <c r="DH107" t="str">
        <f>""</f>
        <v/>
      </c>
      <c r="DI107" t="str">
        <f>""</f>
        <v/>
      </c>
      <c r="DJ107" t="str">
        <f>""</f>
        <v/>
      </c>
      <c r="DK107" t="str">
        <f>""</f>
        <v/>
      </c>
      <c r="DL107" t="str">
        <f>""</f>
        <v/>
      </c>
      <c r="DM107">
        <f>210776.0612</f>
        <v>210776.0612</v>
      </c>
      <c r="DN107">
        <f>210896.073</f>
        <v>210896.073</v>
      </c>
      <c r="DO107">
        <f>214343.5093</f>
        <v>214343.50930000001</v>
      </c>
      <c r="DP107">
        <f>205252.3263</f>
        <v>205252.32629999999</v>
      </c>
      <c r="DQ107">
        <f>208800.3022</f>
        <v>208800.30220000001</v>
      </c>
      <c r="DR107">
        <f>214598.462</f>
        <v>214598.462</v>
      </c>
      <c r="DS107">
        <f>212616.6931</f>
        <v>212616.6931</v>
      </c>
      <c r="DT107" t="str">
        <f>""</f>
        <v/>
      </c>
      <c r="DU107" t="str">
        <f>""</f>
        <v/>
      </c>
    </row>
    <row r="108" spans="1:125" x14ac:dyDescent="0.25">
      <c r="A108" t="str">
        <f>"    Nordea Bank Abp"</f>
        <v xml:space="preserve">    Nordea Bank Abp</v>
      </c>
      <c r="B108" t="str">
        <f>"NDA FH Equity"</f>
        <v>NDA FH Equity</v>
      </c>
      <c r="C108" t="str">
        <f t="shared" si="6"/>
        <v>BS017</v>
      </c>
      <c r="D108" t="str">
        <f t="shared" si="7"/>
        <v>BS_CONS_LOAN</v>
      </c>
      <c r="E108" t="str">
        <f t="shared" si="8"/>
        <v>Dynamic</v>
      </c>
      <c r="F108">
        <f ca="1">IF(AND(ISNUMBER($F$312),$B$208=1),$F$312,HLOOKUP(INDIRECT(ADDRESS(2,COLUMN())),OFFSET($BN$2,0,0,ROW()-1,60),ROW()-1,FALSE))</f>
        <v>151237</v>
      </c>
      <c r="G108">
        <f ca="1">IF(AND(ISNUMBER($G$312),$B$208=1),$G$312,HLOOKUP(INDIRECT(ADDRESS(2,COLUMN())),OFFSET($BN$2,0,0,ROW()-1,60),ROW()-1,FALSE))</f>
        <v>143294</v>
      </c>
      <c r="H108">
        <f ca="1">IF(AND(ISNUMBER($H$312),$B$208=1),$H$312,HLOOKUP(INDIRECT(ADDRESS(2,COLUMN())),OFFSET($BN$2,0,0,ROW()-1,60),ROW()-1,FALSE))</f>
        <v>143533</v>
      </c>
      <c r="I108">
        <f ca="1">IF(AND(ISNUMBER($I$312),$B$208=1),$I$312,HLOOKUP(INDIRECT(ADDRESS(2,COLUMN())),OFFSET($BN$2,0,0,ROW()-1,60),ROW()-1,FALSE))</f>
        <v>141629</v>
      </c>
      <c r="J108">
        <f ca="1">IF(AND(ISNUMBER($J$312),$B$208=1),$J$312,HLOOKUP(INDIRECT(ADDRESS(2,COLUMN())),OFFSET($BN$2,0,0,ROW()-1,60),ROW()-1,FALSE))</f>
        <v>145555</v>
      </c>
      <c r="K108">
        <f ca="1">IF(AND(ISNUMBER($K$312),$B$208=1),$K$312,HLOOKUP(INDIRECT(ADDRESS(2,COLUMN())),OFFSET($BN$2,0,0,ROW()-1,60),ROW()-1,FALSE))</f>
        <v>143574</v>
      </c>
      <c r="L108">
        <f ca="1">IF(AND(ISNUMBER($L$312),$B$208=1),$L$312,HLOOKUP(INDIRECT(ADDRESS(2,COLUMN())),OFFSET($BN$2,0,0,ROW()-1,60),ROW()-1,FALSE))</f>
        <v>140950</v>
      </c>
      <c r="M108">
        <f ca="1">IF(AND(ISNUMBER($M$312),$B$208=1),$M$312,HLOOKUP(INDIRECT(ADDRESS(2,COLUMN())),OFFSET($BN$2,0,0,ROW()-1,60),ROW()-1,FALSE))</f>
        <v>143970</v>
      </c>
      <c r="N108">
        <f ca="1">IF(AND(ISNUMBER($N$312),$B$208=1),$N$312,HLOOKUP(INDIRECT(ADDRESS(2,COLUMN())),OFFSET($BN$2,0,0,ROW()-1,60),ROW()-1,FALSE))</f>
        <v>147233</v>
      </c>
      <c r="O108">
        <f ca="1">IF(AND(ISNUMBER($O$312),$B$208=1),$O$312,HLOOKUP(INDIRECT(ADDRESS(2,COLUMN())),OFFSET($BN$2,0,0,ROW()-1,60),ROW()-1,FALSE))</f>
        <v>148486</v>
      </c>
      <c r="P108">
        <f ca="1">IF(AND(ISNUMBER($P$312),$B$208=1),$P$312,HLOOKUP(INDIRECT(ADDRESS(2,COLUMN())),OFFSET($BN$2,0,0,ROW()-1,60),ROW()-1,FALSE))</f>
        <v>148893</v>
      </c>
      <c r="Q108" t="str">
        <f ca="1">IF(AND(ISNUMBER($Q$312),$B$208=1),$Q$312,HLOOKUP(INDIRECT(ADDRESS(2,COLUMN())),OFFSET($BN$2,0,0,ROW()-1,60),ROW()-1,FALSE))</f>
        <v/>
      </c>
      <c r="R108">
        <f ca="1">IF(AND(ISNUMBER($R$312),$B$208=1),$R$312,HLOOKUP(INDIRECT(ADDRESS(2,COLUMN())),OFFSET($BN$2,0,0,ROW()-1,60),ROW()-1,FALSE))</f>
        <v>148995</v>
      </c>
      <c r="S108">
        <f ca="1">IF(AND(ISNUMBER($S$312),$B$208=1),$S$312,HLOOKUP(INDIRECT(ADDRESS(2,COLUMN())),OFFSET($BN$2,0,0,ROW()-1,60),ROW()-1,FALSE))</f>
        <v>147847</v>
      </c>
      <c r="T108">
        <f ca="1">IF(AND(ISNUMBER($T$312),$B$208=1),$T$312,HLOOKUP(INDIRECT(ADDRESS(2,COLUMN())),OFFSET($BN$2,0,0,ROW()-1,60),ROW()-1,FALSE))</f>
        <v>183000</v>
      </c>
      <c r="U108">
        <f ca="1">IF(AND(ISNUMBER($U$312),$B$208=1),$U$312,HLOOKUP(INDIRECT(ADDRESS(2,COLUMN())),OFFSET($BN$2,0,0,ROW()-1,60),ROW()-1,FALSE))</f>
        <v>142785</v>
      </c>
      <c r="V108">
        <f ca="1">IF(AND(ISNUMBER($V$312),$B$208=1),$V$312,HLOOKUP(INDIRECT(ADDRESS(2,COLUMN())),OFFSET($BN$2,0,0,ROW()-1,60),ROW()-1,FALSE))</f>
        <v>175556</v>
      </c>
      <c r="W108">
        <f ca="1">IF(AND(ISNUMBER($W$312),$B$208=1),$W$312,HLOOKUP(INDIRECT(ADDRESS(2,COLUMN())),OFFSET($BN$2,0,0,ROW()-1,60),ROW()-1,FALSE))</f>
        <v>134613</v>
      </c>
      <c r="X108">
        <f ca="1">IF(AND(ISNUMBER($X$312),$B$208=1),$X$312,HLOOKUP(INDIRECT(ADDRESS(2,COLUMN())),OFFSET($BN$2,0,0,ROW()-1,60),ROW()-1,FALSE))</f>
        <v>167000</v>
      </c>
      <c r="Y108">
        <f ca="1">IF(AND(ISNUMBER($Y$312),$B$208=1),$Y$312,HLOOKUP(INDIRECT(ADDRESS(2,COLUMN())),OFFSET($BN$2,0,0,ROW()-1,60),ROW()-1,FALSE))</f>
        <v>160000</v>
      </c>
      <c r="Z108">
        <f ca="1">IF(AND(ISNUMBER($Z$312),$B$208=1),$Z$312,HLOOKUP(INDIRECT(ADDRESS(2,COLUMN())),OFFSET($BN$2,0,0,ROW()-1,60),ROW()-1,FALSE))</f>
        <v>167165</v>
      </c>
      <c r="AA108">
        <f ca="1">IF(AND(ISNUMBER($AA$312),$B$208=1),$AA$312,HLOOKUP(INDIRECT(ADDRESS(2,COLUMN())),OFFSET($BN$2,0,0,ROW()-1,60),ROW()-1,FALSE))</f>
        <v>165000</v>
      </c>
      <c r="AB108">
        <f ca="1">IF(AND(ISNUMBER($AB$312),$B$208=1),$AB$312,HLOOKUP(INDIRECT(ADDRESS(2,COLUMN())),OFFSET($BN$2,0,0,ROW()-1,60),ROW()-1,FALSE))</f>
        <v>165000</v>
      </c>
      <c r="AC108">
        <f ca="1">IF(AND(ISNUMBER($AC$312),$B$208=1),$AC$312,HLOOKUP(INDIRECT(ADDRESS(2,COLUMN())),OFFSET($BN$2,0,0,ROW()-1,60),ROW()-1,FALSE))</f>
        <v>163000</v>
      </c>
      <c r="AD108">
        <f ca="1">IF(AND(ISNUMBER($AD$312),$B$208=1),$AD$312,HLOOKUP(INDIRECT(ADDRESS(2,COLUMN())),OFFSET($BN$2,0,0,ROW()-1,60),ROW()-1,FALSE))</f>
        <v>157029</v>
      </c>
      <c r="AE108">
        <f ca="1">IF(AND(ISNUMBER($AE$312),$B$208=1),$AE$312,HLOOKUP(INDIRECT(ADDRESS(2,COLUMN())),OFFSET($BN$2,0,0,ROW()-1,60),ROW()-1,FALSE))</f>
        <v>161000</v>
      </c>
      <c r="AF108">
        <f ca="1">IF(AND(ISNUMBER($AF$312),$B$208=1),$AF$312,HLOOKUP(INDIRECT(ADDRESS(2,COLUMN())),OFFSET($BN$2,0,0,ROW()-1,60),ROW()-1,FALSE))</f>
        <v>156000</v>
      </c>
      <c r="AG108">
        <f ca="1">IF(AND(ISNUMBER($AG$312),$B$208=1),$AG$312,HLOOKUP(INDIRECT(ADDRESS(2,COLUMN())),OFFSET($BN$2,0,0,ROW()-1,60),ROW()-1,FALSE))</f>
        <v>156000</v>
      </c>
      <c r="AH108">
        <f ca="1">IF(AND(ISNUMBER($AH$312),$B$208=1),$AH$312,HLOOKUP(INDIRECT(ADDRESS(2,COLUMN())),OFFSET($BN$2,0,0,ROW()-1,60),ROW()-1,FALSE))</f>
        <v>158584</v>
      </c>
      <c r="AI108">
        <f ca="1">IF(AND(ISNUMBER($AI$312),$B$208=1),$AI$312,HLOOKUP(INDIRECT(ADDRESS(2,COLUMN())),OFFSET($BN$2,0,0,ROW()-1,60),ROW()-1,FALSE))</f>
        <v>162000</v>
      </c>
      <c r="AJ108">
        <f ca="1">IF(AND(ISNUMBER($AJ$312),$B$208=1),$AJ$312,HLOOKUP(INDIRECT(ADDRESS(2,COLUMN())),OFFSET($BN$2,0,0,ROW()-1,60),ROW()-1,FALSE))</f>
        <v>163000</v>
      </c>
      <c r="AK108">
        <f ca="1">IF(AND(ISNUMBER($AK$312),$B$208=1),$AK$312,HLOOKUP(INDIRECT(ADDRESS(2,COLUMN())),OFFSET($BN$2,0,0,ROW()-1,60),ROW()-1,FALSE))</f>
        <v>161000</v>
      </c>
      <c r="AL108">
        <f ca="1">IF(AND(ISNUMBER($AL$312),$B$208=1),$AL$312,HLOOKUP(INDIRECT(ADDRESS(2,COLUMN())),OFFSET($BN$2,0,0,ROW()-1,60),ROW()-1,FALSE))</f>
        <v>161100</v>
      </c>
      <c r="AM108">
        <f ca="1">IF(AND(ISNUMBER($AM$312),$B$208=1),$AM$312,HLOOKUP(INDIRECT(ADDRESS(2,COLUMN())),OFFSET($BN$2,0,0,ROW()-1,60),ROW()-1,FALSE))</f>
        <v>159000</v>
      </c>
      <c r="AN108">
        <f ca="1">IF(AND(ISNUMBER($AN$312),$B$208=1),$AN$312,HLOOKUP(INDIRECT(ADDRESS(2,COLUMN())),OFFSET($BN$2,0,0,ROW()-1,60),ROW()-1,FALSE))</f>
        <v>162000</v>
      </c>
      <c r="AO108">
        <f ca="1">IF(AND(ISNUMBER($AO$312),$B$208=1),$AO$312,HLOOKUP(INDIRECT(ADDRESS(2,COLUMN())),OFFSET($BN$2,0,0,ROW()-1,60),ROW()-1,FALSE))</f>
        <v>161000</v>
      </c>
      <c r="AP108">
        <f ca="1">IF(AND(ISNUMBER($AP$312),$B$208=1),$AP$312,HLOOKUP(INDIRECT(ADDRESS(2,COLUMN())),OFFSET($BN$2,0,0,ROW()-1,60),ROW()-1,FALSE))</f>
        <v>158151</v>
      </c>
      <c r="AQ108">
        <f ca="1">IF(AND(ISNUMBER($AQ$312),$B$208=1),$AQ$312,HLOOKUP(INDIRECT(ADDRESS(2,COLUMN())),OFFSET($BN$2,0,0,ROW()-1,60),ROW()-1,FALSE))</f>
        <v>155000</v>
      </c>
      <c r="AR108">
        <f ca="1">IF(AND(ISNUMBER($AR$312),$B$208=1),$AR$312,HLOOKUP(INDIRECT(ADDRESS(2,COLUMN())),OFFSET($BN$2,0,0,ROW()-1,60),ROW()-1,FALSE))</f>
        <v>158000</v>
      </c>
      <c r="AS108">
        <f ca="1">IF(AND(ISNUMBER($AS$312),$B$208=1),$AS$312,HLOOKUP(INDIRECT(ADDRESS(2,COLUMN())),OFFSET($BN$2,0,0,ROW()-1,60),ROW()-1,FALSE))</f>
        <v>157000</v>
      </c>
      <c r="AT108" t="str">
        <f ca="1">IF(AND(ISNUMBER($AT$312),$B$208=1),$AT$312,HLOOKUP(INDIRECT(ADDRESS(2,COLUMN())),OFFSET($BN$2,0,0,ROW()-1,60),ROW()-1,FALSE))</f>
        <v/>
      </c>
      <c r="AU108" t="str">
        <f ca="1">IF(AND(ISNUMBER($AU$312),$B$208=1),$AU$312,HLOOKUP(INDIRECT(ADDRESS(2,COLUMN())),OFFSET($BN$2,0,0,ROW()-1,60),ROW()-1,FALSE))</f>
        <v/>
      </c>
      <c r="AV108" t="str">
        <f ca="1">IF(AND(ISNUMBER($AV$312),$B$208=1),$AV$312,HLOOKUP(INDIRECT(ADDRESS(2,COLUMN())),OFFSET($BN$2,0,0,ROW()-1,60),ROW()-1,FALSE))</f>
        <v/>
      </c>
      <c r="AW108" t="str">
        <f ca="1">IF(AND(ISNUMBER($AW$312),$B$208=1),$AW$312,HLOOKUP(INDIRECT(ADDRESS(2,COLUMN())),OFFSET($BN$2,0,0,ROW()-1,60),ROW()-1,FALSE))</f>
        <v/>
      </c>
      <c r="AX108" t="str">
        <f ca="1">IF(AND(ISNUMBER($AX$312),$B$208=1),$AX$312,HLOOKUP(INDIRECT(ADDRESS(2,COLUMN())),OFFSET($BN$2,0,0,ROW()-1,60),ROW()-1,FALSE))</f>
        <v/>
      </c>
      <c r="AY108" t="str">
        <f ca="1">IF(AND(ISNUMBER($AY$312),$B$208=1),$AY$312,HLOOKUP(INDIRECT(ADDRESS(2,COLUMN())),OFFSET($BN$2,0,0,ROW()-1,60),ROW()-1,FALSE))</f>
        <v/>
      </c>
      <c r="AZ108" t="str">
        <f ca="1">IF(AND(ISNUMBER($AZ$312),$B$208=1),$AZ$312,HLOOKUP(INDIRECT(ADDRESS(2,COLUMN())),OFFSET($BN$2,0,0,ROW()-1,60),ROW()-1,FALSE))</f>
        <v/>
      </c>
      <c r="BA108" t="str">
        <f ca="1">IF(AND(ISNUMBER($BA$312),$B$208=1),$BA$312,HLOOKUP(INDIRECT(ADDRESS(2,COLUMN())),OFFSET($BN$2,0,0,ROW()-1,60),ROW()-1,FALSE))</f>
        <v/>
      </c>
      <c r="BB108" t="str">
        <f ca="1">IF(AND(ISNUMBER($BB$312),$B$208=1),$BB$312,HLOOKUP(INDIRECT(ADDRESS(2,COLUMN())),OFFSET($BN$2,0,0,ROW()-1,60),ROW()-1,FALSE))</f>
        <v/>
      </c>
      <c r="BC108" t="str">
        <f ca="1">IF(AND(ISNUMBER($BC$312),$B$208=1),$BC$312,HLOOKUP(INDIRECT(ADDRESS(2,COLUMN())),OFFSET($BN$2,0,0,ROW()-1,60),ROW()-1,FALSE))</f>
        <v/>
      </c>
      <c r="BD108" t="str">
        <f ca="1">IF(AND(ISNUMBER($BD$312),$B$208=1),$BD$312,HLOOKUP(INDIRECT(ADDRESS(2,COLUMN())),OFFSET($BN$2,0,0,ROW()-1,60),ROW()-1,FALSE))</f>
        <v/>
      </c>
      <c r="BE108" t="str">
        <f ca="1">IF(AND(ISNUMBER($BE$312),$B$208=1),$BE$312,HLOOKUP(INDIRECT(ADDRESS(2,COLUMN())),OFFSET($BN$2,0,0,ROW()-1,60),ROW()-1,FALSE))</f>
        <v/>
      </c>
      <c r="BF108" t="str">
        <f ca="1">IF(AND(ISNUMBER($BF$312),$B$208=1),$BF$312,HLOOKUP(INDIRECT(ADDRESS(2,COLUMN())),OFFSET($BN$2,0,0,ROW()-1,60),ROW()-1,FALSE))</f>
        <v/>
      </c>
      <c r="BG108" t="str">
        <f ca="1">IF(AND(ISNUMBER($BG$312),$B$208=1),$BG$312,HLOOKUP(INDIRECT(ADDRESS(2,COLUMN())),OFFSET($BN$2,0,0,ROW()-1,60),ROW()-1,FALSE))</f>
        <v/>
      </c>
      <c r="BH108" t="str">
        <f ca="1">IF(AND(ISNUMBER($BH$312),$B$208=1),$BH$312,HLOOKUP(INDIRECT(ADDRESS(2,COLUMN())),OFFSET($BN$2,0,0,ROW()-1,60),ROW()-1,FALSE))</f>
        <v/>
      </c>
      <c r="BI108" t="str">
        <f ca="1">IF(AND(ISNUMBER($BI$312),$B$208=1),$BI$312,HLOOKUP(INDIRECT(ADDRESS(2,COLUMN())),OFFSET($BN$2,0,0,ROW()-1,60),ROW()-1,FALSE))</f>
        <v/>
      </c>
      <c r="BJ108" t="str">
        <f ca="1">IF(AND(ISNUMBER($BJ$312),$B$208=1),$BJ$312,HLOOKUP(INDIRECT(ADDRESS(2,COLUMN())),OFFSET($BN$2,0,0,ROW()-1,60),ROW()-1,FALSE))</f>
        <v/>
      </c>
      <c r="BK108" t="str">
        <f ca="1">IF(AND(ISNUMBER($BK$312),$B$208=1),$BK$312,HLOOKUP(INDIRECT(ADDRESS(2,COLUMN())),OFFSET($BN$2,0,0,ROW()-1,60),ROW()-1,FALSE))</f>
        <v/>
      </c>
      <c r="BL108" t="str">
        <f ca="1">IF(AND(ISNUMBER($BL$312),$B$208=1),$BL$312,HLOOKUP(INDIRECT(ADDRESS(2,COLUMN())),OFFSET($BN$2,0,0,ROW()-1,60),ROW()-1,FALSE))</f>
        <v/>
      </c>
      <c r="BM108" t="str">
        <f ca="1">IF(AND(ISNUMBER($BM$312),$B$208=1),$BM$312,HLOOKUP(INDIRECT(ADDRESS(2,COLUMN())),OFFSET($BN$2,0,0,ROW()-1,60),ROW()-1,FALSE))</f>
        <v/>
      </c>
      <c r="BN108">
        <f>151237</f>
        <v>151237</v>
      </c>
      <c r="BO108">
        <f>143294</f>
        <v>143294</v>
      </c>
      <c r="BP108">
        <f>143533</f>
        <v>143533</v>
      </c>
      <c r="BQ108">
        <f>141629</f>
        <v>141629</v>
      </c>
      <c r="BR108">
        <f>145555</f>
        <v>145555</v>
      </c>
      <c r="BS108">
        <f>143574</f>
        <v>143574</v>
      </c>
      <c r="BT108">
        <f>140950</f>
        <v>140950</v>
      </c>
      <c r="BU108">
        <f>143970</f>
        <v>143970</v>
      </c>
      <c r="BV108">
        <f>147233</f>
        <v>147233</v>
      </c>
      <c r="BW108">
        <f>148486</f>
        <v>148486</v>
      </c>
      <c r="BX108">
        <f>148893</f>
        <v>148893</v>
      </c>
      <c r="BY108" t="str">
        <f>""</f>
        <v/>
      </c>
      <c r="BZ108">
        <f>148995</f>
        <v>148995</v>
      </c>
      <c r="CA108">
        <f>147847</f>
        <v>147847</v>
      </c>
      <c r="CB108">
        <f>183000</f>
        <v>183000</v>
      </c>
      <c r="CC108">
        <f>142785</f>
        <v>142785</v>
      </c>
      <c r="CD108">
        <f>175556</f>
        <v>175556</v>
      </c>
      <c r="CE108">
        <f>134613</f>
        <v>134613</v>
      </c>
      <c r="CF108">
        <f>167000</f>
        <v>167000</v>
      </c>
      <c r="CG108">
        <f>160000</f>
        <v>160000</v>
      </c>
      <c r="CH108">
        <f>167165</f>
        <v>167165</v>
      </c>
      <c r="CI108">
        <f>165000</f>
        <v>165000</v>
      </c>
      <c r="CJ108">
        <f>165000</f>
        <v>165000</v>
      </c>
      <c r="CK108">
        <f>163000</f>
        <v>163000</v>
      </c>
      <c r="CL108">
        <f>157029</f>
        <v>157029</v>
      </c>
      <c r="CM108">
        <f>161000</f>
        <v>161000</v>
      </c>
      <c r="CN108">
        <f>156000</f>
        <v>156000</v>
      </c>
      <c r="CO108">
        <f>156000</f>
        <v>156000</v>
      </c>
      <c r="CP108">
        <f>158584</f>
        <v>158584</v>
      </c>
      <c r="CQ108">
        <f>162000</f>
        <v>162000</v>
      </c>
      <c r="CR108">
        <f>163000</f>
        <v>163000</v>
      </c>
      <c r="CS108">
        <f>161000</f>
        <v>161000</v>
      </c>
      <c r="CT108">
        <f>161100</f>
        <v>161100</v>
      </c>
      <c r="CU108">
        <f>159000</f>
        <v>159000</v>
      </c>
      <c r="CV108">
        <f>162000</f>
        <v>162000</v>
      </c>
      <c r="CW108">
        <f>161000</f>
        <v>161000</v>
      </c>
      <c r="CX108">
        <f>158151</f>
        <v>158151</v>
      </c>
      <c r="CY108">
        <f>155000</f>
        <v>155000</v>
      </c>
      <c r="CZ108">
        <f>158000</f>
        <v>158000</v>
      </c>
      <c r="DA108">
        <f>157000</f>
        <v>157000</v>
      </c>
      <c r="DB108" t="str">
        <f>""</f>
        <v/>
      </c>
      <c r="DC108" t="str">
        <f>""</f>
        <v/>
      </c>
      <c r="DD108" t="str">
        <f>""</f>
        <v/>
      </c>
      <c r="DE108" t="str">
        <f>""</f>
        <v/>
      </c>
      <c r="DF108" t="str">
        <f>""</f>
        <v/>
      </c>
      <c r="DG108" t="str">
        <f>""</f>
        <v/>
      </c>
      <c r="DH108" t="str">
        <f>""</f>
        <v/>
      </c>
      <c r="DI108" t="str">
        <f>""</f>
        <v/>
      </c>
      <c r="DJ108" t="str">
        <f>""</f>
        <v/>
      </c>
      <c r="DK108" t="str">
        <f>""</f>
        <v/>
      </c>
      <c r="DL108" t="str">
        <f>""</f>
        <v/>
      </c>
      <c r="DM108" t="str">
        <f>""</f>
        <v/>
      </c>
      <c r="DN108" t="str">
        <f>""</f>
        <v/>
      </c>
      <c r="DO108" t="str">
        <f>""</f>
        <v/>
      </c>
      <c r="DP108" t="str">
        <f>""</f>
        <v/>
      </c>
      <c r="DQ108" t="str">
        <f>""</f>
        <v/>
      </c>
      <c r="DR108" t="str">
        <f>""</f>
        <v/>
      </c>
      <c r="DS108" t="str">
        <f>""</f>
        <v/>
      </c>
      <c r="DT108" t="str">
        <f>""</f>
        <v/>
      </c>
      <c r="DU108" t="str">
        <f>""</f>
        <v/>
      </c>
    </row>
    <row r="109" spans="1:125" x14ac:dyDescent="0.25">
      <c r="A109" t="str">
        <f>"    Raiffeisen Bank International AG"</f>
        <v xml:space="preserve">    Raiffeisen Bank International AG</v>
      </c>
      <c r="B109" t="str">
        <f>"RBI AV Equity"</f>
        <v>RBI AV Equity</v>
      </c>
      <c r="C109" t="str">
        <f t="shared" si="6"/>
        <v>BS017</v>
      </c>
      <c r="D109" t="str">
        <f t="shared" si="7"/>
        <v>BS_CONS_LOAN</v>
      </c>
      <c r="E109" t="str">
        <f t="shared" si="8"/>
        <v>Dynamic</v>
      </c>
      <c r="F109">
        <f ca="1">IF(AND(ISNUMBER($F$313),$B$208=1),$F$313,HLOOKUP(INDIRECT(ADDRESS(2,COLUMN())),OFFSET($BN$2,0,0,ROW()-1,60),ROW()-1,FALSE))</f>
        <v>39594</v>
      </c>
      <c r="G109">
        <f ca="1">IF(AND(ISNUMBER($G$313),$B$208=1),$G$313,HLOOKUP(INDIRECT(ADDRESS(2,COLUMN())),OFFSET($BN$2,0,0,ROW()-1,60),ROW()-1,FALSE))</f>
        <v>40980</v>
      </c>
      <c r="H109">
        <f ca="1">IF(AND(ISNUMBER($H$313),$B$208=1),$H$313,HLOOKUP(INDIRECT(ADDRESS(2,COLUMN())),OFFSET($BN$2,0,0,ROW()-1,60),ROW()-1,FALSE))</f>
        <v>41108</v>
      </c>
      <c r="I109">
        <f ca="1">IF(AND(ISNUMBER($I$313),$B$208=1),$I$313,HLOOKUP(INDIRECT(ADDRESS(2,COLUMN())),OFFSET($BN$2,0,0,ROW()-1,60),ROW()-1,FALSE))</f>
        <v>40500</v>
      </c>
      <c r="J109">
        <f ca="1">IF(AND(ISNUMBER($J$313),$B$208=1),$J$313,HLOOKUP(INDIRECT(ADDRESS(2,COLUMN())),OFFSET($BN$2,0,0,ROW()-1,60),ROW()-1,FALSE))</f>
        <v>40799</v>
      </c>
      <c r="K109">
        <f ca="1">IF(AND(ISNUMBER($K$313),$B$208=1),$K$313,HLOOKUP(INDIRECT(ADDRESS(2,COLUMN())),OFFSET($BN$2,0,0,ROW()-1,60),ROW()-1,FALSE))</f>
        <v>41030</v>
      </c>
      <c r="L109">
        <f ca="1">IF(AND(ISNUMBER($L$313),$B$208=1),$L$313,HLOOKUP(INDIRECT(ADDRESS(2,COLUMN())),OFFSET($BN$2,0,0,ROW()-1,60),ROW()-1,FALSE))</f>
        <v>41684</v>
      </c>
      <c r="M109">
        <f ca="1">IF(AND(ISNUMBER($M$313),$B$208=1),$M$313,HLOOKUP(INDIRECT(ADDRESS(2,COLUMN())),OFFSET($BN$2,0,0,ROW()-1,60),ROW()-1,FALSE))</f>
        <v>42051</v>
      </c>
      <c r="N109">
        <f ca="1">IF(AND(ISNUMBER($N$313),$B$208=1),$N$313,HLOOKUP(INDIRECT(ADDRESS(2,COLUMN())),OFFSET($BN$2,0,0,ROW()-1,60),ROW()-1,FALSE))</f>
        <v>42063</v>
      </c>
      <c r="O109">
        <f ca="1">IF(AND(ISNUMBER($O$313),$B$208=1),$O$313,HLOOKUP(INDIRECT(ADDRESS(2,COLUMN())),OFFSET($BN$2,0,0,ROW()-1,60),ROW()-1,FALSE))</f>
        <v>43341</v>
      </c>
      <c r="P109">
        <f ca="1">IF(AND(ISNUMBER($P$313),$B$208=1),$P$313,HLOOKUP(INDIRECT(ADDRESS(2,COLUMN())),OFFSET($BN$2,0,0,ROW()-1,60),ROW()-1,FALSE))</f>
        <v>42824</v>
      </c>
      <c r="Q109">
        <f ca="1">IF(AND(ISNUMBER($Q$313),$B$208=1),$Q$313,HLOOKUP(INDIRECT(ADDRESS(2,COLUMN())),OFFSET($BN$2,0,0,ROW()-1,60),ROW()-1,FALSE))</f>
        <v>39508</v>
      </c>
      <c r="R109">
        <f ca="1">IF(AND(ISNUMBER($R$313),$B$208=1),$R$313,HLOOKUP(INDIRECT(ADDRESS(2,COLUMN())),OFFSET($BN$2,0,0,ROW()-1,60),ROW()-1,FALSE))</f>
        <v>39184</v>
      </c>
      <c r="S109">
        <f ca="1">IF(AND(ISNUMBER($S$313),$B$208=1),$S$313,HLOOKUP(INDIRECT(ADDRESS(2,COLUMN())),OFFSET($BN$2,0,0,ROW()-1,60),ROW()-1,FALSE))</f>
        <v>39821</v>
      </c>
      <c r="T109">
        <f ca="1">IF(AND(ISNUMBER($T$313),$B$208=1),$T$313,HLOOKUP(INDIRECT(ADDRESS(2,COLUMN())),OFFSET($BN$2,0,0,ROW()-1,60),ROW()-1,FALSE))</f>
        <v>37175</v>
      </c>
      <c r="U109">
        <f ca="1">IF(AND(ISNUMBER($U$313),$B$208=1),$U$313,HLOOKUP(INDIRECT(ADDRESS(2,COLUMN())),OFFSET($BN$2,0,0,ROW()-1,60),ROW()-1,FALSE))</f>
        <v>35947</v>
      </c>
      <c r="V109">
        <f ca="1">IF(AND(ISNUMBER($V$313),$B$208=1),$V$313,HLOOKUP(INDIRECT(ADDRESS(2,COLUMN())),OFFSET($BN$2,0,0,ROW()-1,60),ROW()-1,FALSE))</f>
        <v>35528.065000000002</v>
      </c>
      <c r="W109">
        <f ca="1">IF(AND(ISNUMBER($W$313),$B$208=1),$W$313,HLOOKUP(INDIRECT(ADDRESS(2,COLUMN())),OFFSET($BN$2,0,0,ROW()-1,60),ROW()-1,FALSE))</f>
        <v>34825</v>
      </c>
      <c r="X109">
        <f ca="1">IF(AND(ISNUMBER($X$313),$B$208=1),$X$313,HLOOKUP(INDIRECT(ADDRESS(2,COLUMN())),OFFSET($BN$2,0,0,ROW()-1,60),ROW()-1,FALSE))</f>
        <v>35088</v>
      </c>
      <c r="Y109">
        <f ca="1">IF(AND(ISNUMBER($Y$313),$B$208=1),$Y$313,HLOOKUP(INDIRECT(ADDRESS(2,COLUMN())),OFFSET($BN$2,0,0,ROW()-1,60),ROW()-1,FALSE))</f>
        <v>34719</v>
      </c>
      <c r="Z109">
        <f ca="1">IF(AND(ISNUMBER($Z$313),$B$208=1),$Z$313,HLOOKUP(INDIRECT(ADDRESS(2,COLUMN())),OFFSET($BN$2,0,0,ROW()-1,60),ROW()-1,FALSE))</f>
        <v>35681.906000000003</v>
      </c>
      <c r="AA109">
        <f ca="1">IF(AND(ISNUMBER($AA$313),$B$208=1),$AA$313,HLOOKUP(INDIRECT(ADDRESS(2,COLUMN())),OFFSET($BN$2,0,0,ROW()-1,60),ROW()-1,FALSE))</f>
        <v>34942</v>
      </c>
      <c r="AB109">
        <f ca="1">IF(AND(ISNUMBER($AB$313),$B$208=1),$AB$313,HLOOKUP(INDIRECT(ADDRESS(2,COLUMN())),OFFSET($BN$2,0,0,ROW()-1,60),ROW()-1,FALSE))</f>
        <v>34042</v>
      </c>
      <c r="AC109">
        <f ca="1">IF(AND(ISNUMBER($AC$313),$B$208=1),$AC$313,HLOOKUP(INDIRECT(ADDRESS(2,COLUMN())),OFFSET($BN$2,0,0,ROW()-1,60),ROW()-1,FALSE))</f>
        <v>32911</v>
      </c>
      <c r="AD109">
        <f ca="1">IF(AND(ISNUMBER($AD$313),$B$208=1),$AD$313,HLOOKUP(INDIRECT(ADDRESS(2,COLUMN())),OFFSET($BN$2,0,0,ROW()-1,60),ROW()-1,FALSE))</f>
        <v>32119.728999999999</v>
      </c>
      <c r="AE109">
        <f ca="1">IF(AND(ISNUMBER($AE$313),$B$208=1),$AE$313,HLOOKUP(INDIRECT(ADDRESS(2,COLUMN())),OFFSET($BN$2,0,0,ROW()-1,60),ROW()-1,FALSE))</f>
        <v>31946</v>
      </c>
      <c r="AF109">
        <f ca="1">IF(AND(ISNUMBER($AF$313),$B$208=1),$AF$313,HLOOKUP(INDIRECT(ADDRESS(2,COLUMN())),OFFSET($BN$2,0,0,ROW()-1,60),ROW()-1,FALSE))</f>
        <v>31237</v>
      </c>
      <c r="AG109">
        <f ca="1">IF(AND(ISNUMBER($AG$313),$B$208=1),$AG$313,HLOOKUP(INDIRECT(ADDRESS(2,COLUMN())),OFFSET($BN$2,0,0,ROW()-1,60),ROW()-1,FALSE))</f>
        <v>31831</v>
      </c>
      <c r="AH109">
        <f ca="1">IF(AND(ISNUMBER($AH$313),$B$208=1),$AH$313,HLOOKUP(INDIRECT(ADDRESS(2,COLUMN())),OFFSET($BN$2,0,0,ROW()-1,60),ROW()-1,FALSE))</f>
        <v>30215.096000000001</v>
      </c>
      <c r="AI109">
        <f ca="1">IF(AND(ISNUMBER($AI$313),$B$208=1),$AI$313,HLOOKUP(INDIRECT(ADDRESS(2,COLUMN())),OFFSET($BN$2,0,0,ROW()-1,60),ROW()-1,FALSE))</f>
        <v>30714</v>
      </c>
      <c r="AJ109">
        <f ca="1">IF(AND(ISNUMBER($AJ$313),$B$208=1),$AJ$313,HLOOKUP(INDIRECT(ADDRESS(2,COLUMN())),OFFSET($BN$2,0,0,ROW()-1,60),ROW()-1,FALSE))</f>
        <v>30676</v>
      </c>
      <c r="AK109">
        <f ca="1">IF(AND(ISNUMBER($AK$313),$B$208=1),$AK$313,HLOOKUP(INDIRECT(ADDRESS(2,COLUMN())),OFFSET($BN$2,0,0,ROW()-1,60),ROW()-1,FALSE))</f>
        <v>30375</v>
      </c>
      <c r="AL109">
        <f ca="1">IF(AND(ISNUMBER($AL$313),$B$208=1),$AL$313,HLOOKUP(INDIRECT(ADDRESS(2,COLUMN())),OFFSET($BN$2,0,0,ROW()-1,60),ROW()-1,FALSE))</f>
        <v>23392.811000000002</v>
      </c>
      <c r="AM109">
        <f ca="1">IF(AND(ISNUMBER($AM$313),$B$208=1),$AM$313,HLOOKUP(INDIRECT(ADDRESS(2,COLUMN())),OFFSET($BN$2,0,0,ROW()-1,60),ROW()-1,FALSE))</f>
        <v>22815</v>
      </c>
      <c r="AN109">
        <f ca="1">IF(AND(ISNUMBER($AN$313),$B$208=1),$AN$313,HLOOKUP(INDIRECT(ADDRESS(2,COLUMN())),OFFSET($BN$2,0,0,ROW()-1,60),ROW()-1,FALSE))</f>
        <v>22411</v>
      </c>
      <c r="AO109">
        <f ca="1">IF(AND(ISNUMBER($AO$313),$B$208=1),$AO$313,HLOOKUP(INDIRECT(ADDRESS(2,COLUMN())),OFFSET($BN$2,0,0,ROW()-1,60),ROW()-1,FALSE))</f>
        <v>22040</v>
      </c>
      <c r="AP109">
        <f ca="1">IF(AND(ISNUMBER($AP$313),$B$208=1),$AP$313,HLOOKUP(INDIRECT(ADDRESS(2,COLUMN())),OFFSET($BN$2,0,0,ROW()-1,60),ROW()-1,FALSE))</f>
        <v>21878.404999999999</v>
      </c>
      <c r="AQ109">
        <f ca="1">IF(AND(ISNUMBER($AQ$313),$B$208=1),$AQ$313,HLOOKUP(INDIRECT(ADDRESS(2,COLUMN())),OFFSET($BN$2,0,0,ROW()-1,60),ROW()-1,FALSE))</f>
        <v>22259</v>
      </c>
      <c r="AR109">
        <f ca="1">IF(AND(ISNUMBER($AR$313),$B$208=1),$AR$313,HLOOKUP(INDIRECT(ADDRESS(2,COLUMN())),OFFSET($BN$2,0,0,ROW()-1,60),ROW()-1,FALSE))</f>
        <v>22828</v>
      </c>
      <c r="AS109">
        <f ca="1">IF(AND(ISNUMBER($AS$313),$B$208=1),$AS$313,HLOOKUP(INDIRECT(ADDRESS(2,COLUMN())),OFFSET($BN$2,0,0,ROW()-1,60),ROW()-1,FALSE))</f>
        <v>23144</v>
      </c>
      <c r="AT109">
        <f ca="1">IF(AND(ISNUMBER($AT$313),$B$208=1),$AT$313,HLOOKUP(INDIRECT(ADDRESS(2,COLUMN())),OFFSET($BN$2,0,0,ROW()-1,60),ROW()-1,FALSE))</f>
        <v>22316.947</v>
      </c>
      <c r="AU109">
        <f ca="1">IF(AND(ISNUMBER($AU$313),$B$208=1),$AU$313,HLOOKUP(INDIRECT(ADDRESS(2,COLUMN())),OFFSET($BN$2,0,0,ROW()-1,60),ROW()-1,FALSE))</f>
        <v>23705</v>
      </c>
      <c r="AV109">
        <f ca="1">IF(AND(ISNUMBER($AV$313),$B$208=1),$AV$313,HLOOKUP(INDIRECT(ADDRESS(2,COLUMN())),OFFSET($BN$2,0,0,ROW()-1,60),ROW()-1,FALSE))</f>
        <v>23730</v>
      </c>
      <c r="AW109">
        <f ca="1">IF(AND(ISNUMBER($AW$313),$B$208=1),$AW$313,HLOOKUP(INDIRECT(ADDRESS(2,COLUMN())),OFFSET($BN$2,0,0,ROW()-1,60),ROW()-1,FALSE))</f>
        <v>23346</v>
      </c>
      <c r="AX109">
        <f ca="1">IF(AND(ISNUMBER($AX$313),$B$208=1),$AX$313,HLOOKUP(INDIRECT(ADDRESS(2,COLUMN())),OFFSET($BN$2,0,0,ROW()-1,60),ROW()-1,FALSE))</f>
        <v>23755.814999999999</v>
      </c>
      <c r="AY109">
        <f ca="1">IF(AND(ISNUMBER($AY$313),$B$208=1),$AY$313,HLOOKUP(INDIRECT(ADDRESS(2,COLUMN())),OFFSET($BN$2,0,0,ROW()-1,60),ROW()-1,FALSE))</f>
        <v>24072</v>
      </c>
      <c r="AZ109">
        <f ca="1">IF(AND(ISNUMBER($AZ$313),$B$208=1),$AZ$313,HLOOKUP(INDIRECT(ADDRESS(2,COLUMN())),OFFSET($BN$2,0,0,ROW()-1,60),ROW()-1,FALSE))</f>
        <v>23708</v>
      </c>
      <c r="BA109">
        <f ca="1">IF(AND(ISNUMBER($BA$313),$B$208=1),$BA$313,HLOOKUP(INDIRECT(ADDRESS(2,COLUMN())),OFFSET($BN$2,0,0,ROW()-1,60),ROW()-1,FALSE))</f>
        <v>23506</v>
      </c>
      <c r="BB109">
        <f ca="1">IF(AND(ISNUMBER($BB$313),$B$208=1),$BB$313,HLOOKUP(INDIRECT(ADDRESS(2,COLUMN())),OFFSET($BN$2,0,0,ROW()-1,60),ROW()-1,FALSE))</f>
        <v>23489.032999999999</v>
      </c>
      <c r="BC109">
        <f ca="1">IF(AND(ISNUMBER($BC$313),$B$208=1),$BC$313,HLOOKUP(INDIRECT(ADDRESS(2,COLUMN())),OFFSET($BN$2,0,0,ROW()-1,60),ROW()-1,FALSE))</f>
        <v>23446</v>
      </c>
      <c r="BD109">
        <f ca="1">IF(AND(ISNUMBER($BD$313),$B$208=1),$BD$313,HLOOKUP(INDIRECT(ADDRESS(2,COLUMN())),OFFSET($BN$2,0,0,ROW()-1,60),ROW()-1,FALSE))</f>
        <v>23366</v>
      </c>
      <c r="BE109">
        <f ca="1">IF(AND(ISNUMBER($BE$313),$B$208=1),$BE$313,HLOOKUP(INDIRECT(ADDRESS(2,COLUMN())),OFFSET($BN$2,0,0,ROW()-1,60),ROW()-1,FALSE))</f>
        <v>19061</v>
      </c>
      <c r="BF109">
        <f ca="1">IF(AND(ISNUMBER($BF$313),$B$208=1),$BF$313,HLOOKUP(INDIRECT(ADDRESS(2,COLUMN())),OFFSET($BN$2,0,0,ROW()-1,60),ROW()-1,FALSE))</f>
        <v>19004.397000000001</v>
      </c>
      <c r="BG109">
        <f ca="1">IF(AND(ISNUMBER($BG$313),$B$208=1),$BG$313,HLOOKUP(INDIRECT(ADDRESS(2,COLUMN())),OFFSET($BN$2,0,0,ROW()-1,60),ROW()-1,FALSE))</f>
        <v>19008</v>
      </c>
      <c r="BH109">
        <f ca="1">IF(AND(ISNUMBER($BH$313),$B$208=1),$BH$313,HLOOKUP(INDIRECT(ADDRESS(2,COLUMN())),OFFSET($BN$2,0,0,ROW()-1,60),ROW()-1,FALSE))</f>
        <v>19031</v>
      </c>
      <c r="BI109">
        <f ca="1">IF(AND(ISNUMBER($BI$313),$B$208=1),$BI$313,HLOOKUP(INDIRECT(ADDRESS(2,COLUMN())),OFFSET($BN$2,0,0,ROW()-1,60),ROW()-1,FALSE))</f>
        <v>18464</v>
      </c>
      <c r="BJ109">
        <f ca="1">IF(AND(ISNUMBER($BJ$313),$B$208=1),$BJ$313,HLOOKUP(INDIRECT(ADDRESS(2,COLUMN())),OFFSET($BN$2,0,0,ROW()-1,60),ROW()-1,FALSE))</f>
        <v>18548.814999999999</v>
      </c>
      <c r="BK109">
        <f ca="1">IF(AND(ISNUMBER($BK$313),$B$208=1),$BK$313,HLOOKUP(INDIRECT(ADDRESS(2,COLUMN())),OFFSET($BN$2,0,0,ROW()-1,60),ROW()-1,FALSE))</f>
        <v>18209</v>
      </c>
      <c r="BL109">
        <f ca="1">IF(AND(ISNUMBER($BL$313),$B$208=1),$BL$313,HLOOKUP(INDIRECT(ADDRESS(2,COLUMN())),OFFSET($BN$2,0,0,ROW()-1,60),ROW()-1,FALSE))</f>
        <v>18336</v>
      </c>
      <c r="BM109" t="str">
        <f ca="1">IF(AND(ISNUMBER($BM$313),$B$208=1),$BM$313,HLOOKUP(INDIRECT(ADDRESS(2,COLUMN())),OFFSET($BN$2,0,0,ROW()-1,60),ROW()-1,FALSE))</f>
        <v/>
      </c>
      <c r="BN109">
        <f>39594</f>
        <v>39594</v>
      </c>
      <c r="BO109">
        <f>40980</f>
        <v>40980</v>
      </c>
      <c r="BP109">
        <f>41108</f>
        <v>41108</v>
      </c>
      <c r="BQ109">
        <f>40500</f>
        <v>40500</v>
      </c>
      <c r="BR109">
        <f>40799</f>
        <v>40799</v>
      </c>
      <c r="BS109">
        <f>41030</f>
        <v>41030</v>
      </c>
      <c r="BT109">
        <f>41684</f>
        <v>41684</v>
      </c>
      <c r="BU109">
        <f>42051</f>
        <v>42051</v>
      </c>
      <c r="BV109">
        <f>42063</f>
        <v>42063</v>
      </c>
      <c r="BW109">
        <f>43341</f>
        <v>43341</v>
      </c>
      <c r="BX109">
        <f>42824</f>
        <v>42824</v>
      </c>
      <c r="BY109">
        <f>39508</f>
        <v>39508</v>
      </c>
      <c r="BZ109">
        <f>39184</f>
        <v>39184</v>
      </c>
      <c r="CA109">
        <f>39821</f>
        <v>39821</v>
      </c>
      <c r="CB109">
        <f>37175</f>
        <v>37175</v>
      </c>
      <c r="CC109">
        <f>35947</f>
        <v>35947</v>
      </c>
      <c r="CD109">
        <f>35528.065</f>
        <v>35528.065000000002</v>
      </c>
      <c r="CE109">
        <f>34825</f>
        <v>34825</v>
      </c>
      <c r="CF109">
        <f>35088</f>
        <v>35088</v>
      </c>
      <c r="CG109">
        <f>34719</f>
        <v>34719</v>
      </c>
      <c r="CH109">
        <f>35681.906</f>
        <v>35681.906000000003</v>
      </c>
      <c r="CI109">
        <f>34942</f>
        <v>34942</v>
      </c>
      <c r="CJ109">
        <f>34042</f>
        <v>34042</v>
      </c>
      <c r="CK109">
        <f>32911</f>
        <v>32911</v>
      </c>
      <c r="CL109">
        <f>32119.729</f>
        <v>32119.728999999999</v>
      </c>
      <c r="CM109">
        <f>31946</f>
        <v>31946</v>
      </c>
      <c r="CN109">
        <f>31237</f>
        <v>31237</v>
      </c>
      <c r="CO109">
        <f>31831</f>
        <v>31831</v>
      </c>
      <c r="CP109">
        <f>30215.096</f>
        <v>30215.096000000001</v>
      </c>
      <c r="CQ109">
        <f>30714</f>
        <v>30714</v>
      </c>
      <c r="CR109">
        <f>30676</f>
        <v>30676</v>
      </c>
      <c r="CS109">
        <f>30375</f>
        <v>30375</v>
      </c>
      <c r="CT109">
        <f>23392.811</f>
        <v>23392.811000000002</v>
      </c>
      <c r="CU109">
        <f>22815</f>
        <v>22815</v>
      </c>
      <c r="CV109">
        <f>22411</f>
        <v>22411</v>
      </c>
      <c r="CW109">
        <f>22040</f>
        <v>22040</v>
      </c>
      <c r="CX109">
        <f>21878.405</f>
        <v>21878.404999999999</v>
      </c>
      <c r="CY109">
        <f>22259</f>
        <v>22259</v>
      </c>
      <c r="CZ109">
        <f>22828</f>
        <v>22828</v>
      </c>
      <c r="DA109">
        <f>23144</f>
        <v>23144</v>
      </c>
      <c r="DB109">
        <f>22316.947</f>
        <v>22316.947</v>
      </c>
      <c r="DC109">
        <f>23705</f>
        <v>23705</v>
      </c>
      <c r="DD109">
        <f>23730</f>
        <v>23730</v>
      </c>
      <c r="DE109">
        <f>23346</f>
        <v>23346</v>
      </c>
      <c r="DF109">
        <f>23755.815</f>
        <v>23755.814999999999</v>
      </c>
      <c r="DG109">
        <f>24072</f>
        <v>24072</v>
      </c>
      <c r="DH109">
        <f>23708</f>
        <v>23708</v>
      </c>
      <c r="DI109">
        <f>23506</f>
        <v>23506</v>
      </c>
      <c r="DJ109">
        <f>23489.033</f>
        <v>23489.032999999999</v>
      </c>
      <c r="DK109">
        <f>23446</f>
        <v>23446</v>
      </c>
      <c r="DL109">
        <f>23366</f>
        <v>23366</v>
      </c>
      <c r="DM109">
        <f>19061</f>
        <v>19061</v>
      </c>
      <c r="DN109">
        <f>19004.397</f>
        <v>19004.397000000001</v>
      </c>
      <c r="DO109">
        <f>19008</f>
        <v>19008</v>
      </c>
      <c r="DP109">
        <f>19031</f>
        <v>19031</v>
      </c>
      <c r="DQ109">
        <f>18464</f>
        <v>18464</v>
      </c>
      <c r="DR109">
        <f>18548.815</f>
        <v>18548.814999999999</v>
      </c>
      <c r="DS109">
        <f>18209</f>
        <v>18209</v>
      </c>
      <c r="DT109">
        <f>18336</f>
        <v>18336</v>
      </c>
      <c r="DU109" t="str">
        <f>""</f>
        <v/>
      </c>
    </row>
    <row r="110" spans="1:125" x14ac:dyDescent="0.25">
      <c r="A110" t="str">
        <f>"    Skandinaviska Enskilda Banken AB"</f>
        <v xml:space="preserve">    Skandinaviska Enskilda Banken AB</v>
      </c>
      <c r="B110" t="str">
        <f>"SEBA SS Equity"</f>
        <v>SEBA SS Equity</v>
      </c>
      <c r="C110" t="str">
        <f t="shared" si="6"/>
        <v>BS017</v>
      </c>
      <c r="D110" t="str">
        <f t="shared" si="7"/>
        <v>BS_CONS_LOAN</v>
      </c>
      <c r="E110" t="str">
        <f t="shared" si="8"/>
        <v>Dynamic</v>
      </c>
      <c r="F110" t="str">
        <f ca="1">IF(AND(ISNUMBER($F$314),$B$208=1),$F$314,HLOOKUP(INDIRECT(ADDRESS(2,COLUMN())),OFFSET($BN$2,0,0,ROW()-1,60),ROW()-1,FALSE))</f>
        <v/>
      </c>
      <c r="G110" t="str">
        <f ca="1">IF(AND(ISNUMBER($G$314),$B$208=1),$G$314,HLOOKUP(INDIRECT(ADDRESS(2,COLUMN())),OFFSET($BN$2,0,0,ROW()-1,60),ROW()-1,FALSE))</f>
        <v/>
      </c>
      <c r="H110" t="str">
        <f ca="1">IF(AND(ISNUMBER($H$314),$B$208=1),$H$314,HLOOKUP(INDIRECT(ADDRESS(2,COLUMN())),OFFSET($BN$2,0,0,ROW()-1,60),ROW()-1,FALSE))</f>
        <v/>
      </c>
      <c r="I110" t="str">
        <f ca="1">IF(AND(ISNUMBER($I$314),$B$208=1),$I$314,HLOOKUP(INDIRECT(ADDRESS(2,COLUMN())),OFFSET($BN$2,0,0,ROW()-1,60),ROW()-1,FALSE))</f>
        <v/>
      </c>
      <c r="J110" t="str">
        <f ca="1">IF(AND(ISNUMBER($J$314),$B$208=1),$J$314,HLOOKUP(INDIRECT(ADDRESS(2,COLUMN())),OFFSET($BN$2,0,0,ROW()-1,60),ROW()-1,FALSE))</f>
        <v/>
      </c>
      <c r="K110" t="str">
        <f ca="1">IF(AND(ISNUMBER($K$314),$B$208=1),$K$314,HLOOKUP(INDIRECT(ADDRESS(2,COLUMN())),OFFSET($BN$2,0,0,ROW()-1,60),ROW()-1,FALSE))</f>
        <v/>
      </c>
      <c r="L110" t="str">
        <f ca="1">IF(AND(ISNUMBER($L$314),$B$208=1),$L$314,HLOOKUP(INDIRECT(ADDRESS(2,COLUMN())),OFFSET($BN$2,0,0,ROW()-1,60),ROW()-1,FALSE))</f>
        <v/>
      </c>
      <c r="M110" t="str">
        <f ca="1">IF(AND(ISNUMBER($M$314),$B$208=1),$M$314,HLOOKUP(INDIRECT(ADDRESS(2,COLUMN())),OFFSET($BN$2,0,0,ROW()-1,60),ROW()-1,FALSE))</f>
        <v/>
      </c>
      <c r="N110" t="str">
        <f ca="1">IF(AND(ISNUMBER($N$314),$B$208=1),$N$314,HLOOKUP(INDIRECT(ADDRESS(2,COLUMN())),OFFSET($BN$2,0,0,ROW()-1,60),ROW()-1,FALSE))</f>
        <v/>
      </c>
      <c r="O110" t="str">
        <f ca="1">IF(AND(ISNUMBER($O$314),$B$208=1),$O$314,HLOOKUP(INDIRECT(ADDRESS(2,COLUMN())),OFFSET($BN$2,0,0,ROW()-1,60),ROW()-1,FALSE))</f>
        <v/>
      </c>
      <c r="P110" t="str">
        <f ca="1">IF(AND(ISNUMBER($P$314),$B$208=1),$P$314,HLOOKUP(INDIRECT(ADDRESS(2,COLUMN())),OFFSET($BN$2,0,0,ROW()-1,60),ROW()-1,FALSE))</f>
        <v/>
      </c>
      <c r="Q110" t="str">
        <f ca="1">IF(AND(ISNUMBER($Q$314),$B$208=1),$Q$314,HLOOKUP(INDIRECT(ADDRESS(2,COLUMN())),OFFSET($BN$2,0,0,ROW()-1,60),ROW()-1,FALSE))</f>
        <v/>
      </c>
      <c r="R110" t="str">
        <f ca="1">IF(AND(ISNUMBER($R$314),$B$208=1),$R$314,HLOOKUP(INDIRECT(ADDRESS(2,COLUMN())),OFFSET($BN$2,0,0,ROW()-1,60),ROW()-1,FALSE))</f>
        <v/>
      </c>
      <c r="S110" t="str">
        <f ca="1">IF(AND(ISNUMBER($S$314),$B$208=1),$S$314,HLOOKUP(INDIRECT(ADDRESS(2,COLUMN())),OFFSET($BN$2,0,0,ROW()-1,60),ROW()-1,FALSE))</f>
        <v/>
      </c>
      <c r="T110" t="str">
        <f ca="1">IF(AND(ISNUMBER($T$314),$B$208=1),$T$314,HLOOKUP(INDIRECT(ADDRESS(2,COLUMN())),OFFSET($BN$2,0,0,ROW()-1,60),ROW()-1,FALSE))</f>
        <v/>
      </c>
      <c r="U110" t="str">
        <f ca="1">IF(AND(ISNUMBER($U$314),$B$208=1),$U$314,HLOOKUP(INDIRECT(ADDRESS(2,COLUMN())),OFFSET($BN$2,0,0,ROW()-1,60),ROW()-1,FALSE))</f>
        <v/>
      </c>
      <c r="V110" t="str">
        <f ca="1">IF(AND(ISNUMBER($V$314),$B$208=1),$V$314,HLOOKUP(INDIRECT(ADDRESS(2,COLUMN())),OFFSET($BN$2,0,0,ROW()-1,60),ROW()-1,FALSE))</f>
        <v/>
      </c>
      <c r="W110" t="str">
        <f ca="1">IF(AND(ISNUMBER($W$314),$B$208=1),$W$314,HLOOKUP(INDIRECT(ADDRESS(2,COLUMN())),OFFSET($BN$2,0,0,ROW()-1,60),ROW()-1,FALSE))</f>
        <v/>
      </c>
      <c r="X110" t="str">
        <f ca="1">IF(AND(ISNUMBER($X$314),$B$208=1),$X$314,HLOOKUP(INDIRECT(ADDRESS(2,COLUMN())),OFFSET($BN$2,0,0,ROW()-1,60),ROW()-1,FALSE))</f>
        <v/>
      </c>
      <c r="Y110" t="str">
        <f ca="1">IF(AND(ISNUMBER($Y$314),$B$208=1),$Y$314,HLOOKUP(INDIRECT(ADDRESS(2,COLUMN())),OFFSET($BN$2,0,0,ROW()-1,60),ROW()-1,FALSE))</f>
        <v/>
      </c>
      <c r="Z110" t="str">
        <f ca="1">IF(AND(ISNUMBER($Z$314),$B$208=1),$Z$314,HLOOKUP(INDIRECT(ADDRESS(2,COLUMN())),OFFSET($BN$2,0,0,ROW()-1,60),ROW()-1,FALSE))</f>
        <v/>
      </c>
      <c r="AA110" t="str">
        <f ca="1">IF(AND(ISNUMBER($AA$314),$B$208=1),$AA$314,HLOOKUP(INDIRECT(ADDRESS(2,COLUMN())),OFFSET($BN$2,0,0,ROW()-1,60),ROW()-1,FALSE))</f>
        <v/>
      </c>
      <c r="AB110" t="str">
        <f ca="1">IF(AND(ISNUMBER($AB$314),$B$208=1),$AB$314,HLOOKUP(INDIRECT(ADDRESS(2,COLUMN())),OFFSET($BN$2,0,0,ROW()-1,60),ROW()-1,FALSE))</f>
        <v/>
      </c>
      <c r="AC110" t="str">
        <f ca="1">IF(AND(ISNUMBER($AC$314),$B$208=1),$AC$314,HLOOKUP(INDIRECT(ADDRESS(2,COLUMN())),OFFSET($BN$2,0,0,ROW()-1,60),ROW()-1,FALSE))</f>
        <v/>
      </c>
      <c r="AD110" t="str">
        <f ca="1">IF(AND(ISNUMBER($AD$314),$B$208=1),$AD$314,HLOOKUP(INDIRECT(ADDRESS(2,COLUMN())),OFFSET($BN$2,0,0,ROW()-1,60),ROW()-1,FALSE))</f>
        <v/>
      </c>
      <c r="AE110" t="str">
        <f ca="1">IF(AND(ISNUMBER($AE$314),$B$208=1),$AE$314,HLOOKUP(INDIRECT(ADDRESS(2,COLUMN())),OFFSET($BN$2,0,0,ROW()-1,60),ROW()-1,FALSE))</f>
        <v/>
      </c>
      <c r="AF110" t="str">
        <f ca="1">IF(AND(ISNUMBER($AF$314),$B$208=1),$AF$314,HLOOKUP(INDIRECT(ADDRESS(2,COLUMN())),OFFSET($BN$2,0,0,ROW()-1,60),ROW()-1,FALSE))</f>
        <v/>
      </c>
      <c r="AG110" t="str">
        <f ca="1">IF(AND(ISNUMBER($AG$314),$B$208=1),$AG$314,HLOOKUP(INDIRECT(ADDRESS(2,COLUMN())),OFFSET($BN$2,0,0,ROW()-1,60),ROW()-1,FALSE))</f>
        <v/>
      </c>
      <c r="AH110" t="str">
        <f ca="1">IF(AND(ISNUMBER($AH$314),$B$208=1),$AH$314,HLOOKUP(INDIRECT(ADDRESS(2,COLUMN())),OFFSET($BN$2,0,0,ROW()-1,60),ROW()-1,FALSE))</f>
        <v/>
      </c>
      <c r="AI110" t="str">
        <f ca="1">IF(AND(ISNUMBER($AI$314),$B$208=1),$AI$314,HLOOKUP(INDIRECT(ADDRESS(2,COLUMN())),OFFSET($BN$2,0,0,ROW()-1,60),ROW()-1,FALSE))</f>
        <v/>
      </c>
      <c r="AJ110" t="str">
        <f ca="1">IF(AND(ISNUMBER($AJ$314),$B$208=1),$AJ$314,HLOOKUP(INDIRECT(ADDRESS(2,COLUMN())),OFFSET($BN$2,0,0,ROW()-1,60),ROW()-1,FALSE))</f>
        <v/>
      </c>
      <c r="AK110" t="str">
        <f ca="1">IF(AND(ISNUMBER($AK$314),$B$208=1),$AK$314,HLOOKUP(INDIRECT(ADDRESS(2,COLUMN())),OFFSET($BN$2,0,0,ROW()-1,60),ROW()-1,FALSE))</f>
        <v/>
      </c>
      <c r="AL110" t="str">
        <f ca="1">IF(AND(ISNUMBER($AL$314),$B$208=1),$AL$314,HLOOKUP(INDIRECT(ADDRESS(2,COLUMN())),OFFSET($BN$2,0,0,ROW()-1,60),ROW()-1,FALSE))</f>
        <v/>
      </c>
      <c r="AM110" t="str">
        <f ca="1">IF(AND(ISNUMBER($AM$314),$B$208=1),$AM$314,HLOOKUP(INDIRECT(ADDRESS(2,COLUMN())),OFFSET($BN$2,0,0,ROW()-1,60),ROW()-1,FALSE))</f>
        <v/>
      </c>
      <c r="AN110" t="str">
        <f ca="1">IF(AND(ISNUMBER($AN$314),$B$208=1),$AN$314,HLOOKUP(INDIRECT(ADDRESS(2,COLUMN())),OFFSET($BN$2,0,0,ROW()-1,60),ROW()-1,FALSE))</f>
        <v/>
      </c>
      <c r="AO110" t="str">
        <f ca="1">IF(AND(ISNUMBER($AO$314),$B$208=1),$AO$314,HLOOKUP(INDIRECT(ADDRESS(2,COLUMN())),OFFSET($BN$2,0,0,ROW()-1,60),ROW()-1,FALSE))</f>
        <v/>
      </c>
      <c r="AP110" t="str">
        <f ca="1">IF(AND(ISNUMBER($AP$314),$B$208=1),$AP$314,HLOOKUP(INDIRECT(ADDRESS(2,COLUMN())),OFFSET($BN$2,0,0,ROW()-1,60),ROW()-1,FALSE))</f>
        <v/>
      </c>
      <c r="AQ110" t="str">
        <f ca="1">IF(AND(ISNUMBER($AQ$314),$B$208=1),$AQ$314,HLOOKUP(INDIRECT(ADDRESS(2,COLUMN())),OFFSET($BN$2,0,0,ROW()-1,60),ROW()-1,FALSE))</f>
        <v/>
      </c>
      <c r="AR110" t="str">
        <f ca="1">IF(AND(ISNUMBER($AR$314),$B$208=1),$AR$314,HLOOKUP(INDIRECT(ADDRESS(2,COLUMN())),OFFSET($BN$2,0,0,ROW()-1,60),ROW()-1,FALSE))</f>
        <v/>
      </c>
      <c r="AS110" t="str">
        <f ca="1">IF(AND(ISNUMBER($AS$314),$B$208=1),$AS$314,HLOOKUP(INDIRECT(ADDRESS(2,COLUMN())),OFFSET($BN$2,0,0,ROW()-1,60),ROW()-1,FALSE))</f>
        <v/>
      </c>
      <c r="AT110" t="str">
        <f ca="1">IF(AND(ISNUMBER($AT$314),$B$208=1),$AT$314,HLOOKUP(INDIRECT(ADDRESS(2,COLUMN())),OFFSET($BN$2,0,0,ROW()-1,60),ROW()-1,FALSE))</f>
        <v/>
      </c>
      <c r="AU110" t="str">
        <f ca="1">IF(AND(ISNUMBER($AU$314),$B$208=1),$AU$314,HLOOKUP(INDIRECT(ADDRESS(2,COLUMN())),OFFSET($BN$2,0,0,ROW()-1,60),ROW()-1,FALSE))</f>
        <v/>
      </c>
      <c r="AV110" t="str">
        <f ca="1">IF(AND(ISNUMBER($AV$314),$B$208=1),$AV$314,HLOOKUP(INDIRECT(ADDRESS(2,COLUMN())),OFFSET($BN$2,0,0,ROW()-1,60),ROW()-1,FALSE))</f>
        <v/>
      </c>
      <c r="AW110" t="str">
        <f ca="1">IF(AND(ISNUMBER($AW$314),$B$208=1),$AW$314,HLOOKUP(INDIRECT(ADDRESS(2,COLUMN())),OFFSET($BN$2,0,0,ROW()-1,60),ROW()-1,FALSE))</f>
        <v/>
      </c>
      <c r="AX110" t="str">
        <f ca="1">IF(AND(ISNUMBER($AX$314),$B$208=1),$AX$314,HLOOKUP(INDIRECT(ADDRESS(2,COLUMN())),OFFSET($BN$2,0,0,ROW()-1,60),ROW()-1,FALSE))</f>
        <v/>
      </c>
      <c r="AY110" t="str">
        <f ca="1">IF(AND(ISNUMBER($AY$314),$B$208=1),$AY$314,HLOOKUP(INDIRECT(ADDRESS(2,COLUMN())),OFFSET($BN$2,0,0,ROW()-1,60),ROW()-1,FALSE))</f>
        <v/>
      </c>
      <c r="AZ110" t="str">
        <f ca="1">IF(AND(ISNUMBER($AZ$314),$B$208=1),$AZ$314,HLOOKUP(INDIRECT(ADDRESS(2,COLUMN())),OFFSET($BN$2,0,0,ROW()-1,60),ROW()-1,FALSE))</f>
        <v/>
      </c>
      <c r="BA110" t="str">
        <f ca="1">IF(AND(ISNUMBER($BA$314),$B$208=1),$BA$314,HLOOKUP(INDIRECT(ADDRESS(2,COLUMN())),OFFSET($BN$2,0,0,ROW()-1,60),ROW()-1,FALSE))</f>
        <v/>
      </c>
      <c r="BB110" t="str">
        <f ca="1">IF(AND(ISNUMBER($BB$314),$B$208=1),$BB$314,HLOOKUP(INDIRECT(ADDRESS(2,COLUMN())),OFFSET($BN$2,0,0,ROW()-1,60),ROW()-1,FALSE))</f>
        <v/>
      </c>
      <c r="BC110" t="str">
        <f ca="1">IF(AND(ISNUMBER($BC$314),$B$208=1),$BC$314,HLOOKUP(INDIRECT(ADDRESS(2,COLUMN())),OFFSET($BN$2,0,0,ROW()-1,60),ROW()-1,FALSE))</f>
        <v/>
      </c>
      <c r="BD110" t="str">
        <f ca="1">IF(AND(ISNUMBER($BD$314),$B$208=1),$BD$314,HLOOKUP(INDIRECT(ADDRESS(2,COLUMN())),OFFSET($BN$2,0,0,ROW()-1,60),ROW()-1,FALSE))</f>
        <v/>
      </c>
      <c r="BE110" t="str">
        <f ca="1">IF(AND(ISNUMBER($BE$314),$B$208=1),$BE$314,HLOOKUP(INDIRECT(ADDRESS(2,COLUMN())),OFFSET($BN$2,0,0,ROW()-1,60),ROW()-1,FALSE))</f>
        <v/>
      </c>
      <c r="BF110" t="str">
        <f ca="1">IF(AND(ISNUMBER($BF$314),$B$208=1),$BF$314,HLOOKUP(INDIRECT(ADDRESS(2,COLUMN())),OFFSET($BN$2,0,0,ROW()-1,60),ROW()-1,FALSE))</f>
        <v/>
      </c>
      <c r="BG110" t="str">
        <f ca="1">IF(AND(ISNUMBER($BG$314),$B$208=1),$BG$314,HLOOKUP(INDIRECT(ADDRESS(2,COLUMN())),OFFSET($BN$2,0,0,ROW()-1,60),ROW()-1,FALSE))</f>
        <v/>
      </c>
      <c r="BH110" t="str">
        <f ca="1">IF(AND(ISNUMBER($BH$314),$B$208=1),$BH$314,HLOOKUP(INDIRECT(ADDRESS(2,COLUMN())),OFFSET($BN$2,0,0,ROW()-1,60),ROW()-1,FALSE))</f>
        <v/>
      </c>
      <c r="BI110" t="str">
        <f ca="1">IF(AND(ISNUMBER($BI$314),$B$208=1),$BI$314,HLOOKUP(INDIRECT(ADDRESS(2,COLUMN())),OFFSET($BN$2,0,0,ROW()-1,60),ROW()-1,FALSE))</f>
        <v/>
      </c>
      <c r="BJ110" t="str">
        <f ca="1">IF(AND(ISNUMBER($BJ$314),$B$208=1),$BJ$314,HLOOKUP(INDIRECT(ADDRESS(2,COLUMN())),OFFSET($BN$2,0,0,ROW()-1,60),ROW()-1,FALSE))</f>
        <v/>
      </c>
      <c r="BK110" t="str">
        <f ca="1">IF(AND(ISNUMBER($BK$314),$B$208=1),$BK$314,HLOOKUP(INDIRECT(ADDRESS(2,COLUMN())),OFFSET($BN$2,0,0,ROW()-1,60),ROW()-1,FALSE))</f>
        <v/>
      </c>
      <c r="BL110" t="str">
        <f ca="1">IF(AND(ISNUMBER($BL$314),$B$208=1),$BL$314,HLOOKUP(INDIRECT(ADDRESS(2,COLUMN())),OFFSET($BN$2,0,0,ROW()-1,60),ROW()-1,FALSE))</f>
        <v/>
      </c>
      <c r="BM110" t="str">
        <f ca="1">IF(AND(ISNUMBER($BM$314),$B$208=1),$BM$314,HLOOKUP(INDIRECT(ADDRESS(2,COLUMN())),OFFSET($BN$2,0,0,ROW()-1,60),ROW()-1,FALSE))</f>
        <v/>
      </c>
      <c r="BN110" t="str">
        <f>""</f>
        <v/>
      </c>
      <c r="BO110" t="str">
        <f>""</f>
        <v/>
      </c>
      <c r="BP110" t="str">
        <f>""</f>
        <v/>
      </c>
      <c r="BQ110" t="str">
        <f>""</f>
        <v/>
      </c>
      <c r="BR110" t="str">
        <f>""</f>
        <v/>
      </c>
      <c r="BS110" t="str">
        <f>""</f>
        <v/>
      </c>
      <c r="BT110" t="str">
        <f>""</f>
        <v/>
      </c>
      <c r="BU110" t="str">
        <f>""</f>
        <v/>
      </c>
      <c r="BV110" t="str">
        <f>""</f>
        <v/>
      </c>
      <c r="BW110" t="str">
        <f>""</f>
        <v/>
      </c>
      <c r="BX110" t="str">
        <f>""</f>
        <v/>
      </c>
      <c r="BY110" t="str">
        <f>""</f>
        <v/>
      </c>
      <c r="BZ110" t="str">
        <f>""</f>
        <v/>
      </c>
      <c r="CA110" t="str">
        <f>""</f>
        <v/>
      </c>
      <c r="CB110" t="str">
        <f>""</f>
        <v/>
      </c>
      <c r="CC110" t="str">
        <f>""</f>
        <v/>
      </c>
      <c r="CD110" t="str">
        <f>""</f>
        <v/>
      </c>
      <c r="CE110" t="str">
        <f>""</f>
        <v/>
      </c>
      <c r="CF110" t="str">
        <f>""</f>
        <v/>
      </c>
      <c r="CG110" t="str">
        <f>""</f>
        <v/>
      </c>
      <c r="CH110" t="str">
        <f>""</f>
        <v/>
      </c>
      <c r="CI110" t="str">
        <f>""</f>
        <v/>
      </c>
      <c r="CJ110" t="str">
        <f>""</f>
        <v/>
      </c>
      <c r="CK110" t="str">
        <f>""</f>
        <v/>
      </c>
      <c r="CL110" t="str">
        <f>""</f>
        <v/>
      </c>
      <c r="CM110" t="str">
        <f>""</f>
        <v/>
      </c>
      <c r="CN110" t="str">
        <f>""</f>
        <v/>
      </c>
      <c r="CO110" t="str">
        <f>""</f>
        <v/>
      </c>
      <c r="CP110" t="str">
        <f>""</f>
        <v/>
      </c>
      <c r="CQ110" t="str">
        <f>""</f>
        <v/>
      </c>
      <c r="CR110" t="str">
        <f>""</f>
        <v/>
      </c>
      <c r="CS110" t="str">
        <f>""</f>
        <v/>
      </c>
      <c r="CT110" t="str">
        <f>""</f>
        <v/>
      </c>
      <c r="CU110" t="str">
        <f>""</f>
        <v/>
      </c>
      <c r="CV110" t="str">
        <f>""</f>
        <v/>
      </c>
      <c r="CW110" t="str">
        <f>""</f>
        <v/>
      </c>
      <c r="CX110" t="str">
        <f>""</f>
        <v/>
      </c>
      <c r="CY110" t="str">
        <f>""</f>
        <v/>
      </c>
      <c r="CZ110" t="str">
        <f>""</f>
        <v/>
      </c>
      <c r="DA110" t="str">
        <f>""</f>
        <v/>
      </c>
      <c r="DB110" t="str">
        <f>""</f>
        <v/>
      </c>
      <c r="DC110" t="str">
        <f>""</f>
        <v/>
      </c>
      <c r="DD110" t="str">
        <f>""</f>
        <v/>
      </c>
      <c r="DE110" t="str">
        <f>""</f>
        <v/>
      </c>
      <c r="DF110" t="str">
        <f>""</f>
        <v/>
      </c>
      <c r="DG110" t="str">
        <f>""</f>
        <v/>
      </c>
      <c r="DH110" t="str">
        <f>""</f>
        <v/>
      </c>
      <c r="DI110" t="str">
        <f>""</f>
        <v/>
      </c>
      <c r="DJ110" t="str">
        <f>""</f>
        <v/>
      </c>
      <c r="DK110" t="str">
        <f>""</f>
        <v/>
      </c>
      <c r="DL110" t="str">
        <f>""</f>
        <v/>
      </c>
      <c r="DM110" t="str">
        <f>""</f>
        <v/>
      </c>
      <c r="DN110" t="str">
        <f>""</f>
        <v/>
      </c>
      <c r="DO110" t="str">
        <f>""</f>
        <v/>
      </c>
      <c r="DP110" t="str">
        <f>""</f>
        <v/>
      </c>
      <c r="DQ110" t="str">
        <f>""</f>
        <v/>
      </c>
      <c r="DR110" t="str">
        <f>""</f>
        <v/>
      </c>
      <c r="DS110" t="str">
        <f>""</f>
        <v/>
      </c>
      <c r="DT110" t="str">
        <f>""</f>
        <v/>
      </c>
      <c r="DU110" t="str">
        <f>""</f>
        <v/>
      </c>
    </row>
    <row r="111" spans="1:125" x14ac:dyDescent="0.25">
      <c r="A111" t="str">
        <f>"    Svenska Handelsbanken AB"</f>
        <v xml:space="preserve">    Svenska Handelsbanken AB</v>
      </c>
      <c r="B111" t="str">
        <f>"SHBA SS Equity"</f>
        <v>SHBA SS Equity</v>
      </c>
      <c r="C111" t="str">
        <f t="shared" si="6"/>
        <v>BS017</v>
      </c>
      <c r="D111" t="str">
        <f t="shared" si="7"/>
        <v>BS_CONS_LOAN</v>
      </c>
      <c r="E111" t="str">
        <f t="shared" si="8"/>
        <v>Dynamic</v>
      </c>
      <c r="F111">
        <f ca="1">IF(AND(ISNUMBER($F$315),$B$208=1),$F$315,HLOOKUP(INDIRECT(ADDRESS(2,COLUMN())),OFFSET($BN$2,0,0,ROW()-1,60),ROW()-1,FALSE))</f>
        <v>102295.4791</v>
      </c>
      <c r="G111">
        <f ca="1">IF(AND(ISNUMBER($G$315),$B$208=1),$G$315,HLOOKUP(INDIRECT(ADDRESS(2,COLUMN())),OFFSET($BN$2,0,0,ROW()-1,60),ROW()-1,FALSE))</f>
        <v>103053.22659999999</v>
      </c>
      <c r="H111">
        <f ca="1">IF(AND(ISNUMBER($H$315),$B$208=1),$H$315,HLOOKUP(INDIRECT(ADDRESS(2,COLUMN())),OFFSET($BN$2,0,0,ROW()-1,60),ROW()-1,FALSE))</f>
        <v>102563.60030000001</v>
      </c>
      <c r="I111">
        <f ca="1">IF(AND(ISNUMBER($I$315),$B$208=1),$I$315,HLOOKUP(INDIRECT(ADDRESS(2,COLUMN())),OFFSET($BN$2,0,0,ROW()-1,60),ROW()-1,FALSE))</f>
        <v>100878.6096</v>
      </c>
      <c r="J111">
        <f ca="1">IF(AND(ISNUMBER($J$315),$B$208=1),$J$315,HLOOKUP(INDIRECT(ADDRESS(2,COLUMN())),OFFSET($BN$2,0,0,ROW()-1,60),ROW()-1,FALSE))</f>
        <v>103710.0661</v>
      </c>
      <c r="K111">
        <f ca="1">IF(AND(ISNUMBER($K$315),$B$208=1),$K$315,HLOOKUP(INDIRECT(ADDRESS(2,COLUMN())),OFFSET($BN$2,0,0,ROW()-1,60),ROW()-1,FALSE))</f>
        <v>103049.0028</v>
      </c>
      <c r="L111">
        <f ca="1">IF(AND(ISNUMBER($L$315),$B$208=1),$L$315,HLOOKUP(INDIRECT(ADDRESS(2,COLUMN())),OFFSET($BN$2,0,0,ROW()-1,60),ROW()-1,FALSE))</f>
        <v>99274.384579999998</v>
      </c>
      <c r="M111">
        <f ca="1">IF(AND(ISNUMBER($M$315),$B$208=1),$M$315,HLOOKUP(INDIRECT(ADDRESS(2,COLUMN())),OFFSET($BN$2,0,0,ROW()-1,60),ROW()-1,FALSE))</f>
        <v>103166.6208</v>
      </c>
      <c r="N111">
        <f ca="1">IF(AND(ISNUMBER($N$315),$B$208=1),$N$315,HLOOKUP(INDIRECT(ADDRESS(2,COLUMN())),OFFSET($BN$2,0,0,ROW()-1,60),ROW()-1,FALSE))</f>
        <v>104484.1121</v>
      </c>
      <c r="O111">
        <f ca="1">IF(AND(ISNUMBER($O$315),$B$208=1),$O$315,HLOOKUP(INDIRECT(ADDRESS(2,COLUMN())),OFFSET($BN$2,0,0,ROW()-1,60),ROW()-1,FALSE))</f>
        <v>106961.5886</v>
      </c>
      <c r="P111">
        <f ca="1">IF(AND(ISNUMBER($P$315),$B$208=1),$P$315,HLOOKUP(INDIRECT(ADDRESS(2,COLUMN())),OFFSET($BN$2,0,0,ROW()-1,60),ROW()-1,FALSE))</f>
        <v>108384.64169999999</v>
      </c>
      <c r="Q111">
        <f ca="1">IF(AND(ISNUMBER($Q$315),$B$208=1),$Q$315,HLOOKUP(INDIRECT(ADDRESS(2,COLUMN())),OFFSET($BN$2,0,0,ROW()-1,60),ROW()-1,FALSE))</f>
        <v>110611.6107</v>
      </c>
      <c r="R111">
        <f ca="1">IF(AND(ISNUMBER($R$315),$B$208=1),$R$315,HLOOKUP(INDIRECT(ADDRESS(2,COLUMN())),OFFSET($BN$2,0,0,ROW()-1,60),ROW()-1,FALSE))</f>
        <v>110006.7421</v>
      </c>
      <c r="S111">
        <f ca="1">IF(AND(ISNUMBER($S$315),$B$208=1),$S$315,HLOOKUP(INDIRECT(ADDRESS(2,COLUMN())),OFFSET($BN$2,0,0,ROW()-1,60),ROW()-1,FALSE))</f>
        <v>120717.11040000001</v>
      </c>
      <c r="T111">
        <f ca="1">IF(AND(ISNUMBER($T$315),$B$208=1),$T$315,HLOOKUP(INDIRECT(ADDRESS(2,COLUMN())),OFFSET($BN$2,0,0,ROW()-1,60),ROW()-1,FALSE))</f>
        <v>119139.4903</v>
      </c>
      <c r="U111">
        <f ca="1">IF(AND(ISNUMBER($U$315),$B$208=1),$U$315,HLOOKUP(INDIRECT(ADDRESS(2,COLUMN())),OFFSET($BN$2,0,0,ROW()-1,60),ROW()-1,FALSE))</f>
        <v>116770.1839</v>
      </c>
      <c r="V111">
        <f ca="1">IF(AND(ISNUMBER($V$315),$B$208=1),$V$315,HLOOKUP(INDIRECT(ADDRESS(2,COLUMN())),OFFSET($BN$2,0,0,ROW()-1,60),ROW()-1,FALSE))</f>
        <v>116469.58199999999</v>
      </c>
      <c r="W111">
        <f ca="1">IF(AND(ISNUMBER($W$315),$B$208=1),$W$315,HLOOKUP(INDIRECT(ADDRESS(2,COLUMN())),OFFSET($BN$2,0,0,ROW()-1,60),ROW()-1,FALSE))</f>
        <v>111414.6059</v>
      </c>
      <c r="X111">
        <f ca="1">IF(AND(ISNUMBER($X$315),$B$208=1),$X$315,HLOOKUP(INDIRECT(ADDRESS(2,COLUMN())),OFFSET($BN$2,0,0,ROW()-1,60),ROW()-1,FALSE))</f>
        <v>111217.79399999999</v>
      </c>
      <c r="Y111">
        <f ca="1">IF(AND(ISNUMBER($Y$315),$B$208=1),$Y$315,HLOOKUP(INDIRECT(ADDRESS(2,COLUMN())),OFFSET($BN$2,0,0,ROW()-1,60),ROW()-1,FALSE))</f>
        <v>106046.8211</v>
      </c>
      <c r="Z111">
        <f ca="1">IF(AND(ISNUMBER($Z$315),$B$208=1),$Z$315,HLOOKUP(INDIRECT(ADDRESS(2,COLUMN())),OFFSET($BN$2,0,0,ROW()-1,60),ROW()-1,FALSE))</f>
        <v>109816.65300000001</v>
      </c>
      <c r="AA111">
        <f ca="1">IF(AND(ISNUMBER($AA$315),$B$208=1),$AA$315,HLOOKUP(INDIRECT(ADDRESS(2,COLUMN())),OFFSET($BN$2,0,0,ROW()-1,60),ROW()-1,FALSE))</f>
        <v>106914.2132</v>
      </c>
      <c r="AB111">
        <f ca="1">IF(AND(ISNUMBER($AB$315),$B$208=1),$AB$315,HLOOKUP(INDIRECT(ADDRESS(2,COLUMN())),OFFSET($BN$2,0,0,ROW()-1,60),ROW()-1,FALSE))</f>
        <v>107496.3407</v>
      </c>
      <c r="AC111">
        <f ca="1">IF(AND(ISNUMBER($AC$315),$B$208=1),$AC$315,HLOOKUP(INDIRECT(ADDRESS(2,COLUMN())),OFFSET($BN$2,0,0,ROW()-1,60),ROW()-1,FALSE))</f>
        <v>107633.7596</v>
      </c>
      <c r="AD111">
        <f ca="1">IF(AND(ISNUMBER($AD$315),$B$208=1),$AD$315,HLOOKUP(INDIRECT(ADDRESS(2,COLUMN())),OFFSET($BN$2,0,0,ROW()-1,60),ROW()-1,FALSE))</f>
        <v>107975.0634</v>
      </c>
      <c r="AE111">
        <f ca="1">IF(AND(ISNUMBER($AE$315),$B$208=1),$AE$315,HLOOKUP(INDIRECT(ADDRESS(2,COLUMN())),OFFSET($BN$2,0,0,ROW()-1,60),ROW()-1,FALSE))</f>
        <v>106453.0321</v>
      </c>
      <c r="AF111">
        <f ca="1">IF(AND(ISNUMBER($AF$315),$B$208=1),$AF$315,HLOOKUP(INDIRECT(ADDRESS(2,COLUMN())),OFFSET($BN$2,0,0,ROW()-1,60),ROW()-1,FALSE))</f>
        <v>104607.5716</v>
      </c>
      <c r="AG111">
        <f ca="1">IF(AND(ISNUMBER($AG$315),$B$208=1),$AG$315,HLOOKUP(INDIRECT(ADDRESS(2,COLUMN())),OFFSET($BN$2,0,0,ROW()-1,60),ROW()-1,FALSE))</f>
        <v>104325.7988</v>
      </c>
      <c r="AH111">
        <f ca="1">IF(AND(ISNUMBER($AH$315),$B$208=1),$AH$315,HLOOKUP(INDIRECT(ADDRESS(2,COLUMN())),OFFSET($BN$2,0,0,ROW()-1,60),ROW()-1,FALSE))</f>
        <v>105828.2245</v>
      </c>
      <c r="AI111">
        <f ca="1">IF(AND(ISNUMBER($AI$315),$B$208=1),$AI$315,HLOOKUP(INDIRECT(ADDRESS(2,COLUMN())),OFFSET($BN$2,0,0,ROW()-1,60),ROW()-1,FALSE))</f>
        <v>106523.42230000001</v>
      </c>
      <c r="AJ111">
        <f ca="1">IF(AND(ISNUMBER($AJ$315),$B$208=1),$AJ$315,HLOOKUP(INDIRECT(ADDRESS(2,COLUMN())),OFFSET($BN$2,0,0,ROW()-1,60),ROW()-1,FALSE))</f>
        <v>104688.5569</v>
      </c>
      <c r="AK111">
        <f ca="1">IF(AND(ISNUMBER($AK$315),$B$208=1),$AK$315,HLOOKUP(INDIRECT(ADDRESS(2,COLUMN())),OFFSET($BN$2,0,0,ROW()-1,60),ROW()-1,FALSE))</f>
        <v>104054.704</v>
      </c>
      <c r="AL111">
        <f ca="1">IF(AND(ISNUMBER($AL$315),$B$208=1),$AL$315,HLOOKUP(INDIRECT(ADDRESS(2,COLUMN())),OFFSET($BN$2,0,0,ROW()-1,60),ROW()-1,FALSE))</f>
        <v>102533.0987</v>
      </c>
      <c r="AM111">
        <f ca="1">IF(AND(ISNUMBER($AM$315),$B$208=1),$AM$315,HLOOKUP(INDIRECT(ADDRESS(2,COLUMN())),OFFSET($BN$2,0,0,ROW()-1,60),ROW()-1,FALSE))</f>
        <v>100729.2936</v>
      </c>
      <c r="AN111">
        <f ca="1">IF(AND(ISNUMBER($AN$315),$B$208=1),$AN$315,HLOOKUP(INDIRECT(ADDRESS(2,COLUMN())),OFFSET($BN$2,0,0,ROW()-1,60),ROW()-1,FALSE))</f>
        <v>101160.4806</v>
      </c>
      <c r="AO111">
        <f ca="1">IF(AND(ISNUMBER($AO$315),$B$208=1),$AO$315,HLOOKUP(INDIRECT(ADDRESS(2,COLUMN())),OFFSET($BN$2,0,0,ROW()-1,60),ROW()-1,FALSE))</f>
        <v>100350.68180000001</v>
      </c>
      <c r="AP111">
        <f ca="1">IF(AND(ISNUMBER($AP$315),$B$208=1),$AP$315,HLOOKUP(INDIRECT(ADDRESS(2,COLUMN())),OFFSET($BN$2,0,0,ROW()-1,60),ROW()-1,FALSE))</f>
        <v>99320.090289999993</v>
      </c>
      <c r="AQ111" t="str">
        <f ca="1">IF(AND(ISNUMBER($AQ$315),$B$208=1),$AQ$315,HLOOKUP(INDIRECT(ADDRESS(2,COLUMN())),OFFSET($BN$2,0,0,ROW()-1,60),ROW()-1,FALSE))</f>
        <v/>
      </c>
      <c r="AR111" t="str">
        <f ca="1">IF(AND(ISNUMBER($AR$315),$B$208=1),$AR$315,HLOOKUP(INDIRECT(ADDRESS(2,COLUMN())),OFFSET($BN$2,0,0,ROW()-1,60),ROW()-1,FALSE))</f>
        <v/>
      </c>
      <c r="AS111" t="str">
        <f ca="1">IF(AND(ISNUMBER($AS$315),$B$208=1),$AS$315,HLOOKUP(INDIRECT(ADDRESS(2,COLUMN())),OFFSET($BN$2,0,0,ROW()-1,60),ROW()-1,FALSE))</f>
        <v/>
      </c>
      <c r="AT111">
        <f ca="1">IF(AND(ISNUMBER($AT$315),$B$208=1),$AT$315,HLOOKUP(INDIRECT(ADDRESS(2,COLUMN())),OFFSET($BN$2,0,0,ROW()-1,60),ROW()-1,FALSE))</f>
        <v>90322.737869999997</v>
      </c>
      <c r="AU111" t="str">
        <f ca="1">IF(AND(ISNUMBER($AU$315),$B$208=1),$AU$315,HLOOKUP(INDIRECT(ADDRESS(2,COLUMN())),OFFSET($BN$2,0,0,ROW()-1,60),ROW()-1,FALSE))</f>
        <v/>
      </c>
      <c r="AV111" t="str">
        <f ca="1">IF(AND(ISNUMBER($AV$315),$B$208=1),$AV$315,HLOOKUP(INDIRECT(ADDRESS(2,COLUMN())),OFFSET($BN$2,0,0,ROW()-1,60),ROW()-1,FALSE))</f>
        <v/>
      </c>
      <c r="AW111" t="str">
        <f ca="1">IF(AND(ISNUMBER($AW$315),$B$208=1),$AW$315,HLOOKUP(INDIRECT(ADDRESS(2,COLUMN())),OFFSET($BN$2,0,0,ROW()-1,60),ROW()-1,FALSE))</f>
        <v/>
      </c>
      <c r="AX111">
        <f ca="1">IF(AND(ISNUMBER($AX$315),$B$208=1),$AX$315,HLOOKUP(INDIRECT(ADDRESS(2,COLUMN())),OFFSET($BN$2,0,0,ROW()-1,60),ROW()-1,FALSE))</f>
        <v>88988.156390000004</v>
      </c>
      <c r="AY111" t="str">
        <f ca="1">IF(AND(ISNUMBER($AY$315),$B$208=1),$AY$315,HLOOKUP(INDIRECT(ADDRESS(2,COLUMN())),OFFSET($BN$2,0,0,ROW()-1,60),ROW()-1,FALSE))</f>
        <v/>
      </c>
      <c r="AZ111" t="str">
        <f ca="1">IF(AND(ISNUMBER($AZ$315),$B$208=1),$AZ$315,HLOOKUP(INDIRECT(ADDRESS(2,COLUMN())),OFFSET($BN$2,0,0,ROW()-1,60),ROW()-1,FALSE))</f>
        <v/>
      </c>
      <c r="BA111" t="str">
        <f ca="1">IF(AND(ISNUMBER($BA$315),$B$208=1),$BA$315,HLOOKUP(INDIRECT(ADDRESS(2,COLUMN())),OFFSET($BN$2,0,0,ROW()-1,60),ROW()-1,FALSE))</f>
        <v/>
      </c>
      <c r="BB111">
        <f ca="1">IF(AND(ISNUMBER($BB$315),$B$208=1),$BB$315,HLOOKUP(INDIRECT(ADDRESS(2,COLUMN())),OFFSET($BN$2,0,0,ROW()-1,60),ROW()-1,FALSE))</f>
        <v>86616.045750000005</v>
      </c>
      <c r="BC111" t="str">
        <f ca="1">IF(AND(ISNUMBER($BC$315),$B$208=1),$BC$315,HLOOKUP(INDIRECT(ADDRESS(2,COLUMN())),OFFSET($BN$2,0,0,ROW()-1,60),ROW()-1,FALSE))</f>
        <v/>
      </c>
      <c r="BD111" t="str">
        <f ca="1">IF(AND(ISNUMBER($BD$315),$B$208=1),$BD$315,HLOOKUP(INDIRECT(ADDRESS(2,COLUMN())),OFFSET($BN$2,0,0,ROW()-1,60),ROW()-1,FALSE))</f>
        <v/>
      </c>
      <c r="BE111" t="str">
        <f ca="1">IF(AND(ISNUMBER($BE$315),$B$208=1),$BE$315,HLOOKUP(INDIRECT(ADDRESS(2,COLUMN())),OFFSET($BN$2,0,0,ROW()-1,60),ROW()-1,FALSE))</f>
        <v/>
      </c>
      <c r="BF111" t="str">
        <f ca="1">IF(AND(ISNUMBER($BF$315),$B$208=1),$BF$315,HLOOKUP(INDIRECT(ADDRESS(2,COLUMN())),OFFSET($BN$2,0,0,ROW()-1,60),ROW()-1,FALSE))</f>
        <v/>
      </c>
      <c r="BG111" t="str">
        <f ca="1">IF(AND(ISNUMBER($BG$315),$B$208=1),$BG$315,HLOOKUP(INDIRECT(ADDRESS(2,COLUMN())),OFFSET($BN$2,0,0,ROW()-1,60),ROW()-1,FALSE))</f>
        <v/>
      </c>
      <c r="BH111" t="str">
        <f ca="1">IF(AND(ISNUMBER($BH$315),$B$208=1),$BH$315,HLOOKUP(INDIRECT(ADDRESS(2,COLUMN())),OFFSET($BN$2,0,0,ROW()-1,60),ROW()-1,FALSE))</f>
        <v/>
      </c>
      <c r="BI111" t="str">
        <f ca="1">IF(AND(ISNUMBER($BI$315),$B$208=1),$BI$315,HLOOKUP(INDIRECT(ADDRESS(2,COLUMN())),OFFSET($BN$2,0,0,ROW()-1,60),ROW()-1,FALSE))</f>
        <v/>
      </c>
      <c r="BJ111" t="str">
        <f ca="1">IF(AND(ISNUMBER($BJ$315),$B$208=1),$BJ$315,HLOOKUP(INDIRECT(ADDRESS(2,COLUMN())),OFFSET($BN$2,0,0,ROW()-1,60),ROW()-1,FALSE))</f>
        <v/>
      </c>
      <c r="BK111" t="str">
        <f ca="1">IF(AND(ISNUMBER($BK$315),$B$208=1),$BK$315,HLOOKUP(INDIRECT(ADDRESS(2,COLUMN())),OFFSET($BN$2,0,0,ROW()-1,60),ROW()-1,FALSE))</f>
        <v/>
      </c>
      <c r="BL111" t="str">
        <f ca="1">IF(AND(ISNUMBER($BL$315),$B$208=1),$BL$315,HLOOKUP(INDIRECT(ADDRESS(2,COLUMN())),OFFSET($BN$2,0,0,ROW()-1,60),ROW()-1,FALSE))</f>
        <v/>
      </c>
      <c r="BM111" t="str">
        <f ca="1">IF(AND(ISNUMBER($BM$315),$B$208=1),$BM$315,HLOOKUP(INDIRECT(ADDRESS(2,COLUMN())),OFFSET($BN$2,0,0,ROW()-1,60),ROW()-1,FALSE))</f>
        <v/>
      </c>
      <c r="BN111">
        <f>102295.4791</f>
        <v>102295.4791</v>
      </c>
      <c r="BO111">
        <f>103053.2266</f>
        <v>103053.22659999999</v>
      </c>
      <c r="BP111">
        <f>102563.6003</f>
        <v>102563.60030000001</v>
      </c>
      <c r="BQ111">
        <f>100878.6096</f>
        <v>100878.6096</v>
      </c>
      <c r="BR111">
        <f>103710.0661</f>
        <v>103710.0661</v>
      </c>
      <c r="BS111">
        <f>103049.0028</f>
        <v>103049.0028</v>
      </c>
      <c r="BT111">
        <f>99274.38458</f>
        <v>99274.384579999998</v>
      </c>
      <c r="BU111">
        <f>103166.6208</f>
        <v>103166.6208</v>
      </c>
      <c r="BV111">
        <f>104484.1121</f>
        <v>104484.1121</v>
      </c>
      <c r="BW111">
        <f>106961.5886</f>
        <v>106961.5886</v>
      </c>
      <c r="BX111">
        <f>108384.6417</f>
        <v>108384.64169999999</v>
      </c>
      <c r="BY111">
        <f>110611.6107</f>
        <v>110611.6107</v>
      </c>
      <c r="BZ111">
        <f>110006.7421</f>
        <v>110006.7421</v>
      </c>
      <c r="CA111">
        <f>120717.1104</f>
        <v>120717.11040000001</v>
      </c>
      <c r="CB111">
        <f>119139.4903</f>
        <v>119139.4903</v>
      </c>
      <c r="CC111">
        <f>116770.1839</f>
        <v>116770.1839</v>
      </c>
      <c r="CD111">
        <f>116469.582</f>
        <v>116469.58199999999</v>
      </c>
      <c r="CE111">
        <f>111414.6059</f>
        <v>111414.6059</v>
      </c>
      <c r="CF111">
        <f>111217.794</f>
        <v>111217.79399999999</v>
      </c>
      <c r="CG111">
        <f>106046.8211</f>
        <v>106046.8211</v>
      </c>
      <c r="CH111">
        <f>109816.653</f>
        <v>109816.65300000001</v>
      </c>
      <c r="CI111">
        <f>106914.2132</f>
        <v>106914.2132</v>
      </c>
      <c r="CJ111">
        <f>107496.3407</f>
        <v>107496.3407</v>
      </c>
      <c r="CK111">
        <f>107633.7596</f>
        <v>107633.7596</v>
      </c>
      <c r="CL111">
        <f>107975.0634</f>
        <v>107975.0634</v>
      </c>
      <c r="CM111">
        <f>106453.0321</f>
        <v>106453.0321</v>
      </c>
      <c r="CN111">
        <f>104607.5716</f>
        <v>104607.5716</v>
      </c>
      <c r="CO111">
        <f>104325.7988</f>
        <v>104325.7988</v>
      </c>
      <c r="CP111">
        <f>105828.2245</f>
        <v>105828.2245</v>
      </c>
      <c r="CQ111">
        <f>106523.4223</f>
        <v>106523.42230000001</v>
      </c>
      <c r="CR111">
        <f>104688.5569</f>
        <v>104688.5569</v>
      </c>
      <c r="CS111">
        <f>104054.704</f>
        <v>104054.704</v>
      </c>
      <c r="CT111">
        <f>102533.0987</f>
        <v>102533.0987</v>
      </c>
      <c r="CU111">
        <f>100729.2936</f>
        <v>100729.2936</v>
      </c>
      <c r="CV111">
        <f>101160.4806</f>
        <v>101160.4806</v>
      </c>
      <c r="CW111">
        <f>100350.6818</f>
        <v>100350.68180000001</v>
      </c>
      <c r="CX111">
        <f>99320.09029</f>
        <v>99320.090289999993</v>
      </c>
      <c r="CY111" t="str">
        <f>""</f>
        <v/>
      </c>
      <c r="CZ111" t="str">
        <f>""</f>
        <v/>
      </c>
      <c r="DA111" t="str">
        <f>""</f>
        <v/>
      </c>
      <c r="DB111">
        <f>90322.73787</f>
        <v>90322.737869999997</v>
      </c>
      <c r="DC111" t="str">
        <f>""</f>
        <v/>
      </c>
      <c r="DD111" t="str">
        <f>""</f>
        <v/>
      </c>
      <c r="DE111" t="str">
        <f>""</f>
        <v/>
      </c>
      <c r="DF111">
        <f>88988.15639</f>
        <v>88988.156390000004</v>
      </c>
      <c r="DG111" t="str">
        <f>""</f>
        <v/>
      </c>
      <c r="DH111" t="str">
        <f>""</f>
        <v/>
      </c>
      <c r="DI111" t="str">
        <f>""</f>
        <v/>
      </c>
      <c r="DJ111">
        <f>86616.04575</f>
        <v>86616.045750000005</v>
      </c>
      <c r="DK111" t="str">
        <f>""</f>
        <v/>
      </c>
      <c r="DL111" t="str">
        <f>""</f>
        <v/>
      </c>
      <c r="DM111" t="str">
        <f>""</f>
        <v/>
      </c>
      <c r="DN111" t="str">
        <f>""</f>
        <v/>
      </c>
      <c r="DO111" t="str">
        <f>""</f>
        <v/>
      </c>
      <c r="DP111" t="str">
        <f>""</f>
        <v/>
      </c>
      <c r="DQ111" t="str">
        <f>""</f>
        <v/>
      </c>
      <c r="DR111" t="str">
        <f>""</f>
        <v/>
      </c>
      <c r="DS111" t="str">
        <f>""</f>
        <v/>
      </c>
      <c r="DT111" t="str">
        <f>""</f>
        <v/>
      </c>
      <c r="DU111" t="str">
        <f>""</f>
        <v/>
      </c>
    </row>
    <row r="112" spans="1:125" x14ac:dyDescent="0.25">
      <c r="A112" t="str">
        <f>"    Swedbank AB"</f>
        <v xml:space="preserve">    Swedbank AB</v>
      </c>
      <c r="B112" t="str">
        <f>"SWEDA SS Equity"</f>
        <v>SWEDA SS Equity</v>
      </c>
      <c r="C112" t="str">
        <f t="shared" si="6"/>
        <v>BS017</v>
      </c>
      <c r="D112" t="str">
        <f t="shared" si="7"/>
        <v>BS_CONS_LOAN</v>
      </c>
      <c r="E112" t="str">
        <f t="shared" si="8"/>
        <v>Dynamic</v>
      </c>
      <c r="F112" t="str">
        <f ca="1">IF(AND(ISNUMBER($F$316),$B$208=1),$F$316,HLOOKUP(INDIRECT(ADDRESS(2,COLUMN())),OFFSET($BN$2,0,0,ROW()-1,60),ROW()-1,FALSE))</f>
        <v/>
      </c>
      <c r="G112">
        <f ca="1">IF(AND(ISNUMBER($G$316),$B$208=1),$G$316,HLOOKUP(INDIRECT(ADDRESS(2,COLUMN())),OFFSET($BN$2,0,0,ROW()-1,60),ROW()-1,FALSE))</f>
        <v>100391.7837</v>
      </c>
      <c r="H112">
        <f ca="1">IF(AND(ISNUMBER($H$316),$B$208=1),$H$316,HLOOKUP(INDIRECT(ADDRESS(2,COLUMN())),OFFSET($BN$2,0,0,ROW()-1,60),ROW()-1,FALSE))</f>
        <v>99812.265020000006</v>
      </c>
      <c r="I112">
        <f ca="1">IF(AND(ISNUMBER($I$316),$B$208=1),$I$316,HLOOKUP(INDIRECT(ADDRESS(2,COLUMN())),OFFSET($BN$2,0,0,ROW()-1,60),ROW()-1,FALSE))</f>
        <v>98280.885760000005</v>
      </c>
      <c r="J112">
        <f ca="1">IF(AND(ISNUMBER($J$316),$B$208=1),$J$316,HLOOKUP(INDIRECT(ADDRESS(2,COLUMN())),OFFSET($BN$2,0,0,ROW()-1,60),ROW()-1,FALSE))</f>
        <v>106046.6551</v>
      </c>
      <c r="K112">
        <f ca="1">IF(AND(ISNUMBER($K$316),$B$208=1),$K$316,HLOOKUP(INDIRECT(ADDRESS(2,COLUMN())),OFFSET($BN$2,0,0,ROW()-1,60),ROW()-1,FALSE))</f>
        <v>102441.3337</v>
      </c>
      <c r="L112">
        <f ca="1">IF(AND(ISNUMBER($L$316),$B$208=1),$L$316,HLOOKUP(INDIRECT(ADDRESS(2,COLUMN())),OFFSET($BN$2,0,0,ROW()-1,60),ROW()-1,FALSE))</f>
        <v>80614.012770000001</v>
      </c>
      <c r="M112">
        <f ca="1">IF(AND(ISNUMBER($M$316),$B$208=1),$M$316,HLOOKUP(INDIRECT(ADDRESS(2,COLUMN())),OFFSET($BN$2,0,0,ROW()-1,60),ROW()-1,FALSE))</f>
        <v>99841.593349999996</v>
      </c>
      <c r="N112">
        <f ca="1">IF(AND(ISNUMBER($N$316),$B$208=1),$N$316,HLOOKUP(INDIRECT(ADDRESS(2,COLUMN())),OFFSET($BN$2,0,0,ROW()-1,60),ROW()-1,FALSE))</f>
        <v>105657.80379999999</v>
      </c>
      <c r="O112">
        <f ca="1">IF(AND(ISNUMBER($O$316),$B$208=1),$O$316,HLOOKUP(INDIRECT(ADDRESS(2,COLUMN())),OFFSET($BN$2,0,0,ROW()-1,60),ROW()-1,FALSE))</f>
        <v>108089.772</v>
      </c>
      <c r="P112">
        <f ca="1">IF(AND(ISNUMBER($P$316),$B$208=1),$P$316,HLOOKUP(INDIRECT(ADDRESS(2,COLUMN())),OFFSET($BN$2,0,0,ROW()-1,60),ROW()-1,FALSE))</f>
        <v>83741.024210000003</v>
      </c>
      <c r="Q112">
        <f ca="1">IF(AND(ISNUMBER($Q$316),$B$208=1),$Q$316,HLOOKUP(INDIRECT(ADDRESS(2,COLUMN())),OFFSET($BN$2,0,0,ROW()-1,60),ROW()-1,FALSE))</f>
        <v>110537.3722</v>
      </c>
      <c r="R112">
        <f ca="1">IF(AND(ISNUMBER($R$316),$B$208=1),$R$316,HLOOKUP(INDIRECT(ADDRESS(2,COLUMN())),OFFSET($BN$2,0,0,ROW()-1,60),ROW()-1,FALSE))</f>
        <v>110243.67939999999</v>
      </c>
      <c r="S112">
        <f ca="1">IF(AND(ISNUMBER($S$316),$B$208=1),$S$316,HLOOKUP(INDIRECT(ADDRESS(2,COLUMN())),OFFSET($BN$2,0,0,ROW()-1,60),ROW()-1,FALSE))</f>
        <v>110126.5724</v>
      </c>
      <c r="T112">
        <f ca="1">IF(AND(ISNUMBER($T$316),$B$208=1),$T$316,HLOOKUP(INDIRECT(ADDRESS(2,COLUMN())),OFFSET($BN$2,0,0,ROW()-1,60),ROW()-1,FALSE))</f>
        <v>108689.8808</v>
      </c>
      <c r="U112">
        <f ca="1">IF(AND(ISNUMBER($U$316),$B$208=1),$U$316,HLOOKUP(INDIRECT(ADDRESS(2,COLUMN())),OFFSET($BN$2,0,0,ROW()-1,60),ROW()-1,FALSE))</f>
        <v>106174.5364</v>
      </c>
      <c r="V112">
        <f ca="1">IF(AND(ISNUMBER($V$316),$B$208=1),$V$316,HLOOKUP(INDIRECT(ADDRESS(2,COLUMN())),OFFSET($BN$2,0,0,ROW()-1,60),ROW()-1,FALSE))</f>
        <v>107590.1672</v>
      </c>
      <c r="W112">
        <f ca="1">IF(AND(ISNUMBER($W$316),$B$208=1),$W$316,HLOOKUP(INDIRECT(ADDRESS(2,COLUMN())),OFFSET($BN$2,0,0,ROW()-1,60),ROW()-1,FALSE))</f>
        <v>102886.2115</v>
      </c>
      <c r="X112">
        <f ca="1">IF(AND(ISNUMBER($X$316),$B$208=1),$X$316,HLOOKUP(INDIRECT(ADDRESS(2,COLUMN())),OFFSET($BN$2,0,0,ROW()-1,60),ROW()-1,FALSE))</f>
        <v>102230.8768</v>
      </c>
      <c r="Y112">
        <f ca="1">IF(AND(ISNUMBER($Y$316),$B$208=1),$Y$316,HLOOKUP(INDIRECT(ADDRESS(2,COLUMN())),OFFSET($BN$2,0,0,ROW()-1,60),ROW()-1,FALSE))</f>
        <v>97261.508019999994</v>
      </c>
      <c r="Z112">
        <f ca="1">IF(AND(ISNUMBER($Z$316),$B$208=1),$Z$316,HLOOKUP(INDIRECT(ADDRESS(2,COLUMN())),OFFSET($BN$2,0,0,ROW()-1,60),ROW()-1,FALSE))</f>
        <v>100325.0974</v>
      </c>
      <c r="AA112">
        <f ca="1">IF(AND(ISNUMBER($AA$316),$B$208=1),$AA$316,HLOOKUP(INDIRECT(ADDRESS(2,COLUMN())),OFFSET($BN$2,0,0,ROW()-1,60),ROW()-1,FALSE))</f>
        <v>98192.084300000002</v>
      </c>
      <c r="AB112">
        <f ca="1">IF(AND(ISNUMBER($AB$316),$B$208=1),$AB$316,HLOOKUP(INDIRECT(ADDRESS(2,COLUMN())),OFFSET($BN$2,0,0,ROW()-1,60),ROW()-1,FALSE))</f>
        <v>99023.839739999996</v>
      </c>
      <c r="AC112">
        <f ca="1">IF(AND(ISNUMBER($AC$316),$B$208=1),$AC$316,HLOOKUP(INDIRECT(ADDRESS(2,COLUMN())),OFFSET($BN$2,0,0,ROW()-1,60),ROW()-1,FALSE))</f>
        <v>99515.628890000007</v>
      </c>
      <c r="AD112">
        <f ca="1">IF(AND(ISNUMBER($AD$316),$B$208=1),$AD$316,HLOOKUP(INDIRECT(ADDRESS(2,COLUMN())),OFFSET($BN$2,0,0,ROW()-1,60),ROW()-1,FALSE))</f>
        <v>101347.7788</v>
      </c>
      <c r="AE112">
        <f ca="1">IF(AND(ISNUMBER($AE$316),$B$208=1),$AE$316,HLOOKUP(INDIRECT(ADDRESS(2,COLUMN())),OFFSET($BN$2,0,0,ROW()-1,60),ROW()-1,FALSE))</f>
        <v>99120.679080000002</v>
      </c>
      <c r="AF112">
        <f ca="1">IF(AND(ISNUMBER($AF$316),$B$208=1),$AF$316,HLOOKUP(INDIRECT(ADDRESS(2,COLUMN())),OFFSET($BN$2,0,0,ROW()-1,60),ROW()-1,FALSE))</f>
        <v>97012.187479999993</v>
      </c>
      <c r="AG112">
        <f ca="1">IF(AND(ISNUMBER($AG$316),$B$208=1),$AG$316,HLOOKUP(INDIRECT(ADDRESS(2,COLUMN())),OFFSET($BN$2,0,0,ROW()-1,60),ROW()-1,FALSE))</f>
        <v>97072.137499999997</v>
      </c>
      <c r="AH112">
        <f ca="1">IF(AND(ISNUMBER($AH$316),$B$208=1),$AH$316,HLOOKUP(INDIRECT(ADDRESS(2,COLUMN())),OFFSET($BN$2,0,0,ROW()-1,60),ROW()-1,FALSE))</f>
        <v>99806.425829999993</v>
      </c>
      <c r="AI112">
        <f ca="1">IF(AND(ISNUMBER($AI$316),$B$208=1),$AI$316,HLOOKUP(INDIRECT(ADDRESS(2,COLUMN())),OFFSET($BN$2,0,0,ROW()-1,60),ROW()-1,FALSE))</f>
        <v>100335.4452</v>
      </c>
      <c r="AJ112">
        <f ca="1">IF(AND(ISNUMBER($AJ$316),$B$208=1),$AJ$316,HLOOKUP(INDIRECT(ADDRESS(2,COLUMN())),OFFSET($BN$2,0,0,ROW()-1,60),ROW()-1,FALSE))</f>
        <v>99109.420610000001</v>
      </c>
      <c r="AK112">
        <f ca="1">IF(AND(ISNUMBER($AK$316),$B$208=1),$AK$316,HLOOKUP(INDIRECT(ADDRESS(2,COLUMN())),OFFSET($BN$2,0,0,ROW()-1,60),ROW()-1,FALSE))</f>
        <v>98451.703649999996</v>
      </c>
      <c r="AL112">
        <f ca="1">IF(AND(ISNUMBER($AL$316),$B$208=1),$AL$316,HLOOKUP(INDIRECT(ADDRESS(2,COLUMN())),OFFSET($BN$2,0,0,ROW()-1,60),ROW()-1,FALSE))</f>
        <v>97303.351330000005</v>
      </c>
      <c r="AM112">
        <f ca="1">IF(AND(ISNUMBER($AM$316),$B$208=1),$AM$316,HLOOKUP(INDIRECT(ADDRESS(2,COLUMN())),OFFSET($BN$2,0,0,ROW()-1,60),ROW()-1,FALSE))</f>
        <v>94478.604489999998</v>
      </c>
      <c r="AN112">
        <f ca="1">IF(AND(ISNUMBER($AN$316),$B$208=1),$AN$316,HLOOKUP(INDIRECT(ADDRESS(2,COLUMN())),OFFSET($BN$2,0,0,ROW()-1,60),ROW()-1,FALSE))</f>
        <v>95547.896980000005</v>
      </c>
      <c r="AO112">
        <f ca="1">IF(AND(ISNUMBER($AO$316),$B$208=1),$AO$316,HLOOKUP(INDIRECT(ADDRESS(2,COLUMN())),OFFSET($BN$2,0,0,ROW()-1,60),ROW()-1,FALSE))</f>
        <v>95442.504360000006</v>
      </c>
      <c r="AP112">
        <f ca="1">IF(AND(ISNUMBER($AP$316),$B$208=1),$AP$316,HLOOKUP(INDIRECT(ADDRESS(2,COLUMN())),OFFSET($BN$2,0,0,ROW()-1,60),ROW()-1,FALSE))</f>
        <v>94676.132660000003</v>
      </c>
      <c r="AQ112">
        <f ca="1">IF(AND(ISNUMBER($AQ$316),$B$208=1),$AQ$316,HLOOKUP(INDIRECT(ADDRESS(2,COLUMN())),OFFSET($BN$2,0,0,ROW()-1,60),ROW()-1,FALSE))</f>
        <v>92117.336120000007</v>
      </c>
      <c r="AR112">
        <f ca="1">IF(AND(ISNUMBER($AR$316),$B$208=1),$AR$316,HLOOKUP(INDIRECT(ADDRESS(2,COLUMN())),OFFSET($BN$2,0,0,ROW()-1,60),ROW()-1,FALSE))</f>
        <v>92240.114189999993</v>
      </c>
      <c r="AS112">
        <f ca="1">IF(AND(ISNUMBER($AS$316),$B$208=1),$AS$316,HLOOKUP(INDIRECT(ADDRESS(2,COLUMN())),OFFSET($BN$2,0,0,ROW()-1,60),ROW()-1,FALSE))</f>
        <v>90738.698470000003</v>
      </c>
      <c r="AT112">
        <f ca="1">IF(AND(ISNUMBER($AT$316),$B$208=1),$AT$316,HLOOKUP(INDIRECT(ADDRESS(2,COLUMN())),OFFSET($BN$2,0,0,ROW()-1,60),ROW()-1,FALSE))</f>
        <v>88095.147280000005</v>
      </c>
      <c r="AU112">
        <f ca="1">IF(AND(ISNUMBER($AU$316),$B$208=1),$AU$316,HLOOKUP(INDIRECT(ADDRESS(2,COLUMN())),OFFSET($BN$2,0,0,ROW()-1,60),ROW()-1,FALSE))</f>
        <v>89302.66936</v>
      </c>
      <c r="AV112">
        <f ca="1">IF(AND(ISNUMBER($AV$316),$B$208=1),$AV$316,HLOOKUP(INDIRECT(ADDRESS(2,COLUMN())),OFFSET($BN$2,0,0,ROW()-1,60),ROW()-1,FALSE))</f>
        <v>87650.963929999998</v>
      </c>
      <c r="AW112">
        <f ca="1">IF(AND(ISNUMBER($AW$316),$B$208=1),$AW$316,HLOOKUP(INDIRECT(ADDRESS(2,COLUMN())),OFFSET($BN$2,0,0,ROW()-1,60),ROW()-1,FALSE))</f>
        <v>87913.660159999999</v>
      </c>
      <c r="AX112">
        <f ca="1">IF(AND(ISNUMBER($AX$316),$B$208=1),$AX$316,HLOOKUP(INDIRECT(ADDRESS(2,COLUMN())),OFFSET($BN$2,0,0,ROW()-1,60),ROW()-1,FALSE))</f>
        <v>87728.997029999999</v>
      </c>
      <c r="AY112">
        <f ca="1">IF(AND(ISNUMBER($AY$316),$B$208=1),$AY$316,HLOOKUP(INDIRECT(ADDRESS(2,COLUMN())),OFFSET($BN$2,0,0,ROW()-1,60),ROW()-1,FALSE))</f>
        <v>88486.112959999999</v>
      </c>
      <c r="AZ112">
        <f ca="1">IF(AND(ISNUMBER($AZ$316),$B$208=1),$AZ$316,HLOOKUP(INDIRECT(ADDRESS(2,COLUMN())),OFFSET($BN$2,0,0,ROW()-1,60),ROW()-1,FALSE))</f>
        <v>87294.789239999998</v>
      </c>
      <c r="BA112">
        <f ca="1">IF(AND(ISNUMBER($BA$316),$B$208=1),$BA$316,HLOOKUP(INDIRECT(ADDRESS(2,COLUMN())),OFFSET($BN$2,0,0,ROW()-1,60),ROW()-1,FALSE))</f>
        <v>90327.05816</v>
      </c>
      <c r="BB112">
        <f ca="1">IF(AND(ISNUMBER($BB$316),$B$208=1),$BB$316,HLOOKUP(INDIRECT(ADDRESS(2,COLUMN())),OFFSET($BN$2,0,0,ROW()-1,60),ROW()-1,FALSE))</f>
        <v>88258.532049999994</v>
      </c>
      <c r="BC112">
        <f ca="1">IF(AND(ISNUMBER($BC$316),$B$208=1),$BC$316,HLOOKUP(INDIRECT(ADDRESS(2,COLUMN())),OFFSET($BN$2,0,0,ROW()-1,60),ROW()-1,FALSE))</f>
        <v>89394.321649999998</v>
      </c>
      <c r="BD112">
        <f ca="1">IF(AND(ISNUMBER($BD$316),$B$208=1),$BD$316,HLOOKUP(INDIRECT(ADDRESS(2,COLUMN())),OFFSET($BN$2,0,0,ROW()-1,60),ROW()-1,FALSE))</f>
        <v>85999.791759999993</v>
      </c>
      <c r="BE112">
        <f ca="1">IF(AND(ISNUMBER($BE$316),$B$208=1),$BE$316,HLOOKUP(INDIRECT(ADDRESS(2,COLUMN())),OFFSET($BN$2,0,0,ROW()-1,60),ROW()-1,FALSE))</f>
        <v>76088.703219999996</v>
      </c>
      <c r="BF112">
        <f ca="1">IF(AND(ISNUMBER($BF$316),$B$208=1),$BF$316,HLOOKUP(INDIRECT(ADDRESS(2,COLUMN())),OFFSET($BN$2,0,0,ROW()-1,60),ROW()-1,FALSE))</f>
        <v>83244.976920000001</v>
      </c>
      <c r="BG112" t="str">
        <f ca="1">IF(AND(ISNUMBER($BG$316),$B$208=1),$BG$316,HLOOKUP(INDIRECT(ADDRESS(2,COLUMN())),OFFSET($BN$2,0,0,ROW()-1,60),ROW()-1,FALSE))</f>
        <v/>
      </c>
      <c r="BH112" t="str">
        <f ca="1">IF(AND(ISNUMBER($BH$316),$B$208=1),$BH$316,HLOOKUP(INDIRECT(ADDRESS(2,COLUMN())),OFFSET($BN$2,0,0,ROW()-1,60),ROW()-1,FALSE))</f>
        <v/>
      </c>
      <c r="BI112" t="str">
        <f ca="1">IF(AND(ISNUMBER($BI$316),$B$208=1),$BI$316,HLOOKUP(INDIRECT(ADDRESS(2,COLUMN())),OFFSET($BN$2,0,0,ROW()-1,60),ROW()-1,FALSE))</f>
        <v/>
      </c>
      <c r="BJ112">
        <f ca="1">IF(AND(ISNUMBER($BJ$316),$B$208=1),$BJ$316,HLOOKUP(INDIRECT(ADDRESS(2,COLUMN())),OFFSET($BN$2,0,0,ROW()-1,60),ROW()-1,FALSE))</f>
        <v>73496.03138</v>
      </c>
      <c r="BK112" t="str">
        <f ca="1">IF(AND(ISNUMBER($BK$316),$B$208=1),$BK$316,HLOOKUP(INDIRECT(ADDRESS(2,COLUMN())),OFFSET($BN$2,0,0,ROW()-1,60),ROW()-1,FALSE))</f>
        <v/>
      </c>
      <c r="BL112" t="str">
        <f ca="1">IF(AND(ISNUMBER($BL$316),$B$208=1),$BL$316,HLOOKUP(INDIRECT(ADDRESS(2,COLUMN())),OFFSET($BN$2,0,0,ROW()-1,60),ROW()-1,FALSE))</f>
        <v/>
      </c>
      <c r="BM112" t="str">
        <f ca="1">IF(AND(ISNUMBER($BM$316),$B$208=1),$BM$316,HLOOKUP(INDIRECT(ADDRESS(2,COLUMN())),OFFSET($BN$2,0,0,ROW()-1,60),ROW()-1,FALSE))</f>
        <v/>
      </c>
      <c r="BN112" t="str">
        <f>""</f>
        <v/>
      </c>
      <c r="BO112">
        <f>100391.7837</f>
        <v>100391.7837</v>
      </c>
      <c r="BP112">
        <f>99812.26502</f>
        <v>99812.265020000006</v>
      </c>
      <c r="BQ112">
        <f>98280.88576</f>
        <v>98280.885760000005</v>
      </c>
      <c r="BR112">
        <f>106046.6551</f>
        <v>106046.6551</v>
      </c>
      <c r="BS112">
        <f>102441.3337</f>
        <v>102441.3337</v>
      </c>
      <c r="BT112">
        <f>80614.01277</f>
        <v>80614.012770000001</v>
      </c>
      <c r="BU112">
        <f>99841.59335</f>
        <v>99841.593349999996</v>
      </c>
      <c r="BV112">
        <f>105657.8038</f>
        <v>105657.80379999999</v>
      </c>
      <c r="BW112">
        <f>108089.772</f>
        <v>108089.772</v>
      </c>
      <c r="BX112">
        <f>83741.02421</f>
        <v>83741.024210000003</v>
      </c>
      <c r="BY112">
        <f>110537.3722</f>
        <v>110537.3722</v>
      </c>
      <c r="BZ112">
        <f>110243.6794</f>
        <v>110243.67939999999</v>
      </c>
      <c r="CA112">
        <f>110126.5724</f>
        <v>110126.5724</v>
      </c>
      <c r="CB112">
        <f>108689.8808</f>
        <v>108689.8808</v>
      </c>
      <c r="CC112">
        <f>106174.5364</f>
        <v>106174.5364</v>
      </c>
      <c r="CD112">
        <f>107590.1672</f>
        <v>107590.1672</v>
      </c>
      <c r="CE112">
        <f>102886.2115</f>
        <v>102886.2115</v>
      </c>
      <c r="CF112">
        <f>102230.8768</f>
        <v>102230.8768</v>
      </c>
      <c r="CG112">
        <f>97261.50802</f>
        <v>97261.508019999994</v>
      </c>
      <c r="CH112">
        <f>100325.0974</f>
        <v>100325.0974</v>
      </c>
      <c r="CI112">
        <f>98192.0843</f>
        <v>98192.084300000002</v>
      </c>
      <c r="CJ112">
        <f>99023.83974</f>
        <v>99023.839739999996</v>
      </c>
      <c r="CK112">
        <f>99515.62889</f>
        <v>99515.628890000007</v>
      </c>
      <c r="CL112">
        <f>101347.7788</f>
        <v>101347.7788</v>
      </c>
      <c r="CM112">
        <f>99120.67908</f>
        <v>99120.679080000002</v>
      </c>
      <c r="CN112">
        <f>97012.18748</f>
        <v>97012.187479999993</v>
      </c>
      <c r="CO112">
        <f>97072.1375</f>
        <v>97072.137499999997</v>
      </c>
      <c r="CP112">
        <f>99806.42583</f>
        <v>99806.425829999993</v>
      </c>
      <c r="CQ112">
        <f>100335.4452</f>
        <v>100335.4452</v>
      </c>
      <c r="CR112">
        <f>99109.42061</f>
        <v>99109.420610000001</v>
      </c>
      <c r="CS112">
        <f>98451.70365</f>
        <v>98451.703649999996</v>
      </c>
      <c r="CT112">
        <f>97303.35133</f>
        <v>97303.351330000005</v>
      </c>
      <c r="CU112">
        <f>94478.60449</f>
        <v>94478.604489999998</v>
      </c>
      <c r="CV112">
        <f>95547.89698</f>
        <v>95547.896980000005</v>
      </c>
      <c r="CW112">
        <f>95442.50436</f>
        <v>95442.504360000006</v>
      </c>
      <c r="CX112">
        <f>94676.13266</f>
        <v>94676.132660000003</v>
      </c>
      <c r="CY112">
        <f>92117.33612</f>
        <v>92117.336120000007</v>
      </c>
      <c r="CZ112">
        <f>92240.11419</f>
        <v>92240.114189999993</v>
      </c>
      <c r="DA112">
        <f>90738.69847</f>
        <v>90738.698470000003</v>
      </c>
      <c r="DB112">
        <f>88095.14728</f>
        <v>88095.147280000005</v>
      </c>
      <c r="DC112">
        <f>89302.66936</f>
        <v>89302.66936</v>
      </c>
      <c r="DD112">
        <f>87650.96393</f>
        <v>87650.963929999998</v>
      </c>
      <c r="DE112">
        <f>87913.66016</f>
        <v>87913.660159999999</v>
      </c>
      <c r="DF112">
        <f>87728.99703</f>
        <v>87728.997029999999</v>
      </c>
      <c r="DG112">
        <f>88486.11296</f>
        <v>88486.112959999999</v>
      </c>
      <c r="DH112">
        <f>87294.78924</f>
        <v>87294.789239999998</v>
      </c>
      <c r="DI112">
        <f>90327.05816</f>
        <v>90327.05816</v>
      </c>
      <c r="DJ112">
        <f>88258.53205</f>
        <v>88258.532049999994</v>
      </c>
      <c r="DK112">
        <f>89394.32165</f>
        <v>89394.321649999998</v>
      </c>
      <c r="DL112">
        <f>85999.79176</f>
        <v>85999.791759999993</v>
      </c>
      <c r="DM112">
        <f>76088.70322</f>
        <v>76088.703219999996</v>
      </c>
      <c r="DN112">
        <f>83244.97692</f>
        <v>83244.976920000001</v>
      </c>
      <c r="DO112" t="str">
        <f>""</f>
        <v/>
      </c>
      <c r="DP112" t="str">
        <f>""</f>
        <v/>
      </c>
      <c r="DQ112" t="str">
        <f>""</f>
        <v/>
      </c>
      <c r="DR112">
        <f>73496.03138</f>
        <v>73496.03138</v>
      </c>
      <c r="DS112" t="str">
        <f>""</f>
        <v/>
      </c>
      <c r="DT112" t="str">
        <f>""</f>
        <v/>
      </c>
      <c r="DU112" t="str">
        <f>""</f>
        <v/>
      </c>
    </row>
    <row r="113" spans="1:125" x14ac:dyDescent="0.25">
      <c r="A113" t="str">
        <f>"    Societe Generale SA"</f>
        <v xml:space="preserve">    Societe Generale SA</v>
      </c>
      <c r="B113" t="str">
        <f>"GLE FP Equity"</f>
        <v>GLE FP Equity</v>
      </c>
      <c r="C113" t="str">
        <f t="shared" si="6"/>
        <v>BS017</v>
      </c>
      <c r="D113" t="str">
        <f t="shared" si="7"/>
        <v>BS_CONS_LOAN</v>
      </c>
      <c r="E113" t="str">
        <f t="shared" si="8"/>
        <v>Dynamic</v>
      </c>
      <c r="F113">
        <f ca="1">IF(AND(ISNUMBER($F$317),$B$208=1),$F$317,HLOOKUP(INDIRECT(ADDRESS(2,COLUMN())),OFFSET($BN$2,0,0,ROW()-1,60),ROW()-1,FALSE))</f>
        <v>20383</v>
      </c>
      <c r="G113" t="str">
        <f ca="1">IF(AND(ISNUMBER($G$317),$B$208=1),$G$317,HLOOKUP(INDIRECT(ADDRESS(2,COLUMN())),OFFSET($BN$2,0,0,ROW()-1,60),ROW()-1,FALSE))</f>
        <v/>
      </c>
      <c r="H113">
        <f ca="1">IF(AND(ISNUMBER($H$317),$B$208=1),$H$317,HLOOKUP(INDIRECT(ADDRESS(2,COLUMN())),OFFSET($BN$2,0,0,ROW()-1,60),ROW()-1,FALSE))</f>
        <v>20109</v>
      </c>
      <c r="I113" t="str">
        <f ca="1">IF(AND(ISNUMBER($I$317),$B$208=1),$I$317,HLOOKUP(INDIRECT(ADDRESS(2,COLUMN())),OFFSET($BN$2,0,0,ROW()-1,60),ROW()-1,FALSE))</f>
        <v/>
      </c>
      <c r="J113">
        <f ca="1">IF(AND(ISNUMBER($J$317),$B$208=1),$J$317,HLOOKUP(INDIRECT(ADDRESS(2,COLUMN())),OFFSET($BN$2,0,0,ROW()-1,60),ROW()-1,FALSE))</f>
        <v>21629</v>
      </c>
      <c r="K113" t="str">
        <f ca="1">IF(AND(ISNUMBER($K$317),$B$208=1),$K$317,HLOOKUP(INDIRECT(ADDRESS(2,COLUMN())),OFFSET($BN$2,0,0,ROW()-1,60),ROW()-1,FALSE))</f>
        <v/>
      </c>
      <c r="L113">
        <f ca="1">IF(AND(ISNUMBER($L$317),$B$208=1),$L$317,HLOOKUP(INDIRECT(ADDRESS(2,COLUMN())),OFFSET($BN$2,0,0,ROW()-1,60),ROW()-1,FALSE))</f>
        <v>23366</v>
      </c>
      <c r="M113" t="str">
        <f ca="1">IF(AND(ISNUMBER($M$317),$B$208=1),$M$317,HLOOKUP(INDIRECT(ADDRESS(2,COLUMN())),OFFSET($BN$2,0,0,ROW()-1,60),ROW()-1,FALSE))</f>
        <v/>
      </c>
      <c r="N113">
        <f ca="1">IF(AND(ISNUMBER($N$317),$B$208=1),$N$317,HLOOKUP(INDIRECT(ADDRESS(2,COLUMN())),OFFSET($BN$2,0,0,ROW()-1,60),ROW()-1,FALSE))</f>
        <v>29244</v>
      </c>
      <c r="O113" t="str">
        <f ca="1">IF(AND(ISNUMBER($O$317),$B$208=1),$O$317,HLOOKUP(INDIRECT(ADDRESS(2,COLUMN())),OFFSET($BN$2,0,0,ROW()-1,60),ROW()-1,FALSE))</f>
        <v/>
      </c>
      <c r="P113">
        <f ca="1">IF(AND(ISNUMBER($P$317),$B$208=1),$P$317,HLOOKUP(INDIRECT(ADDRESS(2,COLUMN())),OFFSET($BN$2,0,0,ROW()-1,60),ROW()-1,FALSE))</f>
        <v>32242</v>
      </c>
      <c r="Q113" t="str">
        <f ca="1">IF(AND(ISNUMBER($Q$317),$B$208=1),$Q$317,HLOOKUP(INDIRECT(ADDRESS(2,COLUMN())),OFFSET($BN$2,0,0,ROW()-1,60),ROW()-1,FALSE))</f>
        <v/>
      </c>
      <c r="R113">
        <f ca="1">IF(AND(ISNUMBER($R$317),$B$208=1),$R$317,HLOOKUP(INDIRECT(ADDRESS(2,COLUMN())),OFFSET($BN$2,0,0,ROW()-1,60),ROW()-1,FALSE))</f>
        <v>465178</v>
      </c>
      <c r="S113" t="str">
        <f ca="1">IF(AND(ISNUMBER($S$317),$B$208=1),$S$317,HLOOKUP(INDIRECT(ADDRESS(2,COLUMN())),OFFSET($BN$2,0,0,ROW()-1,60),ROW()-1,FALSE))</f>
        <v/>
      </c>
      <c r="T113">
        <f ca="1">IF(AND(ISNUMBER($T$317),$B$208=1),$T$317,HLOOKUP(INDIRECT(ADDRESS(2,COLUMN())),OFFSET($BN$2,0,0,ROW()-1,60),ROW()-1,FALSE))</f>
        <v>20937</v>
      </c>
      <c r="U113" t="str">
        <f ca="1">IF(AND(ISNUMBER($U$317),$B$208=1),$U$317,HLOOKUP(INDIRECT(ADDRESS(2,COLUMN())),OFFSET($BN$2,0,0,ROW()-1,60),ROW()-1,FALSE))</f>
        <v/>
      </c>
      <c r="V113">
        <f ca="1">IF(AND(ISNUMBER($V$317),$B$208=1),$V$317,HLOOKUP(INDIRECT(ADDRESS(2,COLUMN())),OFFSET($BN$2,0,0,ROW()-1,60),ROW()-1,FALSE))</f>
        <v>417970</v>
      </c>
      <c r="W113" t="str">
        <f ca="1">IF(AND(ISNUMBER($W$317),$B$208=1),$W$317,HLOOKUP(INDIRECT(ADDRESS(2,COLUMN())),OFFSET($BN$2,0,0,ROW()-1,60),ROW()-1,FALSE))</f>
        <v/>
      </c>
      <c r="X113">
        <f ca="1">IF(AND(ISNUMBER($X$317),$B$208=1),$X$317,HLOOKUP(INDIRECT(ADDRESS(2,COLUMN())),OFFSET($BN$2,0,0,ROW()-1,60),ROW()-1,FALSE))</f>
        <v>405101</v>
      </c>
      <c r="Y113" t="str">
        <f ca="1">IF(AND(ISNUMBER($Y$317),$B$208=1),$Y$317,HLOOKUP(INDIRECT(ADDRESS(2,COLUMN())),OFFSET($BN$2,0,0,ROW()-1,60),ROW()-1,FALSE))</f>
        <v/>
      </c>
      <c r="Z113">
        <f ca="1">IF(AND(ISNUMBER($Z$317),$B$208=1),$Z$317,HLOOKUP(INDIRECT(ADDRESS(2,COLUMN())),OFFSET($BN$2,0,0,ROW()-1,60),ROW()-1,FALSE))</f>
        <v>407348</v>
      </c>
      <c r="AA113" t="str">
        <f ca="1">IF(AND(ISNUMBER($AA$317),$B$208=1),$AA$317,HLOOKUP(INDIRECT(ADDRESS(2,COLUMN())),OFFSET($BN$2,0,0,ROW()-1,60),ROW()-1,FALSE))</f>
        <v/>
      </c>
      <c r="AB113">
        <f ca="1">IF(AND(ISNUMBER($AB$317),$B$208=1),$AB$317,HLOOKUP(INDIRECT(ADDRESS(2,COLUMN())),OFFSET($BN$2,0,0,ROW()-1,60),ROW()-1,FALSE))</f>
        <v>376484</v>
      </c>
      <c r="AC113" t="str">
        <f ca="1">IF(AND(ISNUMBER($AC$317),$B$208=1),$AC$317,HLOOKUP(INDIRECT(ADDRESS(2,COLUMN())),OFFSET($BN$2,0,0,ROW()-1,60),ROW()-1,FALSE))</f>
        <v/>
      </c>
      <c r="AD113">
        <f ca="1">IF(AND(ISNUMBER($AD$317),$B$208=1),$AD$317,HLOOKUP(INDIRECT(ADDRESS(2,COLUMN())),OFFSET($BN$2,0,0,ROW()-1,60),ROW()-1,FALSE))</f>
        <v>375982</v>
      </c>
      <c r="AE113" t="str">
        <f ca="1">IF(AND(ISNUMBER($AE$317),$B$208=1),$AE$317,HLOOKUP(INDIRECT(ADDRESS(2,COLUMN())),OFFSET($BN$2,0,0,ROW()-1,60),ROW()-1,FALSE))</f>
        <v/>
      </c>
      <c r="AF113">
        <f ca="1">IF(AND(ISNUMBER($AF$317),$B$208=1),$AF$317,HLOOKUP(INDIRECT(ADDRESS(2,COLUMN())),OFFSET($BN$2,0,0,ROW()-1,60),ROW()-1,FALSE))</f>
        <v>363413</v>
      </c>
      <c r="AG113" t="str">
        <f ca="1">IF(AND(ISNUMBER($AG$317),$B$208=1),$AG$317,HLOOKUP(INDIRECT(ADDRESS(2,COLUMN())),OFFSET($BN$2,0,0,ROW()-1,60),ROW()-1,FALSE))</f>
        <v/>
      </c>
      <c r="AH113">
        <f ca="1">IF(AND(ISNUMBER($AH$317),$B$208=1),$AH$317,HLOOKUP(INDIRECT(ADDRESS(2,COLUMN())),OFFSET($BN$2,0,0,ROW()-1,60),ROW()-1,FALSE))</f>
        <v>364096</v>
      </c>
      <c r="AI113" t="str">
        <f ca="1">IF(AND(ISNUMBER($AI$317),$B$208=1),$AI$317,HLOOKUP(INDIRECT(ADDRESS(2,COLUMN())),OFFSET($BN$2,0,0,ROW()-1,60),ROW()-1,FALSE))</f>
        <v/>
      </c>
      <c r="AJ113">
        <f ca="1">IF(AND(ISNUMBER($AJ$317),$B$208=1),$AJ$317,HLOOKUP(INDIRECT(ADDRESS(2,COLUMN())),OFFSET($BN$2,0,0,ROW()-1,60),ROW()-1,FALSE))</f>
        <v>354236</v>
      </c>
      <c r="AK113" t="str">
        <f ca="1">IF(AND(ISNUMBER($AK$317),$B$208=1),$AK$317,HLOOKUP(INDIRECT(ADDRESS(2,COLUMN())),OFFSET($BN$2,0,0,ROW()-1,60),ROW()-1,FALSE))</f>
        <v/>
      </c>
      <c r="AL113" t="str">
        <f ca="1">IF(AND(ISNUMBER($AL$317),$B$208=1),$AL$317,HLOOKUP(INDIRECT(ADDRESS(2,COLUMN())),OFFSET($BN$2,0,0,ROW()-1,60),ROW()-1,FALSE))</f>
        <v/>
      </c>
      <c r="AM113" t="str">
        <f ca="1">IF(AND(ISNUMBER($AM$317),$B$208=1),$AM$317,HLOOKUP(INDIRECT(ADDRESS(2,COLUMN())),OFFSET($BN$2,0,0,ROW()-1,60),ROW()-1,FALSE))</f>
        <v/>
      </c>
      <c r="AN113" t="str">
        <f ca="1">IF(AND(ISNUMBER($AN$317),$B$208=1),$AN$317,HLOOKUP(INDIRECT(ADDRESS(2,COLUMN())),OFFSET($BN$2,0,0,ROW()-1,60),ROW()-1,FALSE))</f>
        <v/>
      </c>
      <c r="AO113" t="str">
        <f ca="1">IF(AND(ISNUMBER($AO$317),$B$208=1),$AO$317,HLOOKUP(INDIRECT(ADDRESS(2,COLUMN())),OFFSET($BN$2,0,0,ROW()-1,60),ROW()-1,FALSE))</f>
        <v/>
      </c>
      <c r="AP113" t="str">
        <f ca="1">IF(AND(ISNUMBER($AP$317),$B$208=1),$AP$317,HLOOKUP(INDIRECT(ADDRESS(2,COLUMN())),OFFSET($BN$2,0,0,ROW()-1,60),ROW()-1,FALSE))</f>
        <v/>
      </c>
      <c r="AQ113" t="str">
        <f ca="1">IF(AND(ISNUMBER($AQ$317),$B$208=1),$AQ$317,HLOOKUP(INDIRECT(ADDRESS(2,COLUMN())),OFFSET($BN$2,0,0,ROW()-1,60),ROW()-1,FALSE))</f>
        <v/>
      </c>
      <c r="AR113" t="str">
        <f ca="1">IF(AND(ISNUMBER($AR$317),$B$208=1),$AR$317,HLOOKUP(INDIRECT(ADDRESS(2,COLUMN())),OFFSET($BN$2,0,0,ROW()-1,60),ROW()-1,FALSE))</f>
        <v/>
      </c>
      <c r="AS113" t="str">
        <f ca="1">IF(AND(ISNUMBER($AS$317),$B$208=1),$AS$317,HLOOKUP(INDIRECT(ADDRESS(2,COLUMN())),OFFSET($BN$2,0,0,ROW()-1,60),ROW()-1,FALSE))</f>
        <v/>
      </c>
      <c r="AT113" t="str">
        <f ca="1">IF(AND(ISNUMBER($AT$317),$B$208=1),$AT$317,HLOOKUP(INDIRECT(ADDRESS(2,COLUMN())),OFFSET($BN$2,0,0,ROW()-1,60),ROW()-1,FALSE))</f>
        <v/>
      </c>
      <c r="AU113" t="str">
        <f ca="1">IF(AND(ISNUMBER($AU$317),$B$208=1),$AU$317,HLOOKUP(INDIRECT(ADDRESS(2,COLUMN())),OFFSET($BN$2,0,0,ROW()-1,60),ROW()-1,FALSE))</f>
        <v/>
      </c>
      <c r="AV113" t="str">
        <f ca="1">IF(AND(ISNUMBER($AV$317),$B$208=1),$AV$317,HLOOKUP(INDIRECT(ADDRESS(2,COLUMN())),OFFSET($BN$2,0,0,ROW()-1,60),ROW()-1,FALSE))</f>
        <v/>
      </c>
      <c r="AW113" t="str">
        <f ca="1">IF(AND(ISNUMBER($AW$317),$B$208=1),$AW$317,HLOOKUP(INDIRECT(ADDRESS(2,COLUMN())),OFFSET($BN$2,0,0,ROW()-1,60),ROW()-1,FALSE))</f>
        <v/>
      </c>
      <c r="AX113" t="str">
        <f ca="1">IF(AND(ISNUMBER($AX$317),$B$208=1),$AX$317,HLOOKUP(INDIRECT(ADDRESS(2,COLUMN())),OFFSET($BN$2,0,0,ROW()-1,60),ROW()-1,FALSE))</f>
        <v/>
      </c>
      <c r="AY113" t="str">
        <f ca="1">IF(AND(ISNUMBER($AY$317),$B$208=1),$AY$317,HLOOKUP(INDIRECT(ADDRESS(2,COLUMN())),OFFSET($BN$2,0,0,ROW()-1,60),ROW()-1,FALSE))</f>
        <v/>
      </c>
      <c r="AZ113" t="str">
        <f ca="1">IF(AND(ISNUMBER($AZ$317),$B$208=1),$AZ$317,HLOOKUP(INDIRECT(ADDRESS(2,COLUMN())),OFFSET($BN$2,0,0,ROW()-1,60),ROW()-1,FALSE))</f>
        <v/>
      </c>
      <c r="BA113" t="str">
        <f ca="1">IF(AND(ISNUMBER($BA$317),$B$208=1),$BA$317,HLOOKUP(INDIRECT(ADDRESS(2,COLUMN())),OFFSET($BN$2,0,0,ROW()-1,60),ROW()-1,FALSE))</f>
        <v/>
      </c>
      <c r="BB113" t="str">
        <f ca="1">IF(AND(ISNUMBER($BB$317),$B$208=1),$BB$317,HLOOKUP(INDIRECT(ADDRESS(2,COLUMN())),OFFSET($BN$2,0,0,ROW()-1,60),ROW()-1,FALSE))</f>
        <v/>
      </c>
      <c r="BC113" t="str">
        <f ca="1">IF(AND(ISNUMBER($BC$317),$B$208=1),$BC$317,HLOOKUP(INDIRECT(ADDRESS(2,COLUMN())),OFFSET($BN$2,0,0,ROW()-1,60),ROW()-1,FALSE))</f>
        <v/>
      </c>
      <c r="BD113" t="str">
        <f ca="1">IF(AND(ISNUMBER($BD$317),$B$208=1),$BD$317,HLOOKUP(INDIRECT(ADDRESS(2,COLUMN())),OFFSET($BN$2,0,0,ROW()-1,60),ROW()-1,FALSE))</f>
        <v/>
      </c>
      <c r="BE113" t="str">
        <f ca="1">IF(AND(ISNUMBER($BE$317),$B$208=1),$BE$317,HLOOKUP(INDIRECT(ADDRESS(2,COLUMN())),OFFSET($BN$2,0,0,ROW()-1,60),ROW()-1,FALSE))</f>
        <v/>
      </c>
      <c r="BF113" t="str">
        <f ca="1">IF(AND(ISNUMBER($BF$317),$B$208=1),$BF$317,HLOOKUP(INDIRECT(ADDRESS(2,COLUMN())),OFFSET($BN$2,0,0,ROW()-1,60),ROW()-1,FALSE))</f>
        <v/>
      </c>
      <c r="BG113" t="str">
        <f ca="1">IF(AND(ISNUMBER($BG$317),$B$208=1),$BG$317,HLOOKUP(INDIRECT(ADDRESS(2,COLUMN())),OFFSET($BN$2,0,0,ROW()-1,60),ROW()-1,FALSE))</f>
        <v/>
      </c>
      <c r="BH113" t="str">
        <f ca="1">IF(AND(ISNUMBER($BH$317),$B$208=1),$BH$317,HLOOKUP(INDIRECT(ADDRESS(2,COLUMN())),OFFSET($BN$2,0,0,ROW()-1,60),ROW()-1,FALSE))</f>
        <v/>
      </c>
      <c r="BI113" t="str">
        <f ca="1">IF(AND(ISNUMBER($BI$317),$B$208=1),$BI$317,HLOOKUP(INDIRECT(ADDRESS(2,COLUMN())),OFFSET($BN$2,0,0,ROW()-1,60),ROW()-1,FALSE))</f>
        <v/>
      </c>
      <c r="BJ113" t="str">
        <f ca="1">IF(AND(ISNUMBER($BJ$317),$B$208=1),$BJ$317,HLOOKUP(INDIRECT(ADDRESS(2,COLUMN())),OFFSET($BN$2,0,0,ROW()-1,60),ROW()-1,FALSE))</f>
        <v/>
      </c>
      <c r="BK113" t="str">
        <f ca="1">IF(AND(ISNUMBER($BK$317),$B$208=1),$BK$317,HLOOKUP(INDIRECT(ADDRESS(2,COLUMN())),OFFSET($BN$2,0,0,ROW()-1,60),ROW()-1,FALSE))</f>
        <v/>
      </c>
      <c r="BL113" t="str">
        <f ca="1">IF(AND(ISNUMBER($BL$317),$B$208=1),$BL$317,HLOOKUP(INDIRECT(ADDRESS(2,COLUMN())),OFFSET($BN$2,0,0,ROW()-1,60),ROW()-1,FALSE))</f>
        <v/>
      </c>
      <c r="BM113" t="str">
        <f ca="1">IF(AND(ISNUMBER($BM$317),$B$208=1),$BM$317,HLOOKUP(INDIRECT(ADDRESS(2,COLUMN())),OFFSET($BN$2,0,0,ROW()-1,60),ROW()-1,FALSE))</f>
        <v/>
      </c>
      <c r="BN113">
        <f>20383</f>
        <v>20383</v>
      </c>
      <c r="BO113" t="str">
        <f>""</f>
        <v/>
      </c>
      <c r="BP113">
        <f>20109</f>
        <v>20109</v>
      </c>
      <c r="BQ113" t="str">
        <f>""</f>
        <v/>
      </c>
      <c r="BR113">
        <f>21629</f>
        <v>21629</v>
      </c>
      <c r="BS113" t="str">
        <f>""</f>
        <v/>
      </c>
      <c r="BT113">
        <f>23366</f>
        <v>23366</v>
      </c>
      <c r="BU113" t="str">
        <f>""</f>
        <v/>
      </c>
      <c r="BV113">
        <f>29244</f>
        <v>29244</v>
      </c>
      <c r="BW113" t="str">
        <f>""</f>
        <v/>
      </c>
      <c r="BX113">
        <f>32242</f>
        <v>32242</v>
      </c>
      <c r="BY113" t="str">
        <f>""</f>
        <v/>
      </c>
      <c r="BZ113">
        <f>465178</f>
        <v>465178</v>
      </c>
      <c r="CA113" t="str">
        <f>""</f>
        <v/>
      </c>
      <c r="CB113">
        <f>20937</f>
        <v>20937</v>
      </c>
      <c r="CC113" t="str">
        <f>""</f>
        <v/>
      </c>
      <c r="CD113">
        <f>417970</f>
        <v>417970</v>
      </c>
      <c r="CE113" t="str">
        <f>""</f>
        <v/>
      </c>
      <c r="CF113">
        <f>405101</f>
        <v>405101</v>
      </c>
      <c r="CG113" t="str">
        <f>""</f>
        <v/>
      </c>
      <c r="CH113">
        <f>407348</f>
        <v>407348</v>
      </c>
      <c r="CI113" t="str">
        <f>""</f>
        <v/>
      </c>
      <c r="CJ113">
        <f>376484</f>
        <v>376484</v>
      </c>
      <c r="CK113" t="str">
        <f>""</f>
        <v/>
      </c>
      <c r="CL113">
        <f>375982</f>
        <v>375982</v>
      </c>
      <c r="CM113" t="str">
        <f>""</f>
        <v/>
      </c>
      <c r="CN113">
        <f>363413</f>
        <v>363413</v>
      </c>
      <c r="CO113" t="str">
        <f>""</f>
        <v/>
      </c>
      <c r="CP113">
        <f>364096</f>
        <v>364096</v>
      </c>
      <c r="CQ113" t="str">
        <f>""</f>
        <v/>
      </c>
      <c r="CR113">
        <f>354236</f>
        <v>354236</v>
      </c>
      <c r="CS113" t="str">
        <f>""</f>
        <v/>
      </c>
      <c r="CT113" t="str">
        <f>""</f>
        <v/>
      </c>
      <c r="CU113" t="str">
        <f>""</f>
        <v/>
      </c>
      <c r="CV113" t="str">
        <f>""</f>
        <v/>
      </c>
      <c r="CW113" t="str">
        <f>""</f>
        <v/>
      </c>
      <c r="CX113" t="str">
        <f>""</f>
        <v/>
      </c>
      <c r="CY113" t="str">
        <f>""</f>
        <v/>
      </c>
      <c r="CZ113" t="str">
        <f>""</f>
        <v/>
      </c>
      <c r="DA113" t="str">
        <f>""</f>
        <v/>
      </c>
      <c r="DB113" t="str">
        <f>""</f>
        <v/>
      </c>
      <c r="DC113" t="str">
        <f>""</f>
        <v/>
      </c>
      <c r="DD113" t="str">
        <f>""</f>
        <v/>
      </c>
      <c r="DE113" t="str">
        <f>""</f>
        <v/>
      </c>
      <c r="DF113" t="str">
        <f>""</f>
        <v/>
      </c>
      <c r="DG113" t="str">
        <f>""</f>
        <v/>
      </c>
      <c r="DH113" t="str">
        <f>""</f>
        <v/>
      </c>
      <c r="DI113" t="str">
        <f>""</f>
        <v/>
      </c>
      <c r="DJ113" t="str">
        <f>""</f>
        <v/>
      </c>
      <c r="DK113" t="str">
        <f>""</f>
        <v/>
      </c>
      <c r="DL113" t="str">
        <f>""</f>
        <v/>
      </c>
      <c r="DM113" t="str">
        <f>""</f>
        <v/>
      </c>
      <c r="DN113" t="str">
        <f>""</f>
        <v/>
      </c>
      <c r="DO113" t="str">
        <f>""</f>
        <v/>
      </c>
      <c r="DP113" t="str">
        <f>""</f>
        <v/>
      </c>
      <c r="DQ113" t="str">
        <f>""</f>
        <v/>
      </c>
      <c r="DR113" t="str">
        <f>""</f>
        <v/>
      </c>
      <c r="DS113" t="str">
        <f>""</f>
        <v/>
      </c>
      <c r="DT113" t="str">
        <f>""</f>
        <v/>
      </c>
      <c r="DU113" t="str">
        <f>""</f>
        <v/>
      </c>
    </row>
    <row r="114" spans="1:125" x14ac:dyDescent="0.25">
      <c r="A114" t="str">
        <f>"    Standard Chartered PLC"</f>
        <v xml:space="preserve">    Standard Chartered PLC</v>
      </c>
      <c r="B114" t="str">
        <f>"STAN LN Equity"</f>
        <v>STAN LN Equity</v>
      </c>
      <c r="C114" t="str">
        <f t="shared" si="6"/>
        <v>BS017</v>
      </c>
      <c r="D114" t="str">
        <f t="shared" si="7"/>
        <v>BS_CONS_LOAN</v>
      </c>
      <c r="E114" t="str">
        <f t="shared" si="8"/>
        <v>Dynamic</v>
      </c>
      <c r="F114">
        <f ca="1">IF(AND(ISNUMBER($F$318),$B$208=1),$F$318,HLOOKUP(INDIRECT(ADDRESS(2,COLUMN())),OFFSET($BN$2,0,0,ROW()-1,60),ROW()-1,FALSE))</f>
        <v>106678.9062</v>
      </c>
      <c r="G114" t="str">
        <f ca="1">IF(AND(ISNUMBER($G$318),$B$208=1),$G$318,HLOOKUP(INDIRECT(ADDRESS(2,COLUMN())),OFFSET($BN$2,0,0,ROW()-1,60),ROW()-1,FALSE))</f>
        <v/>
      </c>
      <c r="H114">
        <f ca="1">IF(AND(ISNUMBER($H$318),$B$208=1),$H$318,HLOOKUP(INDIRECT(ADDRESS(2,COLUMN())),OFFSET($BN$2,0,0,ROW()-1,60),ROW()-1,FALSE))</f>
        <v>103129.8992</v>
      </c>
      <c r="I114" t="str">
        <f ca="1">IF(AND(ISNUMBER($I$318),$B$208=1),$I$318,HLOOKUP(INDIRECT(ADDRESS(2,COLUMN())),OFFSET($BN$2,0,0,ROW()-1,60),ROW()-1,FALSE))</f>
        <v/>
      </c>
      <c r="J114">
        <f ca="1">IF(AND(ISNUMBER($J$318),$B$208=1),$J$318,HLOOKUP(INDIRECT(ADDRESS(2,COLUMN())),OFFSET($BN$2,0,0,ROW()-1,60),ROW()-1,FALSE))</f>
        <v>103154.37450000001</v>
      </c>
      <c r="K114" t="str">
        <f ca="1">IF(AND(ISNUMBER($K$318),$B$208=1),$K$318,HLOOKUP(INDIRECT(ADDRESS(2,COLUMN())),OFFSET($BN$2,0,0,ROW()-1,60),ROW()-1,FALSE))</f>
        <v/>
      </c>
      <c r="L114">
        <f ca="1">IF(AND(ISNUMBER($L$318),$B$208=1),$L$318,HLOOKUP(INDIRECT(ADDRESS(2,COLUMN())),OFFSET($BN$2,0,0,ROW()-1,60),ROW()-1,FALSE))</f>
        <v>107753.2515</v>
      </c>
      <c r="M114" t="str">
        <f ca="1">IF(AND(ISNUMBER($M$318),$B$208=1),$M$318,HLOOKUP(INDIRECT(ADDRESS(2,COLUMN())),OFFSET($BN$2,0,0,ROW()-1,60),ROW()-1,FALSE))</f>
        <v/>
      </c>
      <c r="N114">
        <f ca="1">IF(AND(ISNUMBER($N$318),$B$208=1),$N$318,HLOOKUP(INDIRECT(ADDRESS(2,COLUMN())),OFFSET($BN$2,0,0,ROW()-1,60),ROW()-1,FALSE))</f>
        <v>112247.2225</v>
      </c>
      <c r="O114" t="str">
        <f ca="1">IF(AND(ISNUMBER($O$318),$B$208=1),$O$318,HLOOKUP(INDIRECT(ADDRESS(2,COLUMN())),OFFSET($BN$2,0,0,ROW()-1,60),ROW()-1,FALSE))</f>
        <v/>
      </c>
      <c r="P114">
        <f ca="1">IF(AND(ISNUMBER($P$318),$B$208=1),$P$318,HLOOKUP(INDIRECT(ADDRESS(2,COLUMN())),OFFSET($BN$2,0,0,ROW()-1,60),ROW()-1,FALSE))</f>
        <v>117179.2426</v>
      </c>
      <c r="Q114" t="str">
        <f ca="1">IF(AND(ISNUMBER($Q$318),$B$208=1),$Q$318,HLOOKUP(INDIRECT(ADDRESS(2,COLUMN())),OFFSET($BN$2,0,0,ROW()-1,60),ROW()-1,FALSE))</f>
        <v/>
      </c>
      <c r="R114">
        <f ca="1">IF(AND(ISNUMBER($R$318),$B$208=1),$R$318,HLOOKUP(INDIRECT(ADDRESS(2,COLUMN())),OFFSET($BN$2,0,0,ROW()-1,60),ROW()-1,FALSE))</f>
        <v>109364.1314</v>
      </c>
      <c r="S114" t="str">
        <f ca="1">IF(AND(ISNUMBER($S$318),$B$208=1),$S$318,HLOOKUP(INDIRECT(ADDRESS(2,COLUMN())),OFFSET($BN$2,0,0,ROW()-1,60),ROW()-1,FALSE))</f>
        <v/>
      </c>
      <c r="T114">
        <f ca="1">IF(AND(ISNUMBER($T$318),$B$208=1),$T$318,HLOOKUP(INDIRECT(ADDRESS(2,COLUMN())),OFFSET($BN$2,0,0,ROW()-1,60),ROW()-1,FALSE))</f>
        <v>103640.81359999999</v>
      </c>
      <c r="U114" t="str">
        <f ca="1">IF(AND(ISNUMBER($U$318),$B$208=1),$U$318,HLOOKUP(INDIRECT(ADDRESS(2,COLUMN())),OFFSET($BN$2,0,0,ROW()-1,60),ROW()-1,FALSE))</f>
        <v/>
      </c>
      <c r="V114">
        <f ca="1">IF(AND(ISNUMBER($V$318),$B$208=1),$V$318,HLOOKUP(INDIRECT(ADDRESS(2,COLUMN())),OFFSET($BN$2,0,0,ROW()-1,60),ROW()-1,FALSE))</f>
        <v>97129.652350000004</v>
      </c>
      <c r="W114" t="str">
        <f ca="1">IF(AND(ISNUMBER($W$318),$B$208=1),$W$318,HLOOKUP(INDIRECT(ADDRESS(2,COLUMN())),OFFSET($BN$2,0,0,ROW()-1,60),ROW()-1,FALSE))</f>
        <v/>
      </c>
      <c r="X114">
        <f ca="1">IF(AND(ISNUMBER($X$318),$B$208=1),$X$318,HLOOKUP(INDIRECT(ADDRESS(2,COLUMN())),OFFSET($BN$2,0,0,ROW()-1,60),ROW()-1,FALSE))</f>
        <v>100690.2072</v>
      </c>
      <c r="Y114" t="str">
        <f ca="1">IF(AND(ISNUMBER($Y$318),$B$208=1),$Y$318,HLOOKUP(INDIRECT(ADDRESS(2,COLUMN())),OFFSET($BN$2,0,0,ROW()-1,60),ROW()-1,FALSE))</f>
        <v/>
      </c>
      <c r="Z114">
        <f ca="1">IF(AND(ISNUMBER($Z$318),$B$208=1),$Z$318,HLOOKUP(INDIRECT(ADDRESS(2,COLUMN())),OFFSET($BN$2,0,0,ROW()-1,60),ROW()-1,FALSE))</f>
        <v>101107.8458</v>
      </c>
      <c r="AA114" t="str">
        <f ca="1">IF(AND(ISNUMBER($AA$318),$B$208=1),$AA$318,HLOOKUP(INDIRECT(ADDRESS(2,COLUMN())),OFFSET($BN$2,0,0,ROW()-1,60),ROW()-1,FALSE))</f>
        <v/>
      </c>
      <c r="AB114">
        <f ca="1">IF(AND(ISNUMBER($AB$318),$B$208=1),$AB$318,HLOOKUP(INDIRECT(ADDRESS(2,COLUMN())),OFFSET($BN$2,0,0,ROW()-1,60),ROW()-1,FALSE))</f>
        <v>96504.974029999998</v>
      </c>
      <c r="AC114" t="str">
        <f ca="1">IF(AND(ISNUMBER($AC$318),$B$208=1),$AC$318,HLOOKUP(INDIRECT(ADDRESS(2,COLUMN())),OFFSET($BN$2,0,0,ROW()-1,60),ROW()-1,FALSE))</f>
        <v/>
      </c>
      <c r="AD114">
        <f ca="1">IF(AND(ISNUMBER($AD$318),$B$208=1),$AD$318,HLOOKUP(INDIRECT(ADDRESS(2,COLUMN())),OFFSET($BN$2,0,0,ROW()-1,60),ROW()-1,FALSE))</f>
        <v>96205.029689999996</v>
      </c>
      <c r="AE114" t="str">
        <f ca="1">IF(AND(ISNUMBER($AE$318),$B$208=1),$AE$318,HLOOKUP(INDIRECT(ADDRESS(2,COLUMN())),OFFSET($BN$2,0,0,ROW()-1,60),ROW()-1,FALSE))</f>
        <v/>
      </c>
      <c r="AF114">
        <f ca="1">IF(AND(ISNUMBER($AF$318),$B$208=1),$AF$318,HLOOKUP(INDIRECT(ADDRESS(2,COLUMN())),OFFSET($BN$2,0,0,ROW()-1,60),ROW()-1,FALSE))</f>
        <v>96738.88841</v>
      </c>
      <c r="AG114" t="str">
        <f ca="1">IF(AND(ISNUMBER($AG$318),$B$208=1),$AG$318,HLOOKUP(INDIRECT(ADDRESS(2,COLUMN())),OFFSET($BN$2,0,0,ROW()-1,60),ROW()-1,FALSE))</f>
        <v/>
      </c>
      <c r="AH114">
        <f ca="1">IF(AND(ISNUMBER($AH$318),$B$208=1),$AH$318,HLOOKUP(INDIRECT(ADDRESS(2,COLUMN())),OFFSET($BN$2,0,0,ROW()-1,60),ROW()-1,FALSE))</f>
        <v>92978.705709999995</v>
      </c>
      <c r="AI114" t="str">
        <f ca="1">IF(AND(ISNUMBER($AI$318),$B$208=1),$AI$318,HLOOKUP(INDIRECT(ADDRESS(2,COLUMN())),OFFSET($BN$2,0,0,ROW()-1,60),ROW()-1,FALSE))</f>
        <v/>
      </c>
      <c r="AJ114">
        <f ca="1">IF(AND(ISNUMBER($AJ$318),$B$208=1),$AJ$318,HLOOKUP(INDIRECT(ADDRESS(2,COLUMN())),OFFSET($BN$2,0,0,ROW()-1,60),ROW()-1,FALSE))</f>
        <v>95684.745469999994</v>
      </c>
      <c r="AK114" t="str">
        <f ca="1">IF(AND(ISNUMBER($AK$318),$B$208=1),$AK$318,HLOOKUP(INDIRECT(ADDRESS(2,COLUMN())),OFFSET($BN$2,0,0,ROW()-1,60),ROW()-1,FALSE))</f>
        <v/>
      </c>
      <c r="AL114">
        <f ca="1">IF(AND(ISNUMBER($AL$318),$B$208=1),$AL$318,HLOOKUP(INDIRECT(ADDRESS(2,COLUMN())),OFFSET($BN$2,0,0,ROW()-1,60),ROW()-1,FALSE))</f>
        <v>100397.2694</v>
      </c>
      <c r="AM114" t="str">
        <f ca="1">IF(AND(ISNUMBER($AM$318),$B$208=1),$AM$318,HLOOKUP(INDIRECT(ADDRESS(2,COLUMN())),OFFSET($BN$2,0,0,ROW()-1,60),ROW()-1,FALSE))</f>
        <v/>
      </c>
      <c r="AN114">
        <f ca="1">IF(AND(ISNUMBER($AN$318),$B$208=1),$AN$318,HLOOKUP(INDIRECT(ADDRESS(2,COLUMN())),OFFSET($BN$2,0,0,ROW()-1,60),ROW()-1,FALSE))</f>
        <v>100512.0564</v>
      </c>
      <c r="AO114" t="str">
        <f ca="1">IF(AND(ISNUMBER($AO$318),$B$208=1),$AO$318,HLOOKUP(INDIRECT(ADDRESS(2,COLUMN())),OFFSET($BN$2,0,0,ROW()-1,60),ROW()-1,FALSE))</f>
        <v/>
      </c>
      <c r="AP114" t="str">
        <f ca="1">IF(AND(ISNUMBER($AP$318),$B$208=1),$AP$318,HLOOKUP(INDIRECT(ADDRESS(2,COLUMN())),OFFSET($BN$2,0,0,ROW()-1,60),ROW()-1,FALSE))</f>
        <v/>
      </c>
      <c r="AQ114" t="str">
        <f ca="1">IF(AND(ISNUMBER($AQ$318),$B$208=1),$AQ$318,HLOOKUP(INDIRECT(ADDRESS(2,COLUMN())),OFFSET($BN$2,0,0,ROW()-1,60),ROW()-1,FALSE))</f>
        <v/>
      </c>
      <c r="AR114" t="str">
        <f ca="1">IF(AND(ISNUMBER($AR$318),$B$208=1),$AR$318,HLOOKUP(INDIRECT(ADDRESS(2,COLUMN())),OFFSET($BN$2,0,0,ROW()-1,60),ROW()-1,FALSE))</f>
        <v/>
      </c>
      <c r="AS114" t="str">
        <f ca="1">IF(AND(ISNUMBER($AS$318),$B$208=1),$AS$318,HLOOKUP(INDIRECT(ADDRESS(2,COLUMN())),OFFSET($BN$2,0,0,ROW()-1,60),ROW()-1,FALSE))</f>
        <v/>
      </c>
      <c r="AT114" t="str">
        <f ca="1">IF(AND(ISNUMBER($AT$318),$B$208=1),$AT$318,HLOOKUP(INDIRECT(ADDRESS(2,COLUMN())),OFFSET($BN$2,0,0,ROW()-1,60),ROW()-1,FALSE))</f>
        <v/>
      </c>
      <c r="AU114" t="str">
        <f ca="1">IF(AND(ISNUMBER($AU$318),$B$208=1),$AU$318,HLOOKUP(INDIRECT(ADDRESS(2,COLUMN())),OFFSET($BN$2,0,0,ROW()-1,60),ROW()-1,FALSE))</f>
        <v/>
      </c>
      <c r="AV114" t="str">
        <f ca="1">IF(AND(ISNUMBER($AV$318),$B$208=1),$AV$318,HLOOKUP(INDIRECT(ADDRESS(2,COLUMN())),OFFSET($BN$2,0,0,ROW()-1,60),ROW()-1,FALSE))</f>
        <v/>
      </c>
      <c r="AW114" t="str">
        <f ca="1">IF(AND(ISNUMBER($AW$318),$B$208=1),$AW$318,HLOOKUP(INDIRECT(ADDRESS(2,COLUMN())),OFFSET($BN$2,0,0,ROW()-1,60),ROW()-1,FALSE))</f>
        <v/>
      </c>
      <c r="AX114" t="str">
        <f ca="1">IF(AND(ISNUMBER($AX$318),$B$208=1),$AX$318,HLOOKUP(INDIRECT(ADDRESS(2,COLUMN())),OFFSET($BN$2,0,0,ROW()-1,60),ROW()-1,FALSE))</f>
        <v/>
      </c>
      <c r="AY114" t="str">
        <f ca="1">IF(AND(ISNUMBER($AY$318),$B$208=1),$AY$318,HLOOKUP(INDIRECT(ADDRESS(2,COLUMN())),OFFSET($BN$2,0,0,ROW()-1,60),ROW()-1,FALSE))</f>
        <v/>
      </c>
      <c r="AZ114" t="str">
        <f ca="1">IF(AND(ISNUMBER($AZ$318),$B$208=1),$AZ$318,HLOOKUP(INDIRECT(ADDRESS(2,COLUMN())),OFFSET($BN$2,0,0,ROW()-1,60),ROW()-1,FALSE))</f>
        <v/>
      </c>
      <c r="BA114" t="str">
        <f ca="1">IF(AND(ISNUMBER($BA$318),$B$208=1),$BA$318,HLOOKUP(INDIRECT(ADDRESS(2,COLUMN())),OFFSET($BN$2,0,0,ROW()-1,60),ROW()-1,FALSE))</f>
        <v/>
      </c>
      <c r="BB114" t="str">
        <f ca="1">IF(AND(ISNUMBER($BB$318),$B$208=1),$BB$318,HLOOKUP(INDIRECT(ADDRESS(2,COLUMN())),OFFSET($BN$2,0,0,ROW()-1,60),ROW()-1,FALSE))</f>
        <v/>
      </c>
      <c r="BC114" t="str">
        <f ca="1">IF(AND(ISNUMBER($BC$318),$B$208=1),$BC$318,HLOOKUP(INDIRECT(ADDRESS(2,COLUMN())),OFFSET($BN$2,0,0,ROW()-1,60),ROW()-1,FALSE))</f>
        <v/>
      </c>
      <c r="BD114" t="str">
        <f ca="1">IF(AND(ISNUMBER($BD$318),$B$208=1),$BD$318,HLOOKUP(INDIRECT(ADDRESS(2,COLUMN())),OFFSET($BN$2,0,0,ROW()-1,60),ROW()-1,FALSE))</f>
        <v/>
      </c>
      <c r="BE114" t="str">
        <f ca="1">IF(AND(ISNUMBER($BE$318),$B$208=1),$BE$318,HLOOKUP(INDIRECT(ADDRESS(2,COLUMN())),OFFSET($BN$2,0,0,ROW()-1,60),ROW()-1,FALSE))</f>
        <v/>
      </c>
      <c r="BF114" t="str">
        <f ca="1">IF(AND(ISNUMBER($BF$318),$B$208=1),$BF$318,HLOOKUP(INDIRECT(ADDRESS(2,COLUMN())),OFFSET($BN$2,0,0,ROW()-1,60),ROW()-1,FALSE))</f>
        <v/>
      </c>
      <c r="BG114" t="str">
        <f ca="1">IF(AND(ISNUMBER($BG$318),$B$208=1),$BG$318,HLOOKUP(INDIRECT(ADDRESS(2,COLUMN())),OFFSET($BN$2,0,0,ROW()-1,60),ROW()-1,FALSE))</f>
        <v/>
      </c>
      <c r="BH114" t="str">
        <f ca="1">IF(AND(ISNUMBER($BH$318),$B$208=1),$BH$318,HLOOKUP(INDIRECT(ADDRESS(2,COLUMN())),OFFSET($BN$2,0,0,ROW()-1,60),ROW()-1,FALSE))</f>
        <v/>
      </c>
      <c r="BI114" t="str">
        <f ca="1">IF(AND(ISNUMBER($BI$318),$B$208=1),$BI$318,HLOOKUP(INDIRECT(ADDRESS(2,COLUMN())),OFFSET($BN$2,0,0,ROW()-1,60),ROW()-1,FALSE))</f>
        <v/>
      </c>
      <c r="BJ114" t="str">
        <f ca="1">IF(AND(ISNUMBER($BJ$318),$B$208=1),$BJ$318,HLOOKUP(INDIRECT(ADDRESS(2,COLUMN())),OFFSET($BN$2,0,0,ROW()-1,60),ROW()-1,FALSE))</f>
        <v/>
      </c>
      <c r="BK114" t="str">
        <f ca="1">IF(AND(ISNUMBER($BK$318),$B$208=1),$BK$318,HLOOKUP(INDIRECT(ADDRESS(2,COLUMN())),OFFSET($BN$2,0,0,ROW()-1,60),ROW()-1,FALSE))</f>
        <v/>
      </c>
      <c r="BL114" t="str">
        <f ca="1">IF(AND(ISNUMBER($BL$318),$B$208=1),$BL$318,HLOOKUP(INDIRECT(ADDRESS(2,COLUMN())),OFFSET($BN$2,0,0,ROW()-1,60),ROW()-1,FALSE))</f>
        <v/>
      </c>
      <c r="BM114" t="str">
        <f ca="1">IF(AND(ISNUMBER($BM$318),$B$208=1),$BM$318,HLOOKUP(INDIRECT(ADDRESS(2,COLUMN())),OFFSET($BN$2,0,0,ROW()-1,60),ROW()-1,FALSE))</f>
        <v/>
      </c>
      <c r="BN114">
        <f>106678.9062</f>
        <v>106678.9062</v>
      </c>
      <c r="BO114" t="str">
        <f>""</f>
        <v/>
      </c>
      <c r="BP114">
        <f>103129.8992</f>
        <v>103129.8992</v>
      </c>
      <c r="BQ114" t="str">
        <f>""</f>
        <v/>
      </c>
      <c r="BR114">
        <f>103154.3745</f>
        <v>103154.37450000001</v>
      </c>
      <c r="BS114" t="str">
        <f>""</f>
        <v/>
      </c>
      <c r="BT114">
        <f>107753.2515</f>
        <v>107753.2515</v>
      </c>
      <c r="BU114" t="str">
        <f>""</f>
        <v/>
      </c>
      <c r="BV114">
        <f>112247.2225</f>
        <v>112247.2225</v>
      </c>
      <c r="BW114" t="str">
        <f>""</f>
        <v/>
      </c>
      <c r="BX114">
        <f>117179.2426</f>
        <v>117179.2426</v>
      </c>
      <c r="BY114" t="str">
        <f>""</f>
        <v/>
      </c>
      <c r="BZ114">
        <f>109364.1314</f>
        <v>109364.1314</v>
      </c>
      <c r="CA114" t="str">
        <f>""</f>
        <v/>
      </c>
      <c r="CB114">
        <f>103640.8136</f>
        <v>103640.81359999999</v>
      </c>
      <c r="CC114" t="str">
        <f>""</f>
        <v/>
      </c>
      <c r="CD114">
        <f>97129.65235</f>
        <v>97129.652350000004</v>
      </c>
      <c r="CE114" t="str">
        <f>""</f>
        <v/>
      </c>
      <c r="CF114">
        <f>100690.2072</f>
        <v>100690.2072</v>
      </c>
      <c r="CG114" t="str">
        <f>""</f>
        <v/>
      </c>
      <c r="CH114">
        <f>101107.8458</f>
        <v>101107.8458</v>
      </c>
      <c r="CI114" t="str">
        <f>""</f>
        <v/>
      </c>
      <c r="CJ114">
        <f>96504.97403</f>
        <v>96504.974029999998</v>
      </c>
      <c r="CK114" t="str">
        <f>""</f>
        <v/>
      </c>
      <c r="CL114">
        <f>96205.02969</f>
        <v>96205.029689999996</v>
      </c>
      <c r="CM114" t="str">
        <f>""</f>
        <v/>
      </c>
      <c r="CN114">
        <f>96738.88841</f>
        <v>96738.88841</v>
      </c>
      <c r="CO114" t="str">
        <f>""</f>
        <v/>
      </c>
      <c r="CP114">
        <f>92978.70571</f>
        <v>92978.705709999995</v>
      </c>
      <c r="CQ114" t="str">
        <f>""</f>
        <v/>
      </c>
      <c r="CR114">
        <f>95684.74547</f>
        <v>95684.745469999994</v>
      </c>
      <c r="CS114" t="str">
        <f>""</f>
        <v/>
      </c>
      <c r="CT114">
        <f>100397.2694</f>
        <v>100397.2694</v>
      </c>
      <c r="CU114" t="str">
        <f>""</f>
        <v/>
      </c>
      <c r="CV114">
        <f>100512.0564</f>
        <v>100512.0564</v>
      </c>
      <c r="CW114" t="str">
        <f>""</f>
        <v/>
      </c>
      <c r="CX114" t="str">
        <f>""</f>
        <v/>
      </c>
      <c r="CY114" t="str">
        <f>""</f>
        <v/>
      </c>
      <c r="CZ114" t="str">
        <f>""</f>
        <v/>
      </c>
      <c r="DA114" t="str">
        <f>""</f>
        <v/>
      </c>
      <c r="DB114" t="str">
        <f>""</f>
        <v/>
      </c>
      <c r="DC114" t="str">
        <f>""</f>
        <v/>
      </c>
      <c r="DD114" t="str">
        <f>""</f>
        <v/>
      </c>
      <c r="DE114" t="str">
        <f>""</f>
        <v/>
      </c>
      <c r="DF114" t="str">
        <f>""</f>
        <v/>
      </c>
      <c r="DG114" t="str">
        <f>""</f>
        <v/>
      </c>
      <c r="DH114" t="str">
        <f>""</f>
        <v/>
      </c>
      <c r="DI114" t="str">
        <f>""</f>
        <v/>
      </c>
      <c r="DJ114" t="str">
        <f>""</f>
        <v/>
      </c>
      <c r="DK114" t="str">
        <f>""</f>
        <v/>
      </c>
      <c r="DL114" t="str">
        <f>""</f>
        <v/>
      </c>
      <c r="DM114" t="str">
        <f>""</f>
        <v/>
      </c>
      <c r="DN114" t="str">
        <f>""</f>
        <v/>
      </c>
      <c r="DO114" t="str">
        <f>""</f>
        <v/>
      </c>
      <c r="DP114" t="str">
        <f>""</f>
        <v/>
      </c>
      <c r="DQ114" t="str">
        <f>""</f>
        <v/>
      </c>
      <c r="DR114" t="str">
        <f>""</f>
        <v/>
      </c>
      <c r="DS114" t="str">
        <f>""</f>
        <v/>
      </c>
      <c r="DT114" t="str">
        <f>""</f>
        <v/>
      </c>
      <c r="DU114" t="str">
        <f>""</f>
        <v/>
      </c>
    </row>
    <row r="115" spans="1:125" x14ac:dyDescent="0.25">
      <c r="A115" t="str">
        <f>"    UBS Group AG"</f>
        <v xml:space="preserve">    UBS Group AG</v>
      </c>
      <c r="B115" t="str">
        <f>"UBSG SW Equity"</f>
        <v>UBSG SW Equity</v>
      </c>
      <c r="C115" t="str">
        <f t="shared" si="6"/>
        <v>BS017</v>
      </c>
      <c r="D115" t="str">
        <f t="shared" si="7"/>
        <v>BS_CONS_LOAN</v>
      </c>
      <c r="E115" t="str">
        <f t="shared" si="8"/>
        <v>Dynamic</v>
      </c>
      <c r="F115">
        <f ca="1">IF(AND(ISNUMBER($F$319),$B$208=1),$F$319,HLOOKUP(INDIRECT(ADDRESS(2,COLUMN())),OFFSET($BN$2,0,0,ROW()-1,60),ROW()-1,FALSE))</f>
        <v>323061.16529999999</v>
      </c>
      <c r="G115">
        <f ca="1">IF(AND(ISNUMBER($G$319),$B$208=1),$G$319,HLOOKUP(INDIRECT(ADDRESS(2,COLUMN())),OFFSET($BN$2,0,0,ROW()-1,60),ROW()-1,FALSE))</f>
        <v>321243.27230000001</v>
      </c>
      <c r="H115">
        <f ca="1">IF(AND(ISNUMBER($H$319),$B$208=1),$H$319,HLOOKUP(INDIRECT(ADDRESS(2,COLUMN())),OFFSET($BN$2,0,0,ROW()-1,60),ROW()-1,FALSE))</f>
        <v>318687.01010000001</v>
      </c>
      <c r="I115">
        <f ca="1">IF(AND(ISNUMBER($I$319),$B$208=1),$I$319,HLOOKUP(INDIRECT(ADDRESS(2,COLUMN())),OFFSET($BN$2,0,0,ROW()-1,60),ROW()-1,FALSE))</f>
        <v>318797.84970000002</v>
      </c>
      <c r="J115">
        <f ca="1">IF(AND(ISNUMBER($J$319),$B$208=1),$J$319,HLOOKUP(INDIRECT(ADDRESS(2,COLUMN())),OFFSET($BN$2,0,0,ROW()-1,60),ROW()-1,FALSE))</f>
        <v>333038.68400000001</v>
      </c>
      <c r="K115">
        <f ca="1">IF(AND(ISNUMBER($K$319),$B$208=1),$K$319,HLOOKUP(INDIRECT(ADDRESS(2,COLUMN())),OFFSET($BN$2,0,0,ROW()-1,60),ROW()-1,FALSE))</f>
        <v>322861.59950000001</v>
      </c>
      <c r="L115">
        <f ca="1">IF(AND(ISNUMBER($L$319),$B$208=1),$L$319,HLOOKUP(INDIRECT(ADDRESS(2,COLUMN())),OFFSET($BN$2,0,0,ROW()-1,60),ROW()-1,FALSE))</f>
        <v>320709.837</v>
      </c>
      <c r="M115">
        <f ca="1">IF(AND(ISNUMBER($M$319),$B$208=1),$M$319,HLOOKUP(INDIRECT(ADDRESS(2,COLUMN())),OFFSET($BN$2,0,0,ROW()-1,60),ROW()-1,FALSE))</f>
        <v>193129.0827</v>
      </c>
      <c r="N115">
        <f ca="1">IF(AND(ISNUMBER($N$319),$B$208=1),$N$319,HLOOKUP(INDIRECT(ADDRESS(2,COLUMN())),OFFSET($BN$2,0,0,ROW()-1,60),ROW()-1,FALSE))</f>
        <v>191610.4939</v>
      </c>
      <c r="O115">
        <f ca="1">IF(AND(ISNUMBER($O$319),$B$208=1),$O$319,HLOOKUP(INDIRECT(ADDRESS(2,COLUMN())),OFFSET($BN$2,0,0,ROW()-1,60),ROW()-1,FALSE))</f>
        <v>196865.1685</v>
      </c>
      <c r="P115">
        <f ca="1">IF(AND(ISNUMBER($P$319),$B$208=1),$P$319,HLOOKUP(INDIRECT(ADDRESS(2,COLUMN())),OFFSET($BN$2,0,0,ROW()-1,60),ROW()-1,FALSE))</f>
        <v>186907.3738</v>
      </c>
      <c r="Q115">
        <f ca="1">IF(AND(ISNUMBER($Q$319),$B$208=1),$Q$319,HLOOKUP(INDIRECT(ADDRESS(2,COLUMN())),OFFSET($BN$2,0,0,ROW()-1,60),ROW()-1,FALSE))</f>
        <v>179817.7224</v>
      </c>
      <c r="R115">
        <f ca="1">IF(AND(ISNUMBER($R$319),$B$208=1),$R$319,HLOOKUP(INDIRECT(ADDRESS(2,COLUMN())),OFFSET($BN$2,0,0,ROW()-1,60),ROW()-1,FALSE))</f>
        <v>134817.31950000001</v>
      </c>
      <c r="S115">
        <f ca="1">IF(AND(ISNUMBER($S$319),$B$208=1),$S$319,HLOOKUP(INDIRECT(ADDRESS(2,COLUMN())),OFFSET($BN$2,0,0,ROW()-1,60),ROW()-1,FALSE))</f>
        <v>129936.04700000001</v>
      </c>
      <c r="T115">
        <f ca="1">IF(AND(ISNUMBER($T$319),$B$208=1),$T$319,HLOOKUP(INDIRECT(ADDRESS(2,COLUMN())),OFFSET($BN$2,0,0,ROW()-1,60),ROW()-1,FALSE))</f>
        <v>126118.65979999999</v>
      </c>
      <c r="U115">
        <f ca="1">IF(AND(ISNUMBER($U$319),$B$208=1),$U$319,HLOOKUP(INDIRECT(ADDRESS(2,COLUMN())),OFFSET($BN$2,0,0,ROW()-1,60),ROW()-1,FALSE))</f>
        <v>122555.7447</v>
      </c>
      <c r="V115">
        <f ca="1">IF(AND(ISNUMBER($V$319),$B$208=1),$V$319,HLOOKUP(INDIRECT(ADDRESS(2,COLUMN())),OFFSET($BN$2,0,0,ROW()-1,60),ROW()-1,FALSE))</f>
        <v>122480.9816</v>
      </c>
      <c r="W115">
        <f ca="1">IF(AND(ISNUMBER($W$319),$B$208=1),$W$319,HLOOKUP(INDIRECT(ADDRESS(2,COLUMN())),OFFSET($BN$2,0,0,ROW()-1,60),ROW()-1,FALSE))</f>
        <v>122586.58930000001</v>
      </c>
      <c r="X115">
        <f ca="1">IF(AND(ISNUMBER($X$319),$B$208=1),$X$319,HLOOKUP(INDIRECT(ADDRESS(2,COLUMN())),OFFSET($BN$2,0,0,ROW()-1,60),ROW()-1,FALSE))</f>
        <v>123596.0153</v>
      </c>
      <c r="Y115">
        <f ca="1">IF(AND(ISNUMBER($Y$319),$B$208=1),$Y$319,HLOOKUP(INDIRECT(ADDRESS(2,COLUMN())),OFFSET($BN$2,0,0,ROW()-1,60),ROW()-1,FALSE))</f>
        <v>124032.4492</v>
      </c>
      <c r="Z115">
        <f ca="1">IF(AND(ISNUMBER($Z$319),$B$208=1),$Z$319,HLOOKUP(INDIRECT(ADDRESS(2,COLUMN())),OFFSET($BN$2,0,0,ROW()-1,60),ROW()-1,FALSE))</f>
        <v>119607.2669</v>
      </c>
      <c r="AA115" t="str">
        <f ca="1">IF(AND(ISNUMBER($AA$319),$B$208=1),$AA$319,HLOOKUP(INDIRECT(ADDRESS(2,COLUMN())),OFFSET($BN$2,0,0,ROW()-1,60),ROW()-1,FALSE))</f>
        <v/>
      </c>
      <c r="AB115" t="str">
        <f ca="1">IF(AND(ISNUMBER($AB$319),$B$208=1),$AB$319,HLOOKUP(INDIRECT(ADDRESS(2,COLUMN())),OFFSET($BN$2,0,0,ROW()-1,60),ROW()-1,FALSE))</f>
        <v/>
      </c>
      <c r="AC115" t="str">
        <f ca="1">IF(AND(ISNUMBER($AC$319),$B$208=1),$AC$319,HLOOKUP(INDIRECT(ADDRESS(2,COLUMN())),OFFSET($BN$2,0,0,ROW()-1,60),ROW()-1,FALSE))</f>
        <v/>
      </c>
      <c r="AD115">
        <f ca="1">IF(AND(ISNUMBER($AD$319),$B$208=1),$AD$319,HLOOKUP(INDIRECT(ADDRESS(2,COLUMN())),OFFSET($BN$2,0,0,ROW()-1,60),ROW()-1,FALSE))</f>
        <v>111652.11320000001</v>
      </c>
      <c r="AE115">
        <f ca="1">IF(AND(ISNUMBER($AE$319),$B$208=1),$AE$319,HLOOKUP(INDIRECT(ADDRESS(2,COLUMN())),OFFSET($BN$2,0,0,ROW()-1,60),ROW()-1,FALSE))</f>
        <v>107624.4188</v>
      </c>
      <c r="AF115" t="str">
        <f ca="1">IF(AND(ISNUMBER($AF$319),$B$208=1),$AF$319,HLOOKUP(INDIRECT(ADDRESS(2,COLUMN())),OFFSET($BN$2,0,0,ROW()-1,60),ROW()-1,FALSE))</f>
        <v/>
      </c>
      <c r="AG115" t="str">
        <f ca="1">IF(AND(ISNUMBER($AG$319),$B$208=1),$AG$319,HLOOKUP(INDIRECT(ADDRESS(2,COLUMN())),OFFSET($BN$2,0,0,ROW()-1,60),ROW()-1,FALSE))</f>
        <v/>
      </c>
      <c r="AH115">
        <f ca="1">IF(AND(ISNUMBER($AH$319),$B$208=1),$AH$319,HLOOKUP(INDIRECT(ADDRESS(2,COLUMN())),OFFSET($BN$2,0,0,ROW()-1,60),ROW()-1,FALSE))</f>
        <v>120138.912</v>
      </c>
      <c r="AI115" t="str">
        <f ca="1">IF(AND(ISNUMBER($AI$319),$B$208=1),$AI$319,HLOOKUP(INDIRECT(ADDRESS(2,COLUMN())),OFFSET($BN$2,0,0,ROW()-1,60),ROW()-1,FALSE))</f>
        <v/>
      </c>
      <c r="AJ115" t="str">
        <f ca="1">IF(AND(ISNUMBER($AJ$319),$B$208=1),$AJ$319,HLOOKUP(INDIRECT(ADDRESS(2,COLUMN())),OFFSET($BN$2,0,0,ROW()-1,60),ROW()-1,FALSE))</f>
        <v/>
      </c>
      <c r="AK115" t="str">
        <f ca="1">IF(AND(ISNUMBER($AK$319),$B$208=1),$AK$319,HLOOKUP(INDIRECT(ADDRESS(2,COLUMN())),OFFSET($BN$2,0,0,ROW()-1,60),ROW()-1,FALSE))</f>
        <v/>
      </c>
      <c r="AL115">
        <f ca="1">IF(AND(ISNUMBER($AL$319),$B$208=1),$AL$319,HLOOKUP(INDIRECT(ADDRESS(2,COLUMN())),OFFSET($BN$2,0,0,ROW()-1,60),ROW()-1,FALSE))</f>
        <v>132542.49340000001</v>
      </c>
      <c r="AM115" t="str">
        <f ca="1">IF(AND(ISNUMBER($AM$319),$B$208=1),$AM$319,HLOOKUP(INDIRECT(ADDRESS(2,COLUMN())),OFFSET($BN$2,0,0,ROW()-1,60),ROW()-1,FALSE))</f>
        <v/>
      </c>
      <c r="AN115" t="str">
        <f ca="1">IF(AND(ISNUMBER($AN$319),$B$208=1),$AN$319,HLOOKUP(INDIRECT(ADDRESS(2,COLUMN())),OFFSET($BN$2,0,0,ROW()-1,60),ROW()-1,FALSE))</f>
        <v/>
      </c>
      <c r="AO115" t="str">
        <f ca="1">IF(AND(ISNUMBER($AO$319),$B$208=1),$AO$319,HLOOKUP(INDIRECT(ADDRESS(2,COLUMN())),OFFSET($BN$2,0,0,ROW()-1,60),ROW()-1,FALSE))</f>
        <v/>
      </c>
      <c r="AP115">
        <f ca="1">IF(AND(ISNUMBER($AP$319),$B$208=1),$AP$319,HLOOKUP(INDIRECT(ADDRESS(2,COLUMN())),OFFSET($BN$2,0,0,ROW()-1,60),ROW()-1,FALSE))</f>
        <v>130361.21400000001</v>
      </c>
      <c r="AQ115" t="str">
        <f ca="1">IF(AND(ISNUMBER($AQ$319),$B$208=1),$AQ$319,HLOOKUP(INDIRECT(ADDRESS(2,COLUMN())),OFFSET($BN$2,0,0,ROW()-1,60),ROW()-1,FALSE))</f>
        <v/>
      </c>
      <c r="AR115" t="str">
        <f ca="1">IF(AND(ISNUMBER($AR$319),$B$208=1),$AR$319,HLOOKUP(INDIRECT(ADDRESS(2,COLUMN())),OFFSET($BN$2,0,0,ROW()-1,60),ROW()-1,FALSE))</f>
        <v/>
      </c>
      <c r="AS115" t="str">
        <f ca="1">IF(AND(ISNUMBER($AS$319),$B$208=1),$AS$319,HLOOKUP(INDIRECT(ADDRESS(2,COLUMN())),OFFSET($BN$2,0,0,ROW()-1,60),ROW()-1,FALSE))</f>
        <v/>
      </c>
      <c r="AT115">
        <f ca="1">IF(AND(ISNUMBER($AT$319),$B$208=1),$AT$319,HLOOKUP(INDIRECT(ADDRESS(2,COLUMN())),OFFSET($BN$2,0,0,ROW()-1,60),ROW()-1,FALSE))</f>
        <v>118391.6103</v>
      </c>
      <c r="AU115" t="str">
        <f ca="1">IF(AND(ISNUMBER($AU$319),$B$208=1),$AU$319,HLOOKUP(INDIRECT(ADDRESS(2,COLUMN())),OFFSET($BN$2,0,0,ROW()-1,60),ROW()-1,FALSE))</f>
        <v/>
      </c>
      <c r="AV115" t="str">
        <f ca="1">IF(AND(ISNUMBER($AV$319),$B$208=1),$AV$319,HLOOKUP(INDIRECT(ADDRESS(2,COLUMN())),OFFSET($BN$2,0,0,ROW()-1,60),ROW()-1,FALSE))</f>
        <v/>
      </c>
      <c r="AW115" t="str">
        <f ca="1">IF(AND(ISNUMBER($AW$319),$B$208=1),$AW$319,HLOOKUP(INDIRECT(ADDRESS(2,COLUMN())),OFFSET($BN$2,0,0,ROW()-1,60),ROW()-1,FALSE))</f>
        <v/>
      </c>
      <c r="AX115">
        <f ca="1">IF(AND(ISNUMBER($AX$319),$B$208=1),$AX$319,HLOOKUP(INDIRECT(ADDRESS(2,COLUMN())),OFFSET($BN$2,0,0,ROW()-1,60),ROW()-1,FALSE))</f>
        <v>112112.18520000001</v>
      </c>
      <c r="AY115" t="str">
        <f ca="1">IF(AND(ISNUMBER($AY$319),$B$208=1),$AY$319,HLOOKUP(INDIRECT(ADDRESS(2,COLUMN())),OFFSET($BN$2,0,0,ROW()-1,60),ROW()-1,FALSE))</f>
        <v/>
      </c>
      <c r="AZ115" t="str">
        <f ca="1">IF(AND(ISNUMBER($AZ$319),$B$208=1),$AZ$319,HLOOKUP(INDIRECT(ADDRESS(2,COLUMN())),OFFSET($BN$2,0,0,ROW()-1,60),ROW()-1,FALSE))</f>
        <v/>
      </c>
      <c r="BA115" t="str">
        <f ca="1">IF(AND(ISNUMBER($BA$319),$B$208=1),$BA$319,HLOOKUP(INDIRECT(ADDRESS(2,COLUMN())),OFFSET($BN$2,0,0,ROW()-1,60),ROW()-1,FALSE))</f>
        <v/>
      </c>
      <c r="BB115">
        <f ca="1">IF(AND(ISNUMBER($BB$319),$B$208=1),$BB$319,HLOOKUP(INDIRECT(ADDRESS(2,COLUMN())),OFFSET($BN$2,0,0,ROW()-1,60),ROW()-1,FALSE))</f>
        <v>109389.6109</v>
      </c>
      <c r="BC115" t="str">
        <f ca="1">IF(AND(ISNUMBER($BC$319),$B$208=1),$BC$319,HLOOKUP(INDIRECT(ADDRESS(2,COLUMN())),OFFSET($BN$2,0,0,ROW()-1,60),ROW()-1,FALSE))</f>
        <v/>
      </c>
      <c r="BD115" t="str">
        <f ca="1">IF(AND(ISNUMBER($BD$319),$B$208=1),$BD$319,HLOOKUP(INDIRECT(ADDRESS(2,COLUMN())),OFFSET($BN$2,0,0,ROW()-1,60),ROW()-1,FALSE))</f>
        <v/>
      </c>
      <c r="BE115" t="str">
        <f ca="1">IF(AND(ISNUMBER($BE$319),$B$208=1),$BE$319,HLOOKUP(INDIRECT(ADDRESS(2,COLUMN())),OFFSET($BN$2,0,0,ROW()-1,60),ROW()-1,FALSE))</f>
        <v/>
      </c>
      <c r="BF115">
        <f ca="1">IF(AND(ISNUMBER($BF$319),$B$208=1),$BF$319,HLOOKUP(INDIRECT(ADDRESS(2,COLUMN())),OFFSET($BN$2,0,0,ROW()-1,60),ROW()-1,FALSE))</f>
        <v>103386.1842</v>
      </c>
      <c r="BG115" t="str">
        <f ca="1">IF(AND(ISNUMBER($BG$319),$B$208=1),$BG$319,HLOOKUP(INDIRECT(ADDRESS(2,COLUMN())),OFFSET($BN$2,0,0,ROW()-1,60),ROW()-1,FALSE))</f>
        <v/>
      </c>
      <c r="BH115" t="str">
        <f ca="1">IF(AND(ISNUMBER($BH$319),$B$208=1),$BH$319,HLOOKUP(INDIRECT(ADDRESS(2,COLUMN())),OFFSET($BN$2,0,0,ROW()-1,60),ROW()-1,FALSE))</f>
        <v/>
      </c>
      <c r="BI115" t="str">
        <f ca="1">IF(AND(ISNUMBER($BI$319),$B$208=1),$BI$319,HLOOKUP(INDIRECT(ADDRESS(2,COLUMN())),OFFSET($BN$2,0,0,ROW()-1,60),ROW()-1,FALSE))</f>
        <v/>
      </c>
      <c r="BJ115">
        <f ca="1">IF(AND(ISNUMBER($BJ$319),$B$208=1),$BJ$319,HLOOKUP(INDIRECT(ADDRESS(2,COLUMN())),OFFSET($BN$2,0,0,ROW()-1,60),ROW()-1,FALSE))</f>
        <v>98136.533049999998</v>
      </c>
      <c r="BK115" t="str">
        <f ca="1">IF(AND(ISNUMBER($BK$319),$B$208=1),$BK$319,HLOOKUP(INDIRECT(ADDRESS(2,COLUMN())),OFFSET($BN$2,0,0,ROW()-1,60),ROW()-1,FALSE))</f>
        <v/>
      </c>
      <c r="BL115" t="str">
        <f ca="1">IF(AND(ISNUMBER($BL$319),$B$208=1),$BL$319,HLOOKUP(INDIRECT(ADDRESS(2,COLUMN())),OFFSET($BN$2,0,0,ROW()-1,60),ROW()-1,FALSE))</f>
        <v/>
      </c>
      <c r="BM115" t="str">
        <f ca="1">IF(AND(ISNUMBER($BM$319),$B$208=1),$BM$319,HLOOKUP(INDIRECT(ADDRESS(2,COLUMN())),OFFSET($BN$2,0,0,ROW()-1,60),ROW()-1,FALSE))</f>
        <v/>
      </c>
      <c r="BN115">
        <f>323061.1653</f>
        <v>323061.16529999999</v>
      </c>
      <c r="BO115">
        <f>321243.2723</f>
        <v>321243.27230000001</v>
      </c>
      <c r="BP115">
        <f>318687.0101</f>
        <v>318687.01010000001</v>
      </c>
      <c r="BQ115">
        <f>318797.8497</f>
        <v>318797.84970000002</v>
      </c>
      <c r="BR115">
        <f>333038.684</f>
        <v>333038.68400000001</v>
      </c>
      <c r="BS115">
        <f>322861.5995</f>
        <v>322861.59950000001</v>
      </c>
      <c r="BT115">
        <f>320709.837</f>
        <v>320709.837</v>
      </c>
      <c r="BU115">
        <f>193129.0827</f>
        <v>193129.0827</v>
      </c>
      <c r="BV115">
        <f>191610.4939</f>
        <v>191610.4939</v>
      </c>
      <c r="BW115">
        <f>196865.1685</f>
        <v>196865.1685</v>
      </c>
      <c r="BX115">
        <f>186907.3738</f>
        <v>186907.3738</v>
      </c>
      <c r="BY115">
        <f>179817.7224</f>
        <v>179817.7224</v>
      </c>
      <c r="BZ115">
        <f>134817.3195</f>
        <v>134817.31950000001</v>
      </c>
      <c r="CA115">
        <f>129936.047</f>
        <v>129936.04700000001</v>
      </c>
      <c r="CB115">
        <f>126118.6598</f>
        <v>126118.65979999999</v>
      </c>
      <c r="CC115">
        <f>122555.7447</f>
        <v>122555.7447</v>
      </c>
      <c r="CD115">
        <f>122480.9816</f>
        <v>122480.9816</v>
      </c>
      <c r="CE115">
        <f>122586.5893</f>
        <v>122586.58930000001</v>
      </c>
      <c r="CF115">
        <f>123596.0153</f>
        <v>123596.0153</v>
      </c>
      <c r="CG115">
        <f>124032.4492</f>
        <v>124032.4492</v>
      </c>
      <c r="CH115">
        <f>119607.2669</f>
        <v>119607.2669</v>
      </c>
      <c r="CI115" t="str">
        <f>""</f>
        <v/>
      </c>
      <c r="CJ115" t="str">
        <f>""</f>
        <v/>
      </c>
      <c r="CK115" t="str">
        <f>""</f>
        <v/>
      </c>
      <c r="CL115">
        <f>111652.1132</f>
        <v>111652.11320000001</v>
      </c>
      <c r="CM115">
        <f>107624.4188</f>
        <v>107624.4188</v>
      </c>
      <c r="CN115" t="str">
        <f>""</f>
        <v/>
      </c>
      <c r="CO115" t="str">
        <f>""</f>
        <v/>
      </c>
      <c r="CP115">
        <f>120138.912</f>
        <v>120138.912</v>
      </c>
      <c r="CQ115" t="str">
        <f>""</f>
        <v/>
      </c>
      <c r="CR115" t="str">
        <f>""</f>
        <v/>
      </c>
      <c r="CS115" t="str">
        <f>""</f>
        <v/>
      </c>
      <c r="CT115">
        <f>132542.4934</f>
        <v>132542.49340000001</v>
      </c>
      <c r="CU115" t="str">
        <f>""</f>
        <v/>
      </c>
      <c r="CV115" t="str">
        <f>""</f>
        <v/>
      </c>
      <c r="CW115" t="str">
        <f>""</f>
        <v/>
      </c>
      <c r="CX115">
        <f>130361.214</f>
        <v>130361.21400000001</v>
      </c>
      <c r="CY115" t="str">
        <f>""</f>
        <v/>
      </c>
      <c r="CZ115" t="str">
        <f>""</f>
        <v/>
      </c>
      <c r="DA115" t="str">
        <f>""</f>
        <v/>
      </c>
      <c r="DB115">
        <f>118391.6103</f>
        <v>118391.6103</v>
      </c>
      <c r="DC115" t="str">
        <f>""</f>
        <v/>
      </c>
      <c r="DD115" t="str">
        <f>""</f>
        <v/>
      </c>
      <c r="DE115" t="str">
        <f>""</f>
        <v/>
      </c>
      <c r="DF115">
        <f>112112.1852</f>
        <v>112112.18520000001</v>
      </c>
      <c r="DG115" t="str">
        <f>""</f>
        <v/>
      </c>
      <c r="DH115" t="str">
        <f>""</f>
        <v/>
      </c>
      <c r="DI115" t="str">
        <f>""</f>
        <v/>
      </c>
      <c r="DJ115">
        <f>109389.6109</f>
        <v>109389.6109</v>
      </c>
      <c r="DK115" t="str">
        <f>""</f>
        <v/>
      </c>
      <c r="DL115" t="str">
        <f>""</f>
        <v/>
      </c>
      <c r="DM115" t="str">
        <f>""</f>
        <v/>
      </c>
      <c r="DN115">
        <f>103386.1842</f>
        <v>103386.1842</v>
      </c>
      <c r="DO115" t="str">
        <f>""</f>
        <v/>
      </c>
      <c r="DP115" t="str">
        <f>""</f>
        <v/>
      </c>
      <c r="DQ115" t="str">
        <f>""</f>
        <v/>
      </c>
      <c r="DR115">
        <f>98136.53305</f>
        <v>98136.533049999998</v>
      </c>
      <c r="DS115" t="str">
        <f>""</f>
        <v/>
      </c>
      <c r="DT115" t="str">
        <f>""</f>
        <v/>
      </c>
      <c r="DU115" t="str">
        <f>""</f>
        <v/>
      </c>
    </row>
    <row r="116" spans="1:125" x14ac:dyDescent="0.25">
      <c r="A116" t="str">
        <f>"    UniCredit SpA"</f>
        <v xml:space="preserve">    UniCredit SpA</v>
      </c>
      <c r="B116" t="str">
        <f>"UCG IM Equity"</f>
        <v>UCG IM Equity</v>
      </c>
      <c r="C116" t="str">
        <f t="shared" si="6"/>
        <v>BS017</v>
      </c>
      <c r="D116" t="str">
        <f t="shared" si="7"/>
        <v>BS_CONS_LOAN</v>
      </c>
      <c r="E116" t="str">
        <f t="shared" si="8"/>
        <v>Dynamic</v>
      </c>
      <c r="F116">
        <f ca="1">IF(AND(ISNUMBER($F$320),$B$208=1),$F$320,HLOOKUP(INDIRECT(ADDRESS(2,COLUMN())),OFFSET($BN$2,0,0,ROW()-1,60),ROW()-1,FALSE))</f>
        <v>222109</v>
      </c>
      <c r="G116" t="str">
        <f ca="1">IF(AND(ISNUMBER($G$320),$B$208=1),$G$320,HLOOKUP(INDIRECT(ADDRESS(2,COLUMN())),OFFSET($BN$2,0,0,ROW()-1,60),ROW()-1,FALSE))</f>
        <v/>
      </c>
      <c r="H116">
        <f ca="1">IF(AND(ISNUMBER($H$320),$B$208=1),$H$320,HLOOKUP(INDIRECT(ADDRESS(2,COLUMN())),OFFSET($BN$2,0,0,ROW()-1,60),ROW()-1,FALSE))</f>
        <v>224684</v>
      </c>
      <c r="I116" t="str">
        <f ca="1">IF(AND(ISNUMBER($I$320),$B$208=1),$I$320,HLOOKUP(INDIRECT(ADDRESS(2,COLUMN())),OFFSET($BN$2,0,0,ROW()-1,60),ROW()-1,FALSE))</f>
        <v/>
      </c>
      <c r="J116">
        <f ca="1">IF(AND(ISNUMBER($J$320),$B$208=1),$J$320,HLOOKUP(INDIRECT(ADDRESS(2,COLUMN())),OFFSET($BN$2,0,0,ROW()-1,60),ROW()-1,FALSE))</f>
        <v>224833</v>
      </c>
      <c r="K116" t="str">
        <f ca="1">IF(AND(ISNUMBER($K$320),$B$208=1),$K$320,HLOOKUP(INDIRECT(ADDRESS(2,COLUMN())),OFFSET($BN$2,0,0,ROW()-1,60),ROW()-1,FALSE))</f>
        <v/>
      </c>
      <c r="L116">
        <f ca="1">IF(AND(ISNUMBER($L$320),$B$208=1),$L$320,HLOOKUP(INDIRECT(ADDRESS(2,COLUMN())),OFFSET($BN$2,0,0,ROW()-1,60),ROW()-1,FALSE))</f>
        <v>232421</v>
      </c>
      <c r="M116" t="str">
        <f ca="1">IF(AND(ISNUMBER($M$320),$B$208=1),$M$320,HLOOKUP(INDIRECT(ADDRESS(2,COLUMN())),OFFSET($BN$2,0,0,ROW()-1,60),ROW()-1,FALSE))</f>
        <v/>
      </c>
      <c r="N116">
        <f ca="1">IF(AND(ISNUMBER($N$320),$B$208=1),$N$320,HLOOKUP(INDIRECT(ADDRESS(2,COLUMN())),OFFSET($BN$2,0,0,ROW()-1,60),ROW()-1,FALSE))</f>
        <v>232431</v>
      </c>
      <c r="O116" t="str">
        <f ca="1">IF(AND(ISNUMBER($O$320),$B$208=1),$O$320,HLOOKUP(INDIRECT(ADDRESS(2,COLUMN())),OFFSET($BN$2,0,0,ROW()-1,60),ROW()-1,FALSE))</f>
        <v/>
      </c>
      <c r="P116">
        <f ca="1">IF(AND(ISNUMBER($P$320),$B$208=1),$P$320,HLOOKUP(INDIRECT(ADDRESS(2,COLUMN())),OFFSET($BN$2,0,0,ROW()-1,60),ROW()-1,FALSE))</f>
        <v>235904</v>
      </c>
      <c r="Q116" t="str">
        <f ca="1">IF(AND(ISNUMBER($Q$320),$B$208=1),$Q$320,HLOOKUP(INDIRECT(ADDRESS(2,COLUMN())),OFFSET($BN$2,0,0,ROW()-1,60),ROW()-1,FALSE))</f>
        <v/>
      </c>
      <c r="R116">
        <f ca="1">IF(AND(ISNUMBER($R$320),$B$208=1),$R$320,HLOOKUP(INDIRECT(ADDRESS(2,COLUMN())),OFFSET($BN$2,0,0,ROW()-1,60),ROW()-1,FALSE))</f>
        <v>227542</v>
      </c>
      <c r="S116" t="str">
        <f ca="1">IF(AND(ISNUMBER($S$320),$B$208=1),$S$320,HLOOKUP(INDIRECT(ADDRESS(2,COLUMN())),OFFSET($BN$2,0,0,ROW()-1,60),ROW()-1,FALSE))</f>
        <v/>
      </c>
      <c r="T116">
        <f ca="1">IF(AND(ISNUMBER($T$320),$B$208=1),$T$320,HLOOKUP(INDIRECT(ADDRESS(2,COLUMN())),OFFSET($BN$2,0,0,ROW()-1,60),ROW()-1,FALSE))</f>
        <v>224565</v>
      </c>
      <c r="U116" t="str">
        <f ca="1">IF(AND(ISNUMBER($U$320),$B$208=1),$U$320,HLOOKUP(INDIRECT(ADDRESS(2,COLUMN())),OFFSET($BN$2,0,0,ROW()-1,60),ROW()-1,FALSE))</f>
        <v/>
      </c>
      <c r="V116">
        <f ca="1">IF(AND(ISNUMBER($V$320),$B$208=1),$V$320,HLOOKUP(INDIRECT(ADDRESS(2,COLUMN())),OFFSET($BN$2,0,0,ROW()-1,60),ROW()-1,FALSE))</f>
        <v>220365</v>
      </c>
      <c r="W116" t="str">
        <f ca="1">IF(AND(ISNUMBER($W$320),$B$208=1),$W$320,HLOOKUP(INDIRECT(ADDRESS(2,COLUMN())),OFFSET($BN$2,0,0,ROW()-1,60),ROW()-1,FALSE))</f>
        <v/>
      </c>
      <c r="X116">
        <f ca="1">IF(AND(ISNUMBER($X$320),$B$208=1),$X$320,HLOOKUP(INDIRECT(ADDRESS(2,COLUMN())),OFFSET($BN$2,0,0,ROW()-1,60),ROW()-1,FALSE))</f>
        <v>220409</v>
      </c>
      <c r="Y116" t="str">
        <f ca="1">IF(AND(ISNUMBER($Y$320),$B$208=1),$Y$320,HLOOKUP(INDIRECT(ADDRESS(2,COLUMN())),OFFSET($BN$2,0,0,ROW()-1,60),ROW()-1,FALSE))</f>
        <v/>
      </c>
      <c r="Z116">
        <f ca="1">IF(AND(ISNUMBER($Z$320),$B$208=1),$Z$320,HLOOKUP(INDIRECT(ADDRESS(2,COLUMN())),OFFSET($BN$2,0,0,ROW()-1,60),ROW()-1,FALSE))</f>
        <v>220164</v>
      </c>
      <c r="AA116" t="str">
        <f ca="1">IF(AND(ISNUMBER($AA$320),$B$208=1),$AA$320,HLOOKUP(INDIRECT(ADDRESS(2,COLUMN())),OFFSET($BN$2,0,0,ROW()-1,60),ROW()-1,FALSE))</f>
        <v/>
      </c>
      <c r="AB116">
        <f ca="1">IF(AND(ISNUMBER($AB$320),$B$208=1),$AB$320,HLOOKUP(INDIRECT(ADDRESS(2,COLUMN())),OFFSET($BN$2,0,0,ROW()-1,60),ROW()-1,FALSE))</f>
        <v>220471</v>
      </c>
      <c r="AC116" t="str">
        <f ca="1">IF(AND(ISNUMBER($AC$320),$B$208=1),$AC$320,HLOOKUP(INDIRECT(ADDRESS(2,COLUMN())),OFFSET($BN$2,0,0,ROW()-1,60),ROW()-1,FALSE))</f>
        <v/>
      </c>
      <c r="AD116">
        <f ca="1">IF(AND(ISNUMBER($AD$320),$B$208=1),$AD$320,HLOOKUP(INDIRECT(ADDRESS(2,COLUMN())),OFFSET($BN$2,0,0,ROW()-1,60),ROW()-1,FALSE))</f>
        <v>220297</v>
      </c>
      <c r="AE116" t="str">
        <f ca="1">IF(AND(ISNUMBER($AE$320),$B$208=1),$AE$320,HLOOKUP(INDIRECT(ADDRESS(2,COLUMN())),OFFSET($BN$2,0,0,ROW()-1,60),ROW()-1,FALSE))</f>
        <v/>
      </c>
      <c r="AF116">
        <f ca="1">IF(AND(ISNUMBER($AF$320),$B$208=1),$AF$320,HLOOKUP(INDIRECT(ADDRESS(2,COLUMN())),OFFSET($BN$2,0,0,ROW()-1,60),ROW()-1,FALSE))</f>
        <v>215671.984</v>
      </c>
      <c r="AG116" t="str">
        <f ca="1">IF(AND(ISNUMBER($AG$320),$B$208=1),$AG$320,HLOOKUP(INDIRECT(ADDRESS(2,COLUMN())),OFFSET($BN$2,0,0,ROW()-1,60),ROW()-1,FALSE))</f>
        <v/>
      </c>
      <c r="AH116" t="str">
        <f ca="1">IF(AND(ISNUMBER($AH$320),$B$208=1),$AH$320,HLOOKUP(INDIRECT(ADDRESS(2,COLUMN())),OFFSET($BN$2,0,0,ROW()-1,60),ROW()-1,FALSE))</f>
        <v/>
      </c>
      <c r="AI116" t="str">
        <f ca="1">IF(AND(ISNUMBER($AI$320),$B$208=1),$AI$320,HLOOKUP(INDIRECT(ADDRESS(2,COLUMN())),OFFSET($BN$2,0,0,ROW()-1,60),ROW()-1,FALSE))</f>
        <v/>
      </c>
      <c r="AJ116" t="str">
        <f ca="1">IF(AND(ISNUMBER($AJ$320),$B$208=1),$AJ$320,HLOOKUP(INDIRECT(ADDRESS(2,COLUMN())),OFFSET($BN$2,0,0,ROW()-1,60),ROW()-1,FALSE))</f>
        <v/>
      </c>
      <c r="AK116" t="str">
        <f ca="1">IF(AND(ISNUMBER($AK$320),$B$208=1),$AK$320,HLOOKUP(INDIRECT(ADDRESS(2,COLUMN())),OFFSET($BN$2,0,0,ROW()-1,60),ROW()-1,FALSE))</f>
        <v/>
      </c>
      <c r="AL116" t="str">
        <f ca="1">IF(AND(ISNUMBER($AL$320),$B$208=1),$AL$320,HLOOKUP(INDIRECT(ADDRESS(2,COLUMN())),OFFSET($BN$2,0,0,ROW()-1,60),ROW()-1,FALSE))</f>
        <v/>
      </c>
      <c r="AM116" t="str">
        <f ca="1">IF(AND(ISNUMBER($AM$320),$B$208=1),$AM$320,HLOOKUP(INDIRECT(ADDRESS(2,COLUMN())),OFFSET($BN$2,0,0,ROW()-1,60),ROW()-1,FALSE))</f>
        <v/>
      </c>
      <c r="AN116" t="str">
        <f ca="1">IF(AND(ISNUMBER($AN$320),$B$208=1),$AN$320,HLOOKUP(INDIRECT(ADDRESS(2,COLUMN())),OFFSET($BN$2,0,0,ROW()-1,60),ROW()-1,FALSE))</f>
        <v/>
      </c>
      <c r="AO116" t="str">
        <f ca="1">IF(AND(ISNUMBER($AO$320),$B$208=1),$AO$320,HLOOKUP(INDIRECT(ADDRESS(2,COLUMN())),OFFSET($BN$2,0,0,ROW()-1,60),ROW()-1,FALSE))</f>
        <v/>
      </c>
      <c r="AP116" t="str">
        <f ca="1">IF(AND(ISNUMBER($AP$320),$B$208=1),$AP$320,HLOOKUP(INDIRECT(ADDRESS(2,COLUMN())),OFFSET($BN$2,0,0,ROW()-1,60),ROW()-1,FALSE))</f>
        <v/>
      </c>
      <c r="AQ116" t="str">
        <f ca="1">IF(AND(ISNUMBER($AQ$320),$B$208=1),$AQ$320,HLOOKUP(INDIRECT(ADDRESS(2,COLUMN())),OFFSET($BN$2,0,0,ROW()-1,60),ROW()-1,FALSE))</f>
        <v/>
      </c>
      <c r="AR116" t="str">
        <f ca="1">IF(AND(ISNUMBER($AR$320),$B$208=1),$AR$320,HLOOKUP(INDIRECT(ADDRESS(2,COLUMN())),OFFSET($BN$2,0,0,ROW()-1,60),ROW()-1,FALSE))</f>
        <v/>
      </c>
      <c r="AS116" t="str">
        <f ca="1">IF(AND(ISNUMBER($AS$320),$B$208=1),$AS$320,HLOOKUP(INDIRECT(ADDRESS(2,COLUMN())),OFFSET($BN$2,0,0,ROW()-1,60),ROW()-1,FALSE))</f>
        <v/>
      </c>
      <c r="AT116" t="str">
        <f ca="1">IF(AND(ISNUMBER($AT$320),$B$208=1),$AT$320,HLOOKUP(INDIRECT(ADDRESS(2,COLUMN())),OFFSET($BN$2,0,0,ROW()-1,60),ROW()-1,FALSE))</f>
        <v/>
      </c>
      <c r="AU116" t="str">
        <f ca="1">IF(AND(ISNUMBER($AU$320),$B$208=1),$AU$320,HLOOKUP(INDIRECT(ADDRESS(2,COLUMN())),OFFSET($BN$2,0,0,ROW()-1,60),ROW()-1,FALSE))</f>
        <v/>
      </c>
      <c r="AV116" t="str">
        <f ca="1">IF(AND(ISNUMBER($AV$320),$B$208=1),$AV$320,HLOOKUP(INDIRECT(ADDRESS(2,COLUMN())),OFFSET($BN$2,0,0,ROW()-1,60),ROW()-1,FALSE))</f>
        <v/>
      </c>
      <c r="AW116" t="str">
        <f ca="1">IF(AND(ISNUMBER($AW$320),$B$208=1),$AW$320,HLOOKUP(INDIRECT(ADDRESS(2,COLUMN())),OFFSET($BN$2,0,0,ROW()-1,60),ROW()-1,FALSE))</f>
        <v/>
      </c>
      <c r="AX116" t="str">
        <f ca="1">IF(AND(ISNUMBER($AX$320),$B$208=1),$AX$320,HLOOKUP(INDIRECT(ADDRESS(2,COLUMN())),OFFSET($BN$2,0,0,ROW()-1,60),ROW()-1,FALSE))</f>
        <v/>
      </c>
      <c r="AY116" t="str">
        <f ca="1">IF(AND(ISNUMBER($AY$320),$B$208=1),$AY$320,HLOOKUP(INDIRECT(ADDRESS(2,COLUMN())),OFFSET($BN$2,0,0,ROW()-1,60),ROW()-1,FALSE))</f>
        <v/>
      </c>
      <c r="AZ116" t="str">
        <f ca="1">IF(AND(ISNUMBER($AZ$320),$B$208=1),$AZ$320,HLOOKUP(INDIRECT(ADDRESS(2,COLUMN())),OFFSET($BN$2,0,0,ROW()-1,60),ROW()-1,FALSE))</f>
        <v/>
      </c>
      <c r="BA116" t="str">
        <f ca="1">IF(AND(ISNUMBER($BA$320),$B$208=1),$BA$320,HLOOKUP(INDIRECT(ADDRESS(2,COLUMN())),OFFSET($BN$2,0,0,ROW()-1,60),ROW()-1,FALSE))</f>
        <v/>
      </c>
      <c r="BB116" t="str">
        <f ca="1">IF(AND(ISNUMBER($BB$320),$B$208=1),$BB$320,HLOOKUP(INDIRECT(ADDRESS(2,COLUMN())),OFFSET($BN$2,0,0,ROW()-1,60),ROW()-1,FALSE))</f>
        <v/>
      </c>
      <c r="BC116" t="str">
        <f ca="1">IF(AND(ISNUMBER($BC$320),$B$208=1),$BC$320,HLOOKUP(INDIRECT(ADDRESS(2,COLUMN())),OFFSET($BN$2,0,0,ROW()-1,60),ROW()-1,FALSE))</f>
        <v/>
      </c>
      <c r="BD116" t="str">
        <f ca="1">IF(AND(ISNUMBER($BD$320),$B$208=1),$BD$320,HLOOKUP(INDIRECT(ADDRESS(2,COLUMN())),OFFSET($BN$2,0,0,ROW()-1,60),ROW()-1,FALSE))</f>
        <v/>
      </c>
      <c r="BE116" t="str">
        <f ca="1">IF(AND(ISNUMBER($BE$320),$B$208=1),$BE$320,HLOOKUP(INDIRECT(ADDRESS(2,COLUMN())),OFFSET($BN$2,0,0,ROW()-1,60),ROW()-1,FALSE))</f>
        <v/>
      </c>
      <c r="BF116" t="str">
        <f ca="1">IF(AND(ISNUMBER($BF$320),$B$208=1),$BF$320,HLOOKUP(INDIRECT(ADDRESS(2,COLUMN())),OFFSET($BN$2,0,0,ROW()-1,60),ROW()-1,FALSE))</f>
        <v/>
      </c>
      <c r="BG116" t="str">
        <f ca="1">IF(AND(ISNUMBER($BG$320),$B$208=1),$BG$320,HLOOKUP(INDIRECT(ADDRESS(2,COLUMN())),OFFSET($BN$2,0,0,ROW()-1,60),ROW()-1,FALSE))</f>
        <v/>
      </c>
      <c r="BH116" t="str">
        <f ca="1">IF(AND(ISNUMBER($BH$320),$B$208=1),$BH$320,HLOOKUP(INDIRECT(ADDRESS(2,COLUMN())),OFFSET($BN$2,0,0,ROW()-1,60),ROW()-1,FALSE))</f>
        <v/>
      </c>
      <c r="BI116" t="str">
        <f ca="1">IF(AND(ISNUMBER($BI$320),$B$208=1),$BI$320,HLOOKUP(INDIRECT(ADDRESS(2,COLUMN())),OFFSET($BN$2,0,0,ROW()-1,60),ROW()-1,FALSE))</f>
        <v/>
      </c>
      <c r="BJ116" t="str">
        <f ca="1">IF(AND(ISNUMBER($BJ$320),$B$208=1),$BJ$320,HLOOKUP(INDIRECT(ADDRESS(2,COLUMN())),OFFSET($BN$2,0,0,ROW()-1,60),ROW()-1,FALSE))</f>
        <v/>
      </c>
      <c r="BK116" t="str">
        <f ca="1">IF(AND(ISNUMBER($BK$320),$B$208=1),$BK$320,HLOOKUP(INDIRECT(ADDRESS(2,COLUMN())),OFFSET($BN$2,0,0,ROW()-1,60),ROW()-1,FALSE))</f>
        <v/>
      </c>
      <c r="BL116" t="str">
        <f ca="1">IF(AND(ISNUMBER($BL$320),$B$208=1),$BL$320,HLOOKUP(INDIRECT(ADDRESS(2,COLUMN())),OFFSET($BN$2,0,0,ROW()-1,60),ROW()-1,FALSE))</f>
        <v/>
      </c>
      <c r="BM116" t="str">
        <f ca="1">IF(AND(ISNUMBER($BM$320),$B$208=1),$BM$320,HLOOKUP(INDIRECT(ADDRESS(2,COLUMN())),OFFSET($BN$2,0,0,ROW()-1,60),ROW()-1,FALSE))</f>
        <v/>
      </c>
      <c r="BN116">
        <f>222109</f>
        <v>222109</v>
      </c>
      <c r="BO116" t="str">
        <f>""</f>
        <v/>
      </c>
      <c r="BP116">
        <f>224684</f>
        <v>224684</v>
      </c>
      <c r="BQ116" t="str">
        <f>""</f>
        <v/>
      </c>
      <c r="BR116">
        <f>224833</f>
        <v>224833</v>
      </c>
      <c r="BS116" t="str">
        <f>""</f>
        <v/>
      </c>
      <c r="BT116">
        <f>232421</f>
        <v>232421</v>
      </c>
      <c r="BU116" t="str">
        <f>""</f>
        <v/>
      </c>
      <c r="BV116">
        <f>232431</f>
        <v>232431</v>
      </c>
      <c r="BW116" t="str">
        <f>""</f>
        <v/>
      </c>
      <c r="BX116">
        <f>235904</f>
        <v>235904</v>
      </c>
      <c r="BY116" t="str">
        <f>""</f>
        <v/>
      </c>
      <c r="BZ116">
        <f>227542</f>
        <v>227542</v>
      </c>
      <c r="CA116" t="str">
        <f>""</f>
        <v/>
      </c>
      <c r="CB116">
        <f>224565</f>
        <v>224565</v>
      </c>
      <c r="CC116" t="str">
        <f>""</f>
        <v/>
      </c>
      <c r="CD116">
        <f>220365</f>
        <v>220365</v>
      </c>
      <c r="CE116" t="str">
        <f>""</f>
        <v/>
      </c>
      <c r="CF116">
        <f>220409</f>
        <v>220409</v>
      </c>
      <c r="CG116" t="str">
        <f>""</f>
        <v/>
      </c>
      <c r="CH116">
        <f>220164</f>
        <v>220164</v>
      </c>
      <c r="CI116" t="str">
        <f>""</f>
        <v/>
      </c>
      <c r="CJ116">
        <f>220471</f>
        <v>220471</v>
      </c>
      <c r="CK116" t="str">
        <f>""</f>
        <v/>
      </c>
      <c r="CL116">
        <f>220297</f>
        <v>220297</v>
      </c>
      <c r="CM116" t="str">
        <f>""</f>
        <v/>
      </c>
      <c r="CN116">
        <f>215671.984</f>
        <v>215671.984</v>
      </c>
      <c r="CO116" t="str">
        <f>""</f>
        <v/>
      </c>
      <c r="CP116" t="str">
        <f>""</f>
        <v/>
      </c>
      <c r="CQ116" t="str">
        <f>""</f>
        <v/>
      </c>
      <c r="CR116" t="str">
        <f>""</f>
        <v/>
      </c>
      <c r="CS116" t="str">
        <f>""</f>
        <v/>
      </c>
      <c r="CT116" t="str">
        <f>""</f>
        <v/>
      </c>
      <c r="CU116" t="str">
        <f>""</f>
        <v/>
      </c>
      <c r="CV116" t="str">
        <f>""</f>
        <v/>
      </c>
      <c r="CW116" t="str">
        <f>""</f>
        <v/>
      </c>
      <c r="CX116" t="str">
        <f>""</f>
        <v/>
      </c>
      <c r="CY116" t="str">
        <f>""</f>
        <v/>
      </c>
      <c r="CZ116" t="str">
        <f>""</f>
        <v/>
      </c>
      <c r="DA116" t="str">
        <f>""</f>
        <v/>
      </c>
      <c r="DB116" t="str">
        <f>""</f>
        <v/>
      </c>
      <c r="DC116" t="str">
        <f>""</f>
        <v/>
      </c>
      <c r="DD116" t="str">
        <f>""</f>
        <v/>
      </c>
      <c r="DE116" t="str">
        <f>""</f>
        <v/>
      </c>
      <c r="DF116" t="str">
        <f>""</f>
        <v/>
      </c>
      <c r="DG116" t="str">
        <f>""</f>
        <v/>
      </c>
      <c r="DH116" t="str">
        <f>""</f>
        <v/>
      </c>
      <c r="DI116" t="str">
        <f>""</f>
        <v/>
      </c>
      <c r="DJ116" t="str">
        <f>""</f>
        <v/>
      </c>
      <c r="DK116" t="str">
        <f>""</f>
        <v/>
      </c>
      <c r="DL116" t="str">
        <f>""</f>
        <v/>
      </c>
      <c r="DM116" t="str">
        <f>""</f>
        <v/>
      </c>
      <c r="DN116" t="str">
        <f>""</f>
        <v/>
      </c>
      <c r="DO116" t="str">
        <f>""</f>
        <v/>
      </c>
      <c r="DP116" t="str">
        <f>""</f>
        <v/>
      </c>
      <c r="DQ116" t="str">
        <f>""</f>
        <v/>
      </c>
      <c r="DR116" t="str">
        <f>""</f>
        <v/>
      </c>
      <c r="DS116" t="str">
        <f>""</f>
        <v/>
      </c>
      <c r="DT116" t="str">
        <f>""</f>
        <v/>
      </c>
      <c r="DU116" t="str">
        <f>""</f>
        <v/>
      </c>
    </row>
    <row r="117" spans="1:125" x14ac:dyDescent="0.25">
      <c r="A117" t="str">
        <f>"-- Commercial Loans"</f>
        <v>-- Commercial Loans</v>
      </c>
      <c r="B117" t="str">
        <f>""</f>
        <v/>
      </c>
      <c r="E117" t="str">
        <f>"Sum"</f>
        <v>Sum</v>
      </c>
      <c r="F117">
        <f ca="1">IF(ISERROR(IF(SUM($F$118:$F$154) = 0, "", SUM($F$118:$F$154))), "", (IF(SUM($F$118:$F$154) = 0, "", SUM($F$118:$F$154))))</f>
        <v>2128197.8813199997</v>
      </c>
      <c r="G117">
        <f ca="1">IF(ISERROR(IF(SUM($G$118:$G$154) = 0, "", SUM($G$118:$G$154))), "", (IF(SUM($G$118:$G$154) = 0, "", SUM($G$118:$G$154))))</f>
        <v>1387854.05904</v>
      </c>
      <c r="H117">
        <f ca="1">IF(ISERROR(IF(SUM($H$118:$H$154) = 0, "", SUM($H$118:$H$154))), "", (IF(SUM($H$118:$H$154) = 0, "", SUM($H$118:$H$154))))</f>
        <v>2240600.06917</v>
      </c>
      <c r="I117">
        <f ca="1">IF(ISERROR(IF(SUM($I$118:$I$154) = 0, "", SUM($I$118:$I$154))), "", (IF(SUM($I$118:$I$154) = 0, "", SUM($I$118:$I$154))))</f>
        <v>1328039.6100699999</v>
      </c>
      <c r="J117">
        <f ca="1">IF(ISERROR(IF(SUM($J$118:$J$154) = 0, "", SUM($J$118:$J$154))), "", (IF(SUM($J$118:$J$154) = 0, "", SUM($J$118:$J$154))))</f>
        <v>2224986.9406099999</v>
      </c>
      <c r="K117">
        <f ca="1">IF(ISERROR(IF(SUM($K$118:$K$154) = 0, "", SUM($K$118:$K$154))), "", (IF(SUM($K$118:$K$154) = 0, "", SUM($K$118:$K$154))))</f>
        <v>1388730.1836699999</v>
      </c>
      <c r="L117">
        <f ca="1">IF(ISERROR(IF(SUM($L$118:$L$154) = 0, "", SUM($L$118:$L$154))), "", (IF(SUM($L$118:$L$154) = 0, "", SUM($L$118:$L$154))))</f>
        <v>2059898.0449300001</v>
      </c>
      <c r="M117">
        <f ca="1">IF(ISERROR(IF(SUM($M$118:$M$154) = 0, "", SUM($M$118:$M$154))), "", (IF(SUM($M$118:$M$154) = 0, "", SUM($M$118:$M$154))))</f>
        <v>1367700.4150400001</v>
      </c>
      <c r="N117">
        <f ca="1">IF(ISERROR(IF(SUM($N$118:$N$154) = 0, "", SUM($N$118:$N$154))), "", (IF(SUM($N$118:$N$154) = 0, "", SUM($N$118:$N$154))))</f>
        <v>2459838.5158299999</v>
      </c>
      <c r="O117">
        <f ca="1">IF(ISERROR(IF(SUM($O$118:$O$154) = 0, "", SUM($O$118:$O$154))), "", (IF(SUM($O$118:$O$154) = 0, "", SUM($O$118:$O$154))))</f>
        <v>1330434.5591500001</v>
      </c>
      <c r="P117">
        <f ca="1">IF(ISERROR(IF(SUM($P$118:$P$154) = 0, "", SUM($P$118:$P$154))), "", (IF(SUM($P$118:$P$154) = 0, "", SUM($P$118:$P$154))))</f>
        <v>2215933.15649</v>
      </c>
      <c r="Q117">
        <f ca="1">IF(ISERROR(IF(SUM($Q$118:$Q$154) = 0, "", SUM($Q$118:$Q$154))), "", (IF(SUM($Q$118:$Q$154) = 0, "", SUM($Q$118:$Q$154))))</f>
        <v>933613.27653000003</v>
      </c>
      <c r="R117">
        <f ca="1">IF(ISERROR(IF(SUM($R$118:$R$154) = 0, "", SUM($R$118:$R$154))), "", (IF(SUM($R$118:$R$154) = 0, "", SUM($R$118:$R$154))))</f>
        <v>2375630.1946399999</v>
      </c>
      <c r="S117">
        <f ca="1">IF(ISERROR(IF(SUM($S$118:$S$154) = 0, "", SUM($S$118:$S$154))), "", (IF(SUM($S$118:$S$154) = 0, "", SUM($S$118:$S$154))))</f>
        <v>1614642.91438</v>
      </c>
      <c r="T117">
        <f ca="1">IF(ISERROR(IF(SUM($T$118:$T$154) = 0, "", SUM($T$118:$T$154))), "", (IF(SUM($T$118:$T$154) = 0, "", SUM($T$118:$T$154))))</f>
        <v>2012635.1628000003</v>
      </c>
      <c r="U117">
        <f ca="1">IF(ISERROR(IF(SUM($U$118:$U$154) = 0, "", SUM($U$118:$U$154))), "", (IF(SUM($U$118:$U$154) = 0, "", SUM($U$118:$U$154))))</f>
        <v>1434400.8976999999</v>
      </c>
      <c r="V117">
        <f ca="1">IF(ISERROR(IF(SUM($V$118:$V$154) = 0, "", SUM($V$118:$V$154))), "", (IF(SUM($V$118:$V$154) = 0, "", SUM($V$118:$V$154))))</f>
        <v>2212599.9868499995</v>
      </c>
      <c r="W117">
        <f ca="1">IF(ISERROR(IF(SUM($W$118:$W$154) = 0, "", SUM($W$118:$W$154))), "", (IF(SUM($W$118:$W$154) = 0, "", SUM($W$118:$W$154))))</f>
        <v>1702427.4498500002</v>
      </c>
      <c r="X117">
        <f ca="1">IF(ISERROR(IF(SUM($X$118:$X$154) = 0, "", SUM($X$118:$X$154))), "", (IF(SUM($X$118:$X$154) = 0, "", SUM($X$118:$X$154))))</f>
        <v>2068552.5394299999</v>
      </c>
      <c r="Y117">
        <f ca="1">IF(ISERROR(IF(SUM($Y$118:$Y$154) = 0, "", SUM($Y$118:$Y$154))), "", (IF(SUM($Y$118:$Y$154) = 0, "", SUM($Y$118:$Y$154))))</f>
        <v>1662757.8847700001</v>
      </c>
      <c r="Z117">
        <f ca="1">IF(ISERROR(IF(SUM($Z$118:$Z$154) = 0, "", SUM($Z$118:$Z$154))), "", (IF(SUM($Z$118:$Z$154) = 0, "", SUM($Z$118:$Z$154))))</f>
        <v>2231191.1225399999</v>
      </c>
      <c r="AA117">
        <f ca="1">IF(ISERROR(IF(SUM($AA$118:$AA$154) = 0, "", SUM($AA$118:$AA$154))), "", (IF(SUM($AA$118:$AA$154) = 0, "", SUM($AA$118:$AA$154))))</f>
        <v>1754413.8587900002</v>
      </c>
      <c r="AB117">
        <f ca="1">IF(ISERROR(IF(SUM($AB$118:$AB$154) = 0, "", SUM($AB$118:$AB$154))), "", (IF(SUM($AB$118:$AB$154) = 0, "", SUM($AB$118:$AB$154))))</f>
        <v>2003858.1659799998</v>
      </c>
      <c r="AC117">
        <f ca="1">IF(ISERROR(IF(SUM($AC$118:$AC$154) = 0, "", SUM($AC$118:$AC$154))), "", (IF(SUM($AC$118:$AC$154) = 0, "", SUM($AC$118:$AC$154))))</f>
        <v>1542721.1634300002</v>
      </c>
      <c r="AD117">
        <f ca="1">IF(ISERROR(IF(SUM($AD$118:$AD$154) = 0, "", SUM($AD$118:$AD$154))), "", (IF(SUM($AD$118:$AD$154) = 0, "", SUM($AD$118:$AD$154))))</f>
        <v>2233650.8851900003</v>
      </c>
      <c r="AE117">
        <f ca="1">IF(ISERROR(IF(SUM($AE$118:$AE$154) = 0, "", SUM($AE$118:$AE$154))), "", (IF(SUM($AE$118:$AE$154) = 0, "", SUM($AE$118:$AE$154))))</f>
        <v>1670944.8781900001</v>
      </c>
      <c r="AF117">
        <f ca="1">IF(ISERROR(IF(SUM($AF$118:$AF$154) = 0, "", SUM($AF$118:$AF$154))), "", (IF(SUM($AF$118:$AF$154) = 0, "", SUM($AF$118:$AF$154))))</f>
        <v>1956550.2757900001</v>
      </c>
      <c r="AG117">
        <f ca="1">IF(ISERROR(IF(SUM($AG$118:$AG$154) = 0, "", SUM($AG$118:$AG$154))), "", (IF(SUM($AG$118:$AG$154) = 0, "", SUM($AG$118:$AG$154))))</f>
        <v>1431565.8244699999</v>
      </c>
      <c r="AH117">
        <f ca="1">IF(ISERROR(IF(SUM($AH$118:$AH$154) = 0, "", SUM($AH$118:$AH$154))), "", (IF(SUM($AH$118:$AH$154) = 0, "", SUM($AH$118:$AH$154))))</f>
        <v>2190657.4012799999</v>
      </c>
      <c r="AI117">
        <f ca="1">IF(ISERROR(IF(SUM($AI$118:$AI$154) = 0, "", SUM($AI$118:$AI$154))), "", (IF(SUM($AI$118:$AI$154) = 0, "", SUM($AI$118:$AI$154))))</f>
        <v>1329609.6042899999</v>
      </c>
      <c r="AJ117">
        <f ca="1">IF(ISERROR(IF(SUM($AJ$118:$AJ$154) = 0, "", SUM($AJ$118:$AJ$154))), "", (IF(SUM($AJ$118:$AJ$154) = 0, "", SUM($AJ$118:$AJ$154))))</f>
        <v>2121855.5662199999</v>
      </c>
      <c r="AK117">
        <f ca="1">IF(ISERROR(IF(SUM($AK$118:$AK$154) = 0, "", SUM($AK$118:$AK$154))), "", (IF(SUM($AK$118:$AK$154) = 0, "", SUM($AK$118:$AK$154))))</f>
        <v>1346338.6885899999</v>
      </c>
      <c r="AL117">
        <f ca="1">IF(ISERROR(IF(SUM($AL$118:$AL$154) = 0, "", SUM($AL$118:$AL$154))), "", (IF(SUM($AL$118:$AL$154) = 0, "", SUM($AL$118:$AL$154))))</f>
        <v>2069092.4901200004</v>
      </c>
      <c r="AM117">
        <f ca="1">IF(ISERROR(IF(SUM($AM$118:$AM$154) = 0, "", SUM($AM$118:$AM$154))), "", (IF(SUM($AM$118:$AM$154) = 0, "", SUM($AM$118:$AM$154))))</f>
        <v>1290752.7841099999</v>
      </c>
      <c r="AN117">
        <f ca="1">IF(ISERROR(IF(SUM($AN$118:$AN$154) = 0, "", SUM($AN$118:$AN$154))), "", (IF(SUM($AN$118:$AN$154) = 0, "", SUM($AN$118:$AN$154))))</f>
        <v>1901717.4876999999</v>
      </c>
      <c r="AO117">
        <f ca="1">IF(ISERROR(IF(SUM($AO$118:$AO$154) = 0, "", SUM($AO$118:$AO$154))), "", (IF(SUM($AO$118:$AO$154) = 0, "", SUM($AO$118:$AO$154))))</f>
        <v>1265526.89429</v>
      </c>
      <c r="AP117">
        <f ca="1">IF(ISERROR(IF(SUM($AP$118:$AP$154) = 0, "", SUM($AP$118:$AP$154))), "", (IF(SUM($AP$118:$AP$154) = 0, "", SUM($AP$118:$AP$154))))</f>
        <v>2159258.2927620001</v>
      </c>
      <c r="AQ117">
        <f ca="1">IF(ISERROR(IF(SUM($AQ$118:$AQ$154) = 0, "", SUM($AQ$118:$AQ$154))), "", (IF(SUM($AQ$118:$AQ$154) = 0, "", SUM($AQ$118:$AQ$154))))</f>
        <v>1316538.1887999999</v>
      </c>
      <c r="AR117">
        <f ca="1">IF(ISERROR(IF(SUM($AR$118:$AR$154) = 0, "", SUM($AR$118:$AR$154))), "", (IF(SUM($AR$118:$AR$154) = 0, "", SUM($AR$118:$AR$154))))</f>
        <v>1592258.4598639999</v>
      </c>
      <c r="AS117">
        <f ca="1">IF(ISERROR(IF(SUM($AS$118:$AS$154) = 0, "", SUM($AS$118:$AS$154))), "", (IF(SUM($AS$118:$AS$154) = 0, "", SUM($AS$118:$AS$154))))</f>
        <v>1254524.2393799999</v>
      </c>
      <c r="AT117">
        <f ca="1">IF(ISERROR(IF(SUM($AT$118:$AT$154) = 0, "", SUM($AT$118:$AT$154))), "", (IF(SUM($AT$118:$AT$154) = 0, "", SUM($AT$118:$AT$154))))</f>
        <v>2073590.2380269999</v>
      </c>
      <c r="AU117">
        <f ca="1">IF(ISERROR(IF(SUM($AU$118:$AU$154) = 0, "", SUM($AU$118:$AU$154))), "", (IF(SUM($AU$118:$AU$154) = 0, "", SUM($AU$118:$AU$154))))</f>
        <v>1101450.8118099999</v>
      </c>
      <c r="AV117">
        <f ca="1">IF(ISERROR(IF(SUM($AV$118:$AV$154) = 0, "", SUM($AV$118:$AV$154))), "", (IF(SUM($AV$118:$AV$154) = 0, "", SUM($AV$118:$AV$154))))</f>
        <v>1324409.5603200002</v>
      </c>
      <c r="AW117">
        <f ca="1">IF(ISERROR(IF(SUM($AW$118:$AW$154) = 0, "", SUM($AW$118:$AW$154))), "", (IF(SUM($AW$118:$AW$154) = 0, "", SUM($AW$118:$AW$154))))</f>
        <v>1025986.0913190001</v>
      </c>
      <c r="AX117">
        <f ca="1">IF(ISERROR(IF(SUM($AX$118:$AX$154) = 0, "", SUM($AX$118:$AX$154))), "", (IF(SUM($AX$118:$AX$154) = 0, "", SUM($AX$118:$AX$154))))</f>
        <v>2183745.5428979998</v>
      </c>
      <c r="AY117">
        <f ca="1">IF(ISERROR(IF(SUM($AY$118:$AY$154) = 0, "", SUM($AY$118:$AY$154))), "", (IF(SUM($AY$118:$AY$154) = 0, "", SUM($AY$118:$AY$154))))</f>
        <v>1193540.2482100001</v>
      </c>
      <c r="AZ117">
        <f ca="1">IF(ISERROR(IF(SUM($AZ$118:$AZ$154) = 0, "", SUM($AZ$118:$AZ$154))), "", (IF(SUM($AZ$118:$AZ$154) = 0, "", SUM($AZ$118:$AZ$154))))</f>
        <v>1463649.5451799999</v>
      </c>
      <c r="BA117">
        <f ca="1">IF(ISERROR(IF(SUM($BA$118:$BA$154) = 0, "", SUM($BA$118:$BA$154))), "", (IF(SUM($BA$118:$BA$154) = 0, "", SUM($BA$118:$BA$154))))</f>
        <v>1150842.70744</v>
      </c>
      <c r="BB117">
        <f ca="1">IF(ISERROR(IF(SUM($BB$118:$BB$154) = 0, "", SUM($BB$118:$BB$154))), "", (IF(SUM($BB$118:$BB$154) = 0, "", SUM($BB$118:$BB$154))))</f>
        <v>1932475.291408</v>
      </c>
      <c r="BC117">
        <f ca="1">IF(ISERROR(IF(SUM($BC$118:$BC$154) = 0, "", SUM($BC$118:$BC$154))), "", (IF(SUM($BC$118:$BC$154) = 0, "", SUM($BC$118:$BC$154))))</f>
        <v>905342.45244000002</v>
      </c>
      <c r="BD117">
        <f ca="1">IF(ISERROR(IF(SUM($BD$118:$BD$154) = 0, "", SUM($BD$118:$BD$154))), "", (IF(SUM($BD$118:$BD$154) = 0, "", SUM($BD$118:$BD$154))))</f>
        <v>1118746.9648500001</v>
      </c>
      <c r="BE117">
        <f ca="1">IF(ISERROR(IF(SUM($BE$118:$BE$154) = 0, "", SUM($BE$118:$BE$154))), "", (IF(SUM($BE$118:$BE$154) = 0, "", SUM($BE$118:$BE$154))))</f>
        <v>1171060.4010599998</v>
      </c>
      <c r="BF117">
        <f ca="1">IF(ISERROR(IF(SUM($BF$118:$BF$154) = 0, "", SUM($BF$118:$BF$154))), "", (IF(SUM($BF$118:$BF$154) = 0, "", SUM($BF$118:$BF$154))))</f>
        <v>2409755.52679</v>
      </c>
      <c r="BG117">
        <f ca="1">IF(ISERROR(IF(SUM($BG$118:$BG$154) = 0, "", SUM($BG$118:$BG$154))), "", (IF(SUM($BG$118:$BG$154) = 0, "", SUM($BG$118:$BG$154))))</f>
        <v>1148032.1792000001</v>
      </c>
      <c r="BH117">
        <f ca="1">IF(ISERROR(IF(SUM($BH$118:$BH$154) = 0, "", SUM($BH$118:$BH$154))), "", (IF(SUM($BH$118:$BH$154) = 0, "", SUM($BH$118:$BH$154))))</f>
        <v>1472395.1403999999</v>
      </c>
      <c r="BI117">
        <f ca="1">IF(ISERROR(IF(SUM($BI$118:$BI$154) = 0, "", SUM($BI$118:$BI$154))), "", (IF(SUM($BI$118:$BI$154) = 0, "", SUM($BI$118:$BI$154))))</f>
        <v>1065567.1007000001</v>
      </c>
      <c r="BJ117">
        <f ca="1">IF(ISERROR(IF(SUM($BJ$118:$BJ$154) = 0, "", SUM($BJ$118:$BJ$154))), "", (IF(SUM($BJ$118:$BJ$154) = 0, "", SUM($BJ$118:$BJ$154))))</f>
        <v>2285353.8106300002</v>
      </c>
      <c r="BK117">
        <f ca="1">IF(ISERROR(IF(SUM($BK$118:$BK$154) = 0, "", SUM($BK$118:$BK$154))), "", (IF(SUM($BK$118:$BK$154) = 0, "", SUM($BK$118:$BK$154))))</f>
        <v>747540.22250000003</v>
      </c>
      <c r="BL117">
        <f ca="1">IF(ISERROR(IF(SUM($BL$118:$BL$154) = 0, "", SUM($BL$118:$BL$154))), "", (IF(SUM($BL$118:$BL$154) = 0, "", SUM($BL$118:$BL$154))))</f>
        <v>1219871.9674</v>
      </c>
      <c r="BM117">
        <f ca="1">IF(ISERROR(IF(SUM($BM$118:$BM$154) = 0, "", SUM($BM$118:$BM$154))), "", (IF(SUM($BM$118:$BM$154) = 0, "", SUM($BM$118:$BM$154))))</f>
        <v>29047.432000000001</v>
      </c>
      <c r="BN117">
        <f>2128197.881</f>
        <v>2128197.8810000001</v>
      </c>
      <c r="BO117">
        <f>1387854.059</f>
        <v>1387854.0589999999</v>
      </c>
      <c r="BP117">
        <f>2240600.069</f>
        <v>2240600.0690000001</v>
      </c>
      <c r="BQ117">
        <f>1328039.61</f>
        <v>1328039.6100000001</v>
      </c>
      <c r="BR117">
        <f>2224986.941</f>
        <v>2224986.9410000001</v>
      </c>
      <c r="BS117">
        <f>1388730.184</f>
        <v>1388730.1839999999</v>
      </c>
      <c r="BT117">
        <f>2059898.045</f>
        <v>2059898.0449999999</v>
      </c>
      <c r="BU117">
        <f>1367700.415</f>
        <v>1367700.415</v>
      </c>
      <c r="BV117">
        <f>2459838.516</f>
        <v>2459838.5159999998</v>
      </c>
      <c r="BW117">
        <f>1330434.559</f>
        <v>1330434.5589999999</v>
      </c>
      <c r="BX117">
        <f>2215933.156</f>
        <v>2215933.156</v>
      </c>
      <c r="BY117">
        <f>933613.2765</f>
        <v>933613.27650000004</v>
      </c>
      <c r="BZ117">
        <f>2375630.195</f>
        <v>2375630.1949999998</v>
      </c>
      <c r="CA117">
        <f>1614642.914</f>
        <v>1614642.9140000001</v>
      </c>
      <c r="CB117">
        <f>2012635.163</f>
        <v>2012635.1629999999</v>
      </c>
      <c r="CC117">
        <f>1434400.898</f>
        <v>1434400.898</v>
      </c>
      <c r="CD117">
        <f>2212599.987</f>
        <v>2212599.9870000002</v>
      </c>
      <c r="CE117">
        <f>1702427.45</f>
        <v>1702427.45</v>
      </c>
      <c r="CF117">
        <f>2068552.539</f>
        <v>2068552.5390000001</v>
      </c>
      <c r="CG117">
        <f>1662757.885</f>
        <v>1662757.885</v>
      </c>
      <c r="CH117">
        <f>2231191.123</f>
        <v>2231191.1230000001</v>
      </c>
      <c r="CI117">
        <f>1754413.859</f>
        <v>1754413.8589999999</v>
      </c>
      <c r="CJ117">
        <f>2003858.166</f>
        <v>2003858.166</v>
      </c>
      <c r="CK117">
        <f>1542721.163</f>
        <v>1542721.1629999999</v>
      </c>
      <c r="CL117">
        <f>2233650.885</f>
        <v>2233650.8849999998</v>
      </c>
      <c r="CM117">
        <f>1670944.878</f>
        <v>1670944.878</v>
      </c>
      <c r="CN117">
        <f>1956550.276</f>
        <v>1956550.2760000001</v>
      </c>
      <c r="CO117">
        <f>1431565.825</f>
        <v>1431565.825</v>
      </c>
      <c r="CP117">
        <f>2190657.401</f>
        <v>2190657.4010000001</v>
      </c>
      <c r="CQ117">
        <f>1329609.604</f>
        <v>1329609.6040000001</v>
      </c>
      <c r="CR117">
        <f>2121855.566</f>
        <v>2121855.5660000001</v>
      </c>
      <c r="CS117">
        <f>1346338.689</f>
        <v>1346338.689</v>
      </c>
      <c r="CT117">
        <f>2069092.49</f>
        <v>2069092.49</v>
      </c>
      <c r="CU117">
        <f>1290752.784</f>
        <v>1290752.784</v>
      </c>
      <c r="CV117">
        <f>1901717.488</f>
        <v>1901717.4879999999</v>
      </c>
      <c r="CW117">
        <f>1265526.894</f>
        <v>1265526.8940000001</v>
      </c>
      <c r="CX117">
        <f>2159258.293</f>
        <v>2159258.2930000001</v>
      </c>
      <c r="CY117">
        <f>1316538.189</f>
        <v>1316538.189</v>
      </c>
      <c r="CZ117">
        <f>1592258.46</f>
        <v>1592258.46</v>
      </c>
      <c r="DA117">
        <f>1254524.239</f>
        <v>1254524.2390000001</v>
      </c>
      <c r="DB117">
        <f>2073590.238</f>
        <v>2073590.2379999999</v>
      </c>
      <c r="DC117">
        <f>1101450.812</f>
        <v>1101450.8119999999</v>
      </c>
      <c r="DD117">
        <f>1324409.56</f>
        <v>1324409.56</v>
      </c>
      <c r="DE117">
        <f>1025986.091</f>
        <v>1025986.091</v>
      </c>
      <c r="DF117">
        <f>2183745.543</f>
        <v>2183745.5430000001</v>
      </c>
      <c r="DG117">
        <f>1193540.248</f>
        <v>1193540.2479999999</v>
      </c>
      <c r="DH117">
        <f>1463649.545</f>
        <v>1463649.5449999999</v>
      </c>
      <c r="DI117">
        <f>1150842.707</f>
        <v>1150842.7069999999</v>
      </c>
      <c r="DJ117">
        <f>1932475.291</f>
        <v>1932475.291</v>
      </c>
      <c r="DK117">
        <f>905342.4524</f>
        <v>905342.45239999995</v>
      </c>
      <c r="DL117">
        <f>1118746.965</f>
        <v>1118746.9650000001</v>
      </c>
      <c r="DM117">
        <f>1171060.401</f>
        <v>1171060.4010000001</v>
      </c>
      <c r="DN117">
        <f>2409755.527</f>
        <v>2409755.5269999998</v>
      </c>
      <c r="DO117">
        <f>1148032.179</f>
        <v>1148032.179</v>
      </c>
      <c r="DP117">
        <f>1472395.14</f>
        <v>1472395.14</v>
      </c>
      <c r="DQ117">
        <f>1065567.101</f>
        <v>1065567.101</v>
      </c>
      <c r="DR117">
        <f>2285353.811</f>
        <v>2285353.8110000002</v>
      </c>
      <c r="DS117">
        <f>747540.2225</f>
        <v>747540.22250000003</v>
      </c>
      <c r="DT117">
        <f>1219871.967</f>
        <v>1219871.9669999999</v>
      </c>
      <c r="DU117">
        <f>29047.432</f>
        <v>29047.432000000001</v>
      </c>
    </row>
    <row r="118" spans="1:125" x14ac:dyDescent="0.25">
      <c r="A118" t="str">
        <f>"    ABN AMRO Bank NV"</f>
        <v xml:space="preserve">    ABN AMRO Bank NV</v>
      </c>
      <c r="B118" t="str">
        <f>"ABN NA Equity"</f>
        <v>ABN NA Equity</v>
      </c>
      <c r="C118" t="str">
        <f t="shared" ref="C118:C154" si="9">"BS016"</f>
        <v>BS016</v>
      </c>
      <c r="D118" t="str">
        <f t="shared" ref="D118:D154" si="10">"BS_COMM_LOAN"</f>
        <v>BS_COMM_LOAN</v>
      </c>
      <c r="E118" t="str">
        <f t="shared" ref="E118:E154" si="11">"Dynamic"</f>
        <v>Dynamic</v>
      </c>
      <c r="F118">
        <f ca="1">IF(AND(ISNUMBER($F$321),$B$208=1),$F$321,HLOOKUP(INDIRECT(ADDRESS(2,COLUMN())),OFFSET($BN$2,0,0,ROW()-1,60),ROW()-1,FALSE))</f>
        <v>90346</v>
      </c>
      <c r="G118">
        <f ca="1">IF(AND(ISNUMBER($G$321),$B$208=1),$G$321,HLOOKUP(INDIRECT(ADDRESS(2,COLUMN())),OFFSET($BN$2,0,0,ROW()-1,60),ROW()-1,FALSE))</f>
        <v>102439</v>
      </c>
      <c r="H118">
        <f ca="1">IF(AND(ISNUMBER($H$321),$B$208=1),$H$321,HLOOKUP(INDIRECT(ADDRESS(2,COLUMN())),OFFSET($BN$2,0,0,ROW()-1,60),ROW()-1,FALSE))</f>
        <v>97610</v>
      </c>
      <c r="I118">
        <f ca="1">IF(AND(ISNUMBER($I$321),$B$208=1),$I$321,HLOOKUP(INDIRECT(ADDRESS(2,COLUMN())),OFFSET($BN$2,0,0,ROW()-1,60),ROW()-1,FALSE))</f>
        <v>99434</v>
      </c>
      <c r="J118">
        <f ca="1">IF(AND(ISNUMBER($J$321),$B$208=1),$J$321,HLOOKUP(INDIRECT(ADDRESS(2,COLUMN())),OFFSET($BN$2,0,0,ROW()-1,60),ROW()-1,FALSE))</f>
        <v>93340</v>
      </c>
      <c r="K118">
        <f ca="1">IF(AND(ISNUMBER($K$321),$B$208=1),$K$321,HLOOKUP(INDIRECT(ADDRESS(2,COLUMN())),OFFSET($BN$2,0,0,ROW()-1,60),ROW()-1,FALSE))</f>
        <v>97892</v>
      </c>
      <c r="L118">
        <f ca="1">IF(AND(ISNUMBER($L$321),$B$208=1),$L$321,HLOOKUP(INDIRECT(ADDRESS(2,COLUMN())),OFFSET($BN$2,0,0,ROW()-1,60),ROW()-1,FALSE))</f>
        <v>98152</v>
      </c>
      <c r="M118">
        <f ca="1">IF(AND(ISNUMBER($M$321),$B$208=1),$M$321,HLOOKUP(INDIRECT(ADDRESS(2,COLUMN())),OFFSET($BN$2,0,0,ROW()-1,60),ROW()-1,FALSE))</f>
        <v>99086</v>
      </c>
      <c r="N118">
        <f ca="1">IF(AND(ISNUMBER($N$321),$B$208=1),$N$321,HLOOKUP(INDIRECT(ADDRESS(2,COLUMN())),OFFSET($BN$2,0,0,ROW()-1,60),ROW()-1,FALSE))</f>
        <v>94295</v>
      </c>
      <c r="O118">
        <f ca="1">IF(AND(ISNUMBER($O$321),$B$208=1),$O$321,HLOOKUP(INDIRECT(ADDRESS(2,COLUMN())),OFFSET($BN$2,0,0,ROW()-1,60),ROW()-1,FALSE))</f>
        <v>111601</v>
      </c>
      <c r="P118">
        <f ca="1">IF(AND(ISNUMBER($P$321),$B$208=1),$P$321,HLOOKUP(INDIRECT(ADDRESS(2,COLUMN())),OFFSET($BN$2,0,0,ROW()-1,60),ROW()-1,FALSE))</f>
        <v>108321</v>
      </c>
      <c r="Q118">
        <f ca="1">IF(AND(ISNUMBER($Q$321),$B$208=1),$Q$321,HLOOKUP(INDIRECT(ADDRESS(2,COLUMN())),OFFSET($BN$2,0,0,ROW()-1,60),ROW()-1,FALSE))</f>
        <v>104861</v>
      </c>
      <c r="R118">
        <f ca="1">IF(AND(ISNUMBER($R$321),$B$208=1),$R$321,HLOOKUP(INDIRECT(ADDRESS(2,COLUMN())),OFFSET($BN$2,0,0,ROW()-1,60),ROW()-1,FALSE))</f>
        <v>101570</v>
      </c>
      <c r="S118">
        <f ca="1">IF(AND(ISNUMBER($S$321),$B$208=1),$S$321,HLOOKUP(INDIRECT(ADDRESS(2,COLUMN())),OFFSET($BN$2,0,0,ROW()-1,60),ROW()-1,FALSE))</f>
        <v>96390</v>
      </c>
      <c r="T118">
        <f ca="1">IF(AND(ISNUMBER($T$321),$B$208=1),$T$321,HLOOKUP(INDIRECT(ADDRESS(2,COLUMN())),OFFSET($BN$2,0,0,ROW()-1,60),ROW()-1,FALSE))</f>
        <v>88958</v>
      </c>
      <c r="U118">
        <f ca="1">IF(AND(ISNUMBER($U$321),$B$208=1),$U$321,HLOOKUP(INDIRECT(ADDRESS(2,COLUMN())),OFFSET($BN$2,0,0,ROW()-1,60),ROW()-1,FALSE))</f>
        <v>94124</v>
      </c>
      <c r="V118">
        <f ca="1">IF(AND(ISNUMBER($V$321),$B$208=1),$V$321,HLOOKUP(INDIRECT(ADDRESS(2,COLUMN())),OFFSET($BN$2,0,0,ROW()-1,60),ROW()-1,FALSE))</f>
        <v>94884</v>
      </c>
      <c r="W118">
        <f ca="1">IF(AND(ISNUMBER($W$321),$B$208=1),$W$321,HLOOKUP(INDIRECT(ADDRESS(2,COLUMN())),OFFSET($BN$2,0,0,ROW()-1,60),ROW()-1,FALSE))</f>
        <v>102841</v>
      </c>
      <c r="X118">
        <f ca="1">IF(AND(ISNUMBER($X$321),$B$208=1),$X$321,HLOOKUP(INDIRECT(ADDRESS(2,COLUMN())),OFFSET($BN$2,0,0,ROW()-1,60),ROW()-1,FALSE))</f>
        <v>99519</v>
      </c>
      <c r="Y118">
        <f ca="1">IF(AND(ISNUMBER($Y$321),$B$208=1),$Y$321,HLOOKUP(INDIRECT(ADDRESS(2,COLUMN())),OFFSET($BN$2,0,0,ROW()-1,60),ROW()-1,FALSE))</f>
        <v>118264</v>
      </c>
      <c r="Z118">
        <f ca="1">IF(AND(ISNUMBER($Z$321),$B$208=1),$Z$321,HLOOKUP(INDIRECT(ADDRESS(2,COLUMN())),OFFSET($BN$2,0,0,ROW()-1,60),ROW()-1,FALSE))</f>
        <v>106666</v>
      </c>
      <c r="AA118">
        <f ca="1">IF(AND(ISNUMBER($AA$321),$B$208=1),$AA$321,HLOOKUP(INDIRECT(ADDRESS(2,COLUMN())),OFFSET($BN$2,0,0,ROW()-1,60),ROW()-1,FALSE))</f>
        <v>112349</v>
      </c>
      <c r="AB118">
        <f ca="1">IF(AND(ISNUMBER($AB$321),$B$208=1),$AB$321,HLOOKUP(INDIRECT(ADDRESS(2,COLUMN())),OFFSET($BN$2,0,0,ROW()-1,60),ROW()-1,FALSE))</f>
        <v>107702</v>
      </c>
      <c r="AC118">
        <f ca="1">IF(AND(ISNUMBER($AC$321),$B$208=1),$AC$321,HLOOKUP(INDIRECT(ADDRESS(2,COLUMN())),OFFSET($BN$2,0,0,ROW()-1,60),ROW()-1,FALSE))</f>
        <v>115148</v>
      </c>
      <c r="AD118">
        <f ca="1">IF(AND(ISNUMBER($AD$321),$B$208=1),$AD$321,HLOOKUP(INDIRECT(ADDRESS(2,COLUMN())),OFFSET($BN$2,0,0,ROW()-1,60),ROW()-1,FALSE))</f>
        <v>108907</v>
      </c>
      <c r="AE118">
        <f ca="1">IF(AND(ISNUMBER($AE$321),$B$208=1),$AE$321,HLOOKUP(INDIRECT(ADDRESS(2,COLUMN())),OFFSET($BN$2,0,0,ROW()-1,60),ROW()-1,FALSE))</f>
        <v>113820</v>
      </c>
      <c r="AF118">
        <f ca="1">IF(AND(ISNUMBER($AF$321),$B$208=1),$AF$321,HLOOKUP(INDIRECT(ADDRESS(2,COLUMN())),OFFSET($BN$2,0,0,ROW()-1,60),ROW()-1,FALSE))</f>
        <v>109857</v>
      </c>
      <c r="AG118">
        <f ca="1">IF(AND(ISNUMBER($AG$321),$B$208=1),$AG$321,HLOOKUP(INDIRECT(ADDRESS(2,COLUMN())),OFFSET($BN$2,0,0,ROW()-1,60),ROW()-1,FALSE))</f>
        <v>105565</v>
      </c>
      <c r="AH118">
        <f ca="1">IF(AND(ISNUMBER($AH$321),$B$208=1),$AH$321,HLOOKUP(INDIRECT(ADDRESS(2,COLUMN())),OFFSET($BN$2,0,0,ROW()-1,60),ROW()-1,FALSE))</f>
        <v>103138</v>
      </c>
      <c r="AI118">
        <f ca="1">IF(AND(ISNUMBER($AI$321),$B$208=1),$AI$321,HLOOKUP(INDIRECT(ADDRESS(2,COLUMN())),OFFSET($BN$2,0,0,ROW()-1,60),ROW()-1,FALSE))</f>
        <v>99107</v>
      </c>
      <c r="AJ118">
        <f ca="1">IF(AND(ISNUMBER($AJ$321),$B$208=1),$AJ$321,HLOOKUP(INDIRECT(ADDRESS(2,COLUMN())),OFFSET($BN$2,0,0,ROW()-1,60),ROW()-1,FALSE))</f>
        <v>100255</v>
      </c>
      <c r="AK118">
        <f ca="1">IF(AND(ISNUMBER($AK$321),$B$208=1),$AK$321,HLOOKUP(INDIRECT(ADDRESS(2,COLUMN())),OFFSET($BN$2,0,0,ROW()-1,60),ROW()-1,FALSE))</f>
        <v>102362</v>
      </c>
      <c r="AL118">
        <f ca="1">IF(AND(ISNUMBER($AL$321),$B$208=1),$AL$321,HLOOKUP(INDIRECT(ADDRESS(2,COLUMN())),OFFSET($BN$2,0,0,ROW()-1,60),ROW()-1,FALSE))</f>
        <v>99031</v>
      </c>
      <c r="AM118">
        <f ca="1">IF(AND(ISNUMBER($AM$321),$B$208=1),$AM$321,HLOOKUP(INDIRECT(ADDRESS(2,COLUMN())),OFFSET($BN$2,0,0,ROW()-1,60),ROW()-1,FALSE))</f>
        <v>81048</v>
      </c>
      <c r="AN118">
        <f ca="1">IF(AND(ISNUMBER($AN$321),$B$208=1),$AN$321,HLOOKUP(INDIRECT(ADDRESS(2,COLUMN())),OFFSET($BN$2,0,0,ROW()-1,60),ROW()-1,FALSE))</f>
        <v>101915</v>
      </c>
      <c r="AO118">
        <f ca="1">IF(AND(ISNUMBER($AO$321),$B$208=1),$AO$321,HLOOKUP(INDIRECT(ADDRESS(2,COLUMN())),OFFSET($BN$2,0,0,ROW()-1,60),ROW()-1,FALSE))</f>
        <v>92952</v>
      </c>
      <c r="AP118">
        <f ca="1">IF(AND(ISNUMBER($AP$321),$B$208=1),$AP$321,HLOOKUP(INDIRECT(ADDRESS(2,COLUMN())),OFFSET($BN$2,0,0,ROW()-1,60),ROW()-1,FALSE))</f>
        <v>107359</v>
      </c>
      <c r="AQ118">
        <f ca="1">IF(AND(ISNUMBER($AQ$321),$B$208=1),$AQ$321,HLOOKUP(INDIRECT(ADDRESS(2,COLUMN())),OFFSET($BN$2,0,0,ROW()-1,60),ROW()-1,FALSE))</f>
        <v>91558</v>
      </c>
      <c r="AR118">
        <f ca="1">IF(AND(ISNUMBER($AR$321),$B$208=1),$AR$321,HLOOKUP(INDIRECT(ADDRESS(2,COLUMN())),OFFSET($BN$2,0,0,ROW()-1,60),ROW()-1,FALSE))</f>
        <v>95128</v>
      </c>
      <c r="AS118" t="str">
        <f ca="1">IF(AND(ISNUMBER($AS$321),$B$208=1),$AS$321,HLOOKUP(INDIRECT(ADDRESS(2,COLUMN())),OFFSET($BN$2,0,0,ROW()-1,60),ROW()-1,FALSE))</f>
        <v/>
      </c>
      <c r="AT118">
        <f ca="1">IF(AND(ISNUMBER($AT$321),$B$208=1),$AT$321,HLOOKUP(INDIRECT(ADDRESS(2,COLUMN())),OFFSET($BN$2,0,0,ROW()-1,60),ROW()-1,FALSE))</f>
        <v>91305</v>
      </c>
      <c r="AU118">
        <f ca="1">IF(AND(ISNUMBER($AU$321),$B$208=1),$AU$321,HLOOKUP(INDIRECT(ADDRESS(2,COLUMN())),OFFSET($BN$2,0,0,ROW()-1,60),ROW()-1,FALSE))</f>
        <v>81262</v>
      </c>
      <c r="AV118">
        <f ca="1">IF(AND(ISNUMBER($AV$321),$B$208=1),$AV$321,HLOOKUP(INDIRECT(ADDRESS(2,COLUMN())),OFFSET($BN$2,0,0,ROW()-1,60),ROW()-1,FALSE))</f>
        <v>86017</v>
      </c>
      <c r="AW118">
        <f ca="1">IF(AND(ISNUMBER($AW$321),$B$208=1),$AW$321,HLOOKUP(INDIRECT(ADDRESS(2,COLUMN())),OFFSET($BN$2,0,0,ROW()-1,60),ROW()-1,FALSE))</f>
        <v>81684</v>
      </c>
      <c r="AX118">
        <f ca="1">IF(AND(ISNUMBER($AX$321),$B$208=1),$AX$321,HLOOKUP(INDIRECT(ADDRESS(2,COLUMN())),OFFSET($BN$2,0,0,ROW()-1,60),ROW()-1,FALSE))</f>
        <v>88917</v>
      </c>
      <c r="AY118">
        <f ca="1">IF(AND(ISNUMBER($AY$321),$B$208=1),$AY$321,HLOOKUP(INDIRECT(ADDRESS(2,COLUMN())),OFFSET($BN$2,0,0,ROW()-1,60),ROW()-1,FALSE))</f>
        <v>83540</v>
      </c>
      <c r="AZ118">
        <f ca="1">IF(AND(ISNUMBER($AZ$321),$B$208=1),$AZ$321,HLOOKUP(INDIRECT(ADDRESS(2,COLUMN())),OFFSET($BN$2,0,0,ROW()-1,60),ROW()-1,FALSE))</f>
        <v>85357</v>
      </c>
      <c r="BA118">
        <f ca="1">IF(AND(ISNUMBER($BA$321),$B$208=1),$BA$321,HLOOKUP(INDIRECT(ADDRESS(2,COLUMN())),OFFSET($BN$2,0,0,ROW()-1,60),ROW()-1,FALSE))</f>
        <v>115528</v>
      </c>
      <c r="BB118">
        <f ca="1">IF(AND(ISNUMBER($BB$321),$B$208=1),$BB$321,HLOOKUP(INDIRECT(ADDRESS(2,COLUMN())),OFFSET($BN$2,0,0,ROW()-1,60),ROW()-1,FALSE))</f>
        <v>85592</v>
      </c>
      <c r="BC118" t="str">
        <f ca="1">IF(AND(ISNUMBER($BC$321),$B$208=1),$BC$321,HLOOKUP(INDIRECT(ADDRESS(2,COLUMN())),OFFSET($BN$2,0,0,ROW()-1,60),ROW()-1,FALSE))</f>
        <v/>
      </c>
      <c r="BD118" t="str">
        <f ca="1">IF(AND(ISNUMBER($BD$321),$B$208=1),$BD$321,HLOOKUP(INDIRECT(ADDRESS(2,COLUMN())),OFFSET($BN$2,0,0,ROW()-1,60),ROW()-1,FALSE))</f>
        <v/>
      </c>
      <c r="BE118" t="str">
        <f ca="1">IF(AND(ISNUMBER($BE$321),$B$208=1),$BE$321,HLOOKUP(INDIRECT(ADDRESS(2,COLUMN())),OFFSET($BN$2,0,0,ROW()-1,60),ROW()-1,FALSE))</f>
        <v/>
      </c>
      <c r="BF118" t="str">
        <f ca="1">IF(AND(ISNUMBER($BF$321),$B$208=1),$BF$321,HLOOKUP(INDIRECT(ADDRESS(2,COLUMN())),OFFSET($BN$2,0,0,ROW()-1,60),ROW()-1,FALSE))</f>
        <v/>
      </c>
      <c r="BG118" t="str">
        <f ca="1">IF(AND(ISNUMBER($BG$321),$B$208=1),$BG$321,HLOOKUP(INDIRECT(ADDRESS(2,COLUMN())),OFFSET($BN$2,0,0,ROW()-1,60),ROW()-1,FALSE))</f>
        <v/>
      </c>
      <c r="BH118" t="str">
        <f ca="1">IF(AND(ISNUMBER($BH$321),$B$208=1),$BH$321,HLOOKUP(INDIRECT(ADDRESS(2,COLUMN())),OFFSET($BN$2,0,0,ROW()-1,60),ROW()-1,FALSE))</f>
        <v/>
      </c>
      <c r="BI118" t="str">
        <f ca="1">IF(AND(ISNUMBER($BI$321),$B$208=1),$BI$321,HLOOKUP(INDIRECT(ADDRESS(2,COLUMN())),OFFSET($BN$2,0,0,ROW()-1,60),ROW()-1,FALSE))</f>
        <v/>
      </c>
      <c r="BJ118" t="str">
        <f ca="1">IF(AND(ISNUMBER($BJ$321),$B$208=1),$BJ$321,HLOOKUP(INDIRECT(ADDRESS(2,COLUMN())),OFFSET($BN$2,0,0,ROW()-1,60),ROW()-1,FALSE))</f>
        <v/>
      </c>
      <c r="BK118" t="str">
        <f ca="1">IF(AND(ISNUMBER($BK$321),$B$208=1),$BK$321,HLOOKUP(INDIRECT(ADDRESS(2,COLUMN())),OFFSET($BN$2,0,0,ROW()-1,60),ROW()-1,FALSE))</f>
        <v/>
      </c>
      <c r="BL118" t="str">
        <f ca="1">IF(AND(ISNUMBER($BL$321),$B$208=1),$BL$321,HLOOKUP(INDIRECT(ADDRESS(2,COLUMN())),OFFSET($BN$2,0,0,ROW()-1,60),ROW()-1,FALSE))</f>
        <v/>
      </c>
      <c r="BM118" t="str">
        <f ca="1">IF(AND(ISNUMBER($BM$321),$B$208=1),$BM$321,HLOOKUP(INDIRECT(ADDRESS(2,COLUMN())),OFFSET($BN$2,0,0,ROW()-1,60),ROW()-1,FALSE))</f>
        <v/>
      </c>
      <c r="BN118">
        <f>90346</f>
        <v>90346</v>
      </c>
      <c r="BO118">
        <f>102439</f>
        <v>102439</v>
      </c>
      <c r="BP118">
        <f>97610</f>
        <v>97610</v>
      </c>
      <c r="BQ118">
        <f>99434</f>
        <v>99434</v>
      </c>
      <c r="BR118">
        <f>93340</f>
        <v>93340</v>
      </c>
      <c r="BS118">
        <f>97892</f>
        <v>97892</v>
      </c>
      <c r="BT118">
        <f>98152</f>
        <v>98152</v>
      </c>
      <c r="BU118">
        <f>99086</f>
        <v>99086</v>
      </c>
      <c r="BV118">
        <f>94295</f>
        <v>94295</v>
      </c>
      <c r="BW118">
        <f>111601</f>
        <v>111601</v>
      </c>
      <c r="BX118">
        <f>108321</f>
        <v>108321</v>
      </c>
      <c r="BY118">
        <f>104861</f>
        <v>104861</v>
      </c>
      <c r="BZ118">
        <f>101570</f>
        <v>101570</v>
      </c>
      <c r="CA118">
        <f>96390</f>
        <v>96390</v>
      </c>
      <c r="CB118">
        <f>88958</f>
        <v>88958</v>
      </c>
      <c r="CC118">
        <f>94124</f>
        <v>94124</v>
      </c>
      <c r="CD118">
        <f>94884</f>
        <v>94884</v>
      </c>
      <c r="CE118">
        <f>102841</f>
        <v>102841</v>
      </c>
      <c r="CF118">
        <f>99519</f>
        <v>99519</v>
      </c>
      <c r="CG118">
        <f>118264</f>
        <v>118264</v>
      </c>
      <c r="CH118">
        <f>106666</f>
        <v>106666</v>
      </c>
      <c r="CI118">
        <f>112349</f>
        <v>112349</v>
      </c>
      <c r="CJ118">
        <f>107702</f>
        <v>107702</v>
      </c>
      <c r="CK118">
        <f>115148</f>
        <v>115148</v>
      </c>
      <c r="CL118">
        <f>108907</f>
        <v>108907</v>
      </c>
      <c r="CM118">
        <f>113820</f>
        <v>113820</v>
      </c>
      <c r="CN118">
        <f>109857</f>
        <v>109857</v>
      </c>
      <c r="CO118">
        <f>105565</f>
        <v>105565</v>
      </c>
      <c r="CP118">
        <f>103138</f>
        <v>103138</v>
      </c>
      <c r="CQ118">
        <f>99107</f>
        <v>99107</v>
      </c>
      <c r="CR118">
        <f>100255</f>
        <v>100255</v>
      </c>
      <c r="CS118">
        <f>102362</f>
        <v>102362</v>
      </c>
      <c r="CT118">
        <f>99031</f>
        <v>99031</v>
      </c>
      <c r="CU118">
        <f>81048</f>
        <v>81048</v>
      </c>
      <c r="CV118">
        <f>101915</f>
        <v>101915</v>
      </c>
      <c r="CW118">
        <f>92952</f>
        <v>92952</v>
      </c>
      <c r="CX118">
        <f>107359</f>
        <v>107359</v>
      </c>
      <c r="CY118">
        <f>91558</f>
        <v>91558</v>
      </c>
      <c r="CZ118">
        <f>95128</f>
        <v>95128</v>
      </c>
      <c r="DA118" t="str">
        <f>""</f>
        <v/>
      </c>
      <c r="DB118">
        <f>91305</f>
        <v>91305</v>
      </c>
      <c r="DC118">
        <f>81262</f>
        <v>81262</v>
      </c>
      <c r="DD118">
        <f>86017</f>
        <v>86017</v>
      </c>
      <c r="DE118">
        <f>81684</f>
        <v>81684</v>
      </c>
      <c r="DF118">
        <f>88917</f>
        <v>88917</v>
      </c>
      <c r="DG118">
        <f>83540</f>
        <v>83540</v>
      </c>
      <c r="DH118">
        <f>85357</f>
        <v>85357</v>
      </c>
      <c r="DI118">
        <f>115528</f>
        <v>115528</v>
      </c>
      <c r="DJ118">
        <f>85592</f>
        <v>85592</v>
      </c>
      <c r="DK118" t="str">
        <f>""</f>
        <v/>
      </c>
      <c r="DL118" t="str">
        <f>""</f>
        <v/>
      </c>
      <c r="DM118" t="str">
        <f>""</f>
        <v/>
      </c>
      <c r="DN118" t="str">
        <f>""</f>
        <v/>
      </c>
      <c r="DO118" t="str">
        <f>""</f>
        <v/>
      </c>
      <c r="DP118" t="str">
        <f>""</f>
        <v/>
      </c>
      <c r="DQ118" t="str">
        <f>""</f>
        <v/>
      </c>
      <c r="DR118" t="str">
        <f>""</f>
        <v/>
      </c>
      <c r="DS118" t="str">
        <f>""</f>
        <v/>
      </c>
      <c r="DT118" t="str">
        <f>""</f>
        <v/>
      </c>
      <c r="DU118" t="str">
        <f>""</f>
        <v/>
      </c>
    </row>
    <row r="119" spans="1:125" x14ac:dyDescent="0.25">
      <c r="A119" t="str">
        <f>"    AIB Group PLC"</f>
        <v xml:space="preserve">    AIB Group PLC</v>
      </c>
      <c r="B119" t="str">
        <f>"AIBG ID Equity"</f>
        <v>AIBG ID Equity</v>
      </c>
      <c r="C119" t="str">
        <f t="shared" si="9"/>
        <v>BS016</v>
      </c>
      <c r="D119" t="str">
        <f t="shared" si="10"/>
        <v>BS_COMM_LOAN</v>
      </c>
      <c r="E119" t="str">
        <f t="shared" si="11"/>
        <v>Dynamic</v>
      </c>
      <c r="F119" t="str">
        <f ca="1">IF(AND(ISNUMBER($F$322),$B$208=1),$F$322,HLOOKUP(INDIRECT(ADDRESS(2,COLUMN())),OFFSET($BN$2,0,0,ROW()-1,60),ROW()-1,FALSE))</f>
        <v/>
      </c>
      <c r="G119" t="str">
        <f ca="1">IF(AND(ISNUMBER($G$322),$B$208=1),$G$322,HLOOKUP(INDIRECT(ADDRESS(2,COLUMN())),OFFSET($BN$2,0,0,ROW()-1,60),ROW()-1,FALSE))</f>
        <v/>
      </c>
      <c r="H119" t="str">
        <f ca="1">IF(AND(ISNUMBER($H$322),$B$208=1),$H$322,HLOOKUP(INDIRECT(ADDRESS(2,COLUMN())),OFFSET($BN$2,0,0,ROW()-1,60),ROW()-1,FALSE))</f>
        <v/>
      </c>
      <c r="I119" t="str">
        <f ca="1">IF(AND(ISNUMBER($I$322),$B$208=1),$I$322,HLOOKUP(INDIRECT(ADDRESS(2,COLUMN())),OFFSET($BN$2,0,0,ROW()-1,60),ROW()-1,FALSE))</f>
        <v/>
      </c>
      <c r="J119" t="str">
        <f ca="1">IF(AND(ISNUMBER($J$322),$B$208=1),$J$322,HLOOKUP(INDIRECT(ADDRESS(2,COLUMN())),OFFSET($BN$2,0,0,ROW()-1,60),ROW()-1,FALSE))</f>
        <v/>
      </c>
      <c r="K119" t="str">
        <f ca="1">IF(AND(ISNUMBER($K$322),$B$208=1),$K$322,HLOOKUP(INDIRECT(ADDRESS(2,COLUMN())),OFFSET($BN$2,0,0,ROW()-1,60),ROW()-1,FALSE))</f>
        <v/>
      </c>
      <c r="L119" t="str">
        <f ca="1">IF(AND(ISNUMBER($L$322),$B$208=1),$L$322,HLOOKUP(INDIRECT(ADDRESS(2,COLUMN())),OFFSET($BN$2,0,0,ROW()-1,60),ROW()-1,FALSE))</f>
        <v/>
      </c>
      <c r="M119" t="str">
        <f ca="1">IF(AND(ISNUMBER($M$322),$B$208=1),$M$322,HLOOKUP(INDIRECT(ADDRESS(2,COLUMN())),OFFSET($BN$2,0,0,ROW()-1,60),ROW()-1,FALSE))</f>
        <v/>
      </c>
      <c r="N119" t="str">
        <f ca="1">IF(AND(ISNUMBER($N$322),$B$208=1),$N$322,HLOOKUP(INDIRECT(ADDRESS(2,COLUMN())),OFFSET($BN$2,0,0,ROW()-1,60),ROW()-1,FALSE))</f>
        <v/>
      </c>
      <c r="O119" t="str">
        <f ca="1">IF(AND(ISNUMBER($O$322),$B$208=1),$O$322,HLOOKUP(INDIRECT(ADDRESS(2,COLUMN())),OFFSET($BN$2,0,0,ROW()-1,60),ROW()-1,FALSE))</f>
        <v/>
      </c>
      <c r="P119" t="str">
        <f ca="1">IF(AND(ISNUMBER($P$322),$B$208=1),$P$322,HLOOKUP(INDIRECT(ADDRESS(2,COLUMN())),OFFSET($BN$2,0,0,ROW()-1,60),ROW()-1,FALSE))</f>
        <v/>
      </c>
      <c r="Q119" t="str">
        <f ca="1">IF(AND(ISNUMBER($Q$322),$B$208=1),$Q$322,HLOOKUP(INDIRECT(ADDRESS(2,COLUMN())),OFFSET($BN$2,0,0,ROW()-1,60),ROW()-1,FALSE))</f>
        <v/>
      </c>
      <c r="R119" t="str">
        <f ca="1">IF(AND(ISNUMBER($R$322),$B$208=1),$R$322,HLOOKUP(INDIRECT(ADDRESS(2,COLUMN())),OFFSET($BN$2,0,0,ROW()-1,60),ROW()-1,FALSE))</f>
        <v/>
      </c>
      <c r="S119" t="str">
        <f ca="1">IF(AND(ISNUMBER($S$322),$B$208=1),$S$322,HLOOKUP(INDIRECT(ADDRESS(2,COLUMN())),OFFSET($BN$2,0,0,ROW()-1,60),ROW()-1,FALSE))</f>
        <v/>
      </c>
      <c r="T119" t="str">
        <f ca="1">IF(AND(ISNUMBER($T$322),$B$208=1),$T$322,HLOOKUP(INDIRECT(ADDRESS(2,COLUMN())),OFFSET($BN$2,0,0,ROW()-1,60),ROW()-1,FALSE))</f>
        <v/>
      </c>
      <c r="U119" t="str">
        <f ca="1">IF(AND(ISNUMBER($U$322),$B$208=1),$U$322,HLOOKUP(INDIRECT(ADDRESS(2,COLUMN())),OFFSET($BN$2,0,0,ROW()-1,60),ROW()-1,FALSE))</f>
        <v/>
      </c>
      <c r="V119" t="str">
        <f ca="1">IF(AND(ISNUMBER($V$322),$B$208=1),$V$322,HLOOKUP(INDIRECT(ADDRESS(2,COLUMN())),OFFSET($BN$2,0,0,ROW()-1,60),ROW()-1,FALSE))</f>
        <v/>
      </c>
      <c r="W119" t="str">
        <f ca="1">IF(AND(ISNUMBER($W$322),$B$208=1),$W$322,HLOOKUP(INDIRECT(ADDRESS(2,COLUMN())),OFFSET($BN$2,0,0,ROW()-1,60),ROW()-1,FALSE))</f>
        <v/>
      </c>
      <c r="X119" t="str">
        <f ca="1">IF(AND(ISNUMBER($X$322),$B$208=1),$X$322,HLOOKUP(INDIRECT(ADDRESS(2,COLUMN())),OFFSET($BN$2,0,0,ROW()-1,60),ROW()-1,FALSE))</f>
        <v/>
      </c>
      <c r="Y119" t="str">
        <f ca="1">IF(AND(ISNUMBER($Y$322),$B$208=1),$Y$322,HLOOKUP(INDIRECT(ADDRESS(2,COLUMN())),OFFSET($BN$2,0,0,ROW()-1,60),ROW()-1,FALSE))</f>
        <v/>
      </c>
      <c r="Z119" t="str">
        <f ca="1">IF(AND(ISNUMBER($Z$322),$B$208=1),$Z$322,HLOOKUP(INDIRECT(ADDRESS(2,COLUMN())),OFFSET($BN$2,0,0,ROW()-1,60),ROW()-1,FALSE))</f>
        <v/>
      </c>
      <c r="AA119" t="str">
        <f ca="1">IF(AND(ISNUMBER($AA$322),$B$208=1),$AA$322,HLOOKUP(INDIRECT(ADDRESS(2,COLUMN())),OFFSET($BN$2,0,0,ROW()-1,60),ROW()-1,FALSE))</f>
        <v/>
      </c>
      <c r="AB119" t="str">
        <f ca="1">IF(AND(ISNUMBER($AB$322),$B$208=1),$AB$322,HLOOKUP(INDIRECT(ADDRESS(2,COLUMN())),OFFSET($BN$2,0,0,ROW()-1,60),ROW()-1,FALSE))</f>
        <v/>
      </c>
      <c r="AC119" t="str">
        <f ca="1">IF(AND(ISNUMBER($AC$322),$B$208=1),$AC$322,HLOOKUP(INDIRECT(ADDRESS(2,COLUMN())),OFFSET($BN$2,0,0,ROW()-1,60),ROW()-1,FALSE))</f>
        <v/>
      </c>
      <c r="AD119" t="str">
        <f ca="1">IF(AND(ISNUMBER($AD$322),$B$208=1),$AD$322,HLOOKUP(INDIRECT(ADDRESS(2,COLUMN())),OFFSET($BN$2,0,0,ROW()-1,60),ROW()-1,FALSE))</f>
        <v/>
      </c>
      <c r="AE119" t="str">
        <f ca="1">IF(AND(ISNUMBER($AE$322),$B$208=1),$AE$322,HLOOKUP(INDIRECT(ADDRESS(2,COLUMN())),OFFSET($BN$2,0,0,ROW()-1,60),ROW()-1,FALSE))</f>
        <v/>
      </c>
      <c r="AF119" t="str">
        <f ca="1">IF(AND(ISNUMBER($AF$322),$B$208=1),$AF$322,HLOOKUP(INDIRECT(ADDRESS(2,COLUMN())),OFFSET($BN$2,0,0,ROW()-1,60),ROW()-1,FALSE))</f>
        <v/>
      </c>
      <c r="AG119" t="str">
        <f ca="1">IF(AND(ISNUMBER($AG$322),$B$208=1),$AG$322,HLOOKUP(INDIRECT(ADDRESS(2,COLUMN())),OFFSET($BN$2,0,0,ROW()-1,60),ROW()-1,FALSE))</f>
        <v/>
      </c>
      <c r="AH119" t="str">
        <f ca="1">IF(AND(ISNUMBER($AH$322),$B$208=1),$AH$322,HLOOKUP(INDIRECT(ADDRESS(2,COLUMN())),OFFSET($BN$2,0,0,ROW()-1,60),ROW()-1,FALSE))</f>
        <v/>
      </c>
      <c r="AI119" t="str">
        <f ca="1">IF(AND(ISNUMBER($AI$322),$B$208=1),$AI$322,HLOOKUP(INDIRECT(ADDRESS(2,COLUMN())),OFFSET($BN$2,0,0,ROW()-1,60),ROW()-1,FALSE))</f>
        <v/>
      </c>
      <c r="AJ119" t="str">
        <f ca="1">IF(AND(ISNUMBER($AJ$322),$B$208=1),$AJ$322,HLOOKUP(INDIRECT(ADDRESS(2,COLUMN())),OFFSET($BN$2,0,0,ROW()-1,60),ROW()-1,FALSE))</f>
        <v/>
      </c>
      <c r="AK119" t="str">
        <f ca="1">IF(AND(ISNUMBER($AK$322),$B$208=1),$AK$322,HLOOKUP(INDIRECT(ADDRESS(2,COLUMN())),OFFSET($BN$2,0,0,ROW()-1,60),ROW()-1,FALSE))</f>
        <v/>
      </c>
      <c r="AL119" t="str">
        <f ca="1">IF(AND(ISNUMBER($AL$322),$B$208=1),$AL$322,HLOOKUP(INDIRECT(ADDRESS(2,COLUMN())),OFFSET($BN$2,0,0,ROW()-1,60),ROW()-1,FALSE))</f>
        <v/>
      </c>
      <c r="AM119" t="str">
        <f ca="1">IF(AND(ISNUMBER($AM$322),$B$208=1),$AM$322,HLOOKUP(INDIRECT(ADDRESS(2,COLUMN())),OFFSET($BN$2,0,0,ROW()-1,60),ROW()-1,FALSE))</f>
        <v/>
      </c>
      <c r="AN119" t="str">
        <f ca="1">IF(AND(ISNUMBER($AN$322),$B$208=1),$AN$322,HLOOKUP(INDIRECT(ADDRESS(2,COLUMN())),OFFSET($BN$2,0,0,ROW()-1,60),ROW()-1,FALSE))</f>
        <v/>
      </c>
      <c r="AO119" t="str">
        <f ca="1">IF(AND(ISNUMBER($AO$322),$B$208=1),$AO$322,HLOOKUP(INDIRECT(ADDRESS(2,COLUMN())),OFFSET($BN$2,0,0,ROW()-1,60),ROW()-1,FALSE))</f>
        <v/>
      </c>
      <c r="AP119" t="str">
        <f ca="1">IF(AND(ISNUMBER($AP$322),$B$208=1),$AP$322,HLOOKUP(INDIRECT(ADDRESS(2,COLUMN())),OFFSET($BN$2,0,0,ROW()-1,60),ROW()-1,FALSE))</f>
        <v/>
      </c>
      <c r="AQ119" t="str">
        <f ca="1">IF(AND(ISNUMBER($AQ$322),$B$208=1),$AQ$322,HLOOKUP(INDIRECT(ADDRESS(2,COLUMN())),OFFSET($BN$2,0,0,ROW()-1,60),ROW()-1,FALSE))</f>
        <v/>
      </c>
      <c r="AR119" t="str">
        <f ca="1">IF(AND(ISNUMBER($AR$322),$B$208=1),$AR$322,HLOOKUP(INDIRECT(ADDRESS(2,COLUMN())),OFFSET($BN$2,0,0,ROW()-1,60),ROW()-1,FALSE))</f>
        <v/>
      </c>
      <c r="AS119" t="str">
        <f ca="1">IF(AND(ISNUMBER($AS$322),$B$208=1),$AS$322,HLOOKUP(INDIRECT(ADDRESS(2,COLUMN())),OFFSET($BN$2,0,0,ROW()-1,60),ROW()-1,FALSE))</f>
        <v/>
      </c>
      <c r="AT119" t="str">
        <f ca="1">IF(AND(ISNUMBER($AT$322),$B$208=1),$AT$322,HLOOKUP(INDIRECT(ADDRESS(2,COLUMN())),OFFSET($BN$2,0,0,ROW()-1,60),ROW()-1,FALSE))</f>
        <v/>
      </c>
      <c r="AU119" t="str">
        <f ca="1">IF(AND(ISNUMBER($AU$322),$B$208=1),$AU$322,HLOOKUP(INDIRECT(ADDRESS(2,COLUMN())),OFFSET($BN$2,0,0,ROW()-1,60),ROW()-1,FALSE))</f>
        <v/>
      </c>
      <c r="AV119" t="str">
        <f ca="1">IF(AND(ISNUMBER($AV$322),$B$208=1),$AV$322,HLOOKUP(INDIRECT(ADDRESS(2,COLUMN())),OFFSET($BN$2,0,0,ROW()-1,60),ROW()-1,FALSE))</f>
        <v/>
      </c>
      <c r="AW119" t="str">
        <f ca="1">IF(AND(ISNUMBER($AW$322),$B$208=1),$AW$322,HLOOKUP(INDIRECT(ADDRESS(2,COLUMN())),OFFSET($BN$2,0,0,ROW()-1,60),ROW()-1,FALSE))</f>
        <v/>
      </c>
      <c r="AX119" t="str">
        <f ca="1">IF(AND(ISNUMBER($AX$322),$B$208=1),$AX$322,HLOOKUP(INDIRECT(ADDRESS(2,COLUMN())),OFFSET($BN$2,0,0,ROW()-1,60),ROW()-1,FALSE))</f>
        <v/>
      </c>
      <c r="AY119" t="str">
        <f ca="1">IF(AND(ISNUMBER($AY$322),$B$208=1),$AY$322,HLOOKUP(INDIRECT(ADDRESS(2,COLUMN())),OFFSET($BN$2,0,0,ROW()-1,60),ROW()-1,FALSE))</f>
        <v/>
      </c>
      <c r="AZ119" t="str">
        <f ca="1">IF(AND(ISNUMBER($AZ$322),$B$208=1),$AZ$322,HLOOKUP(INDIRECT(ADDRESS(2,COLUMN())),OFFSET($BN$2,0,0,ROW()-1,60),ROW()-1,FALSE))</f>
        <v/>
      </c>
      <c r="BA119" t="str">
        <f ca="1">IF(AND(ISNUMBER($BA$322),$B$208=1),$BA$322,HLOOKUP(INDIRECT(ADDRESS(2,COLUMN())),OFFSET($BN$2,0,0,ROW()-1,60),ROW()-1,FALSE))</f>
        <v/>
      </c>
      <c r="BB119" t="str">
        <f ca="1">IF(AND(ISNUMBER($BB$322),$B$208=1),$BB$322,HLOOKUP(INDIRECT(ADDRESS(2,COLUMN())),OFFSET($BN$2,0,0,ROW()-1,60),ROW()-1,FALSE))</f>
        <v/>
      </c>
      <c r="BC119" t="str">
        <f ca="1">IF(AND(ISNUMBER($BC$322),$B$208=1),$BC$322,HLOOKUP(INDIRECT(ADDRESS(2,COLUMN())),OFFSET($BN$2,0,0,ROW()-1,60),ROW()-1,FALSE))</f>
        <v/>
      </c>
      <c r="BD119" t="str">
        <f ca="1">IF(AND(ISNUMBER($BD$322),$B$208=1),$BD$322,HLOOKUP(INDIRECT(ADDRESS(2,COLUMN())),OFFSET($BN$2,0,0,ROW()-1,60),ROW()-1,FALSE))</f>
        <v/>
      </c>
      <c r="BE119" t="str">
        <f ca="1">IF(AND(ISNUMBER($BE$322),$B$208=1),$BE$322,HLOOKUP(INDIRECT(ADDRESS(2,COLUMN())),OFFSET($BN$2,0,0,ROW()-1,60),ROW()-1,FALSE))</f>
        <v/>
      </c>
      <c r="BF119" t="str">
        <f ca="1">IF(AND(ISNUMBER($BF$322),$B$208=1),$BF$322,HLOOKUP(INDIRECT(ADDRESS(2,COLUMN())),OFFSET($BN$2,0,0,ROW()-1,60),ROW()-1,FALSE))</f>
        <v/>
      </c>
      <c r="BG119" t="str">
        <f ca="1">IF(AND(ISNUMBER($BG$322),$B$208=1),$BG$322,HLOOKUP(INDIRECT(ADDRESS(2,COLUMN())),OFFSET($BN$2,0,0,ROW()-1,60),ROW()-1,FALSE))</f>
        <v/>
      </c>
      <c r="BH119" t="str">
        <f ca="1">IF(AND(ISNUMBER($BH$322),$B$208=1),$BH$322,HLOOKUP(INDIRECT(ADDRESS(2,COLUMN())),OFFSET($BN$2,0,0,ROW()-1,60),ROW()-1,FALSE))</f>
        <v/>
      </c>
      <c r="BI119" t="str">
        <f ca="1">IF(AND(ISNUMBER($BI$322),$B$208=1),$BI$322,HLOOKUP(INDIRECT(ADDRESS(2,COLUMN())),OFFSET($BN$2,0,0,ROW()-1,60),ROW()-1,FALSE))</f>
        <v/>
      </c>
      <c r="BJ119" t="str">
        <f ca="1">IF(AND(ISNUMBER($BJ$322),$B$208=1),$BJ$322,HLOOKUP(INDIRECT(ADDRESS(2,COLUMN())),OFFSET($BN$2,0,0,ROW()-1,60),ROW()-1,FALSE))</f>
        <v/>
      </c>
      <c r="BK119" t="str">
        <f ca="1">IF(AND(ISNUMBER($BK$322),$B$208=1),$BK$322,HLOOKUP(INDIRECT(ADDRESS(2,COLUMN())),OFFSET($BN$2,0,0,ROW()-1,60),ROW()-1,FALSE))</f>
        <v/>
      </c>
      <c r="BL119" t="str">
        <f ca="1">IF(AND(ISNUMBER($BL$322),$B$208=1),$BL$322,HLOOKUP(INDIRECT(ADDRESS(2,COLUMN())),OFFSET($BN$2,0,0,ROW()-1,60),ROW()-1,FALSE))</f>
        <v/>
      </c>
      <c r="BM119" t="str">
        <f ca="1">IF(AND(ISNUMBER($BM$322),$B$208=1),$BM$322,HLOOKUP(INDIRECT(ADDRESS(2,COLUMN())),OFFSET($BN$2,0,0,ROW()-1,60),ROW()-1,FALSE))</f>
        <v/>
      </c>
      <c r="BN119" t="str">
        <f>""</f>
        <v/>
      </c>
      <c r="BO119" t="str">
        <f>""</f>
        <v/>
      </c>
      <c r="BP119" t="str">
        <f>""</f>
        <v/>
      </c>
      <c r="BQ119" t="str">
        <f>""</f>
        <v/>
      </c>
      <c r="BR119" t="str">
        <f>""</f>
        <v/>
      </c>
      <c r="BS119" t="str">
        <f>""</f>
        <v/>
      </c>
      <c r="BT119" t="str">
        <f>""</f>
        <v/>
      </c>
      <c r="BU119" t="str">
        <f>""</f>
        <v/>
      </c>
      <c r="BV119" t="str">
        <f>""</f>
        <v/>
      </c>
      <c r="BW119" t="str">
        <f>""</f>
        <v/>
      </c>
      <c r="BX119" t="str">
        <f>""</f>
        <v/>
      </c>
      <c r="BY119" t="str">
        <f>""</f>
        <v/>
      </c>
      <c r="BZ119" t="str">
        <f>""</f>
        <v/>
      </c>
      <c r="CA119" t="str">
        <f>""</f>
        <v/>
      </c>
      <c r="CB119" t="str">
        <f>""</f>
        <v/>
      </c>
      <c r="CC119" t="str">
        <f>""</f>
        <v/>
      </c>
      <c r="CD119" t="str">
        <f>""</f>
        <v/>
      </c>
      <c r="CE119" t="str">
        <f>""</f>
        <v/>
      </c>
      <c r="CF119" t="str">
        <f>""</f>
        <v/>
      </c>
      <c r="CG119" t="str">
        <f>""</f>
        <v/>
      </c>
      <c r="CH119" t="str">
        <f>""</f>
        <v/>
      </c>
      <c r="CI119" t="str">
        <f>""</f>
        <v/>
      </c>
      <c r="CJ119" t="str">
        <f>""</f>
        <v/>
      </c>
      <c r="CK119" t="str">
        <f>""</f>
        <v/>
      </c>
      <c r="CL119" t="str">
        <f>""</f>
        <v/>
      </c>
      <c r="CM119" t="str">
        <f>""</f>
        <v/>
      </c>
      <c r="CN119" t="str">
        <f>""</f>
        <v/>
      </c>
      <c r="CO119" t="str">
        <f>""</f>
        <v/>
      </c>
      <c r="CP119" t="str">
        <f>""</f>
        <v/>
      </c>
      <c r="CQ119" t="str">
        <f>""</f>
        <v/>
      </c>
      <c r="CR119" t="str">
        <f>""</f>
        <v/>
      </c>
      <c r="CS119" t="str">
        <f>""</f>
        <v/>
      </c>
      <c r="CT119" t="str">
        <f>""</f>
        <v/>
      </c>
      <c r="CU119" t="str">
        <f>""</f>
        <v/>
      </c>
      <c r="CV119" t="str">
        <f>""</f>
        <v/>
      </c>
      <c r="CW119" t="str">
        <f>""</f>
        <v/>
      </c>
      <c r="CX119" t="str">
        <f>""</f>
        <v/>
      </c>
      <c r="CY119" t="str">
        <f>""</f>
        <v/>
      </c>
      <c r="CZ119" t="str">
        <f>""</f>
        <v/>
      </c>
      <c r="DA119" t="str">
        <f>""</f>
        <v/>
      </c>
      <c r="DB119" t="str">
        <f>""</f>
        <v/>
      </c>
      <c r="DC119" t="str">
        <f>""</f>
        <v/>
      </c>
      <c r="DD119" t="str">
        <f>""</f>
        <v/>
      </c>
      <c r="DE119" t="str">
        <f>""</f>
        <v/>
      </c>
      <c r="DF119" t="str">
        <f>""</f>
        <v/>
      </c>
      <c r="DG119" t="str">
        <f>""</f>
        <v/>
      </c>
      <c r="DH119" t="str">
        <f>""</f>
        <v/>
      </c>
      <c r="DI119" t="str">
        <f>""</f>
        <v/>
      </c>
      <c r="DJ119" t="str">
        <f>""</f>
        <v/>
      </c>
      <c r="DK119" t="str">
        <f>""</f>
        <v/>
      </c>
      <c r="DL119" t="str">
        <f>""</f>
        <v/>
      </c>
      <c r="DM119" t="str">
        <f>""</f>
        <v/>
      </c>
      <c r="DN119" t="str">
        <f>""</f>
        <v/>
      </c>
      <c r="DO119" t="str">
        <f>""</f>
        <v/>
      </c>
      <c r="DP119" t="str">
        <f>""</f>
        <v/>
      </c>
      <c r="DQ119" t="str">
        <f>""</f>
        <v/>
      </c>
      <c r="DR119" t="str">
        <f>""</f>
        <v/>
      </c>
      <c r="DS119" t="str">
        <f>""</f>
        <v/>
      </c>
      <c r="DT119" t="str">
        <f>""</f>
        <v/>
      </c>
      <c r="DU119" t="str">
        <f>""</f>
        <v/>
      </c>
    </row>
    <row r="120" spans="1:125" x14ac:dyDescent="0.25">
      <c r="A120" t="str">
        <f>"    Banco de Sabadell SA"</f>
        <v xml:space="preserve">    Banco de Sabadell SA</v>
      </c>
      <c r="B120" t="str">
        <f>"SAB SM Equity"</f>
        <v>SAB SM Equity</v>
      </c>
      <c r="C120" t="str">
        <f t="shared" si="9"/>
        <v>BS016</v>
      </c>
      <c r="D120" t="str">
        <f t="shared" si="10"/>
        <v>BS_COMM_LOAN</v>
      </c>
      <c r="E120" t="str">
        <f t="shared" si="11"/>
        <v>Dynamic</v>
      </c>
      <c r="F120">
        <f ca="1">IF(AND(ISNUMBER($F$323),$B$208=1),$F$323,HLOOKUP(INDIRECT(ADDRESS(2,COLUMN())),OFFSET($BN$2,0,0,ROW()-1,60),ROW()-1,FALSE))</f>
        <v>8356.1959999999999</v>
      </c>
      <c r="G120">
        <f ca="1">IF(AND(ISNUMBER($G$323),$B$208=1),$G$323,HLOOKUP(INDIRECT(ADDRESS(2,COLUMN())),OFFSET($BN$2,0,0,ROW()-1,60),ROW()-1,FALSE))</f>
        <v>7221</v>
      </c>
      <c r="H120">
        <f ca="1">IF(AND(ISNUMBER($H$323),$B$208=1),$H$323,HLOOKUP(INDIRECT(ADDRESS(2,COLUMN())),OFFSET($BN$2,0,0,ROW()-1,60),ROW()-1,FALSE))</f>
        <v>8031</v>
      </c>
      <c r="I120">
        <f ca="1">IF(AND(ISNUMBER($I$323),$B$208=1),$I$323,HLOOKUP(INDIRECT(ADDRESS(2,COLUMN())),OFFSET($BN$2,0,0,ROW()-1,60),ROW()-1,FALSE))</f>
        <v>6812</v>
      </c>
      <c r="J120">
        <f ca="1">IF(AND(ISNUMBER($J$323),$B$208=1),$J$323,HLOOKUP(INDIRECT(ADDRESS(2,COLUMN())),OFFSET($BN$2,0,0,ROW()-1,60),ROW()-1,FALSE))</f>
        <v>7465.1189999999997</v>
      </c>
      <c r="K120">
        <f ca="1">IF(AND(ISNUMBER($K$323),$B$208=1),$K$323,HLOOKUP(INDIRECT(ADDRESS(2,COLUMN())),OFFSET($BN$2,0,0,ROW()-1,60),ROW()-1,FALSE))</f>
        <v>6829</v>
      </c>
      <c r="L120">
        <f ca="1">IF(AND(ISNUMBER($L$323),$B$208=1),$L$323,HLOOKUP(INDIRECT(ADDRESS(2,COLUMN())),OFFSET($BN$2,0,0,ROW()-1,60),ROW()-1,FALSE))</f>
        <v>7002.2529999999997</v>
      </c>
      <c r="M120">
        <f ca="1">IF(AND(ISNUMBER($M$323),$B$208=1),$M$323,HLOOKUP(INDIRECT(ADDRESS(2,COLUMN())),OFFSET($BN$2,0,0,ROW()-1,60),ROW()-1,FALSE))</f>
        <v>6739</v>
      </c>
      <c r="N120">
        <f ca="1">IF(AND(ISNUMBER($N$323),$B$208=1),$N$323,HLOOKUP(INDIRECT(ADDRESS(2,COLUMN())),OFFSET($BN$2,0,0,ROW()-1,60),ROW()-1,FALSE))</f>
        <v>7489.183</v>
      </c>
      <c r="O120">
        <f ca="1">IF(AND(ISNUMBER($O$323),$B$208=1),$O$323,HLOOKUP(INDIRECT(ADDRESS(2,COLUMN())),OFFSET($BN$2,0,0,ROW()-1,60),ROW()-1,FALSE))</f>
        <v>6760</v>
      </c>
      <c r="P120">
        <f ca="1">IF(AND(ISNUMBER($P$323),$B$208=1),$P$323,HLOOKUP(INDIRECT(ADDRESS(2,COLUMN())),OFFSET($BN$2,0,0,ROW()-1,60),ROW()-1,FALSE))</f>
        <v>6744.6570000000002</v>
      </c>
      <c r="Q120">
        <f ca="1">IF(AND(ISNUMBER($Q$323),$B$208=1),$Q$323,HLOOKUP(INDIRECT(ADDRESS(2,COLUMN())),OFFSET($BN$2,0,0,ROW()-1,60),ROW()-1,FALSE))</f>
        <v>5992</v>
      </c>
      <c r="R120">
        <f ca="1">IF(AND(ISNUMBER($R$323),$B$208=1),$R$323,HLOOKUP(INDIRECT(ADDRESS(2,COLUMN())),OFFSET($BN$2,0,0,ROW()-1,60),ROW()-1,FALSE))</f>
        <v>6049.5540000000001</v>
      </c>
      <c r="S120">
        <f ca="1">IF(AND(ISNUMBER($S$323),$B$208=1),$S$323,HLOOKUP(INDIRECT(ADDRESS(2,COLUMN())),OFFSET($BN$2,0,0,ROW()-1,60),ROW()-1,FALSE))</f>
        <v>5200</v>
      </c>
      <c r="T120">
        <f ca="1">IF(AND(ISNUMBER($T$323),$B$208=1),$T$323,HLOOKUP(INDIRECT(ADDRESS(2,COLUMN())),OFFSET($BN$2,0,0,ROW()-1,60),ROW()-1,FALSE))</f>
        <v>5439.3620000000001</v>
      </c>
      <c r="U120">
        <f ca="1">IF(AND(ISNUMBER($U$323),$B$208=1),$U$323,HLOOKUP(INDIRECT(ADDRESS(2,COLUMN())),OFFSET($BN$2,0,0,ROW()-1,60),ROW()-1,FALSE))</f>
        <v>5104</v>
      </c>
      <c r="V120">
        <f ca="1">IF(AND(ISNUMBER($V$323),$B$208=1),$V$323,HLOOKUP(INDIRECT(ADDRESS(2,COLUMN())),OFFSET($BN$2,0,0,ROW()-1,60),ROW()-1,FALSE))</f>
        <v>4991.0950000000003</v>
      </c>
      <c r="W120">
        <f ca="1">IF(AND(ISNUMBER($W$323),$B$208=1),$W$323,HLOOKUP(INDIRECT(ADDRESS(2,COLUMN())),OFFSET($BN$2,0,0,ROW()-1,60),ROW()-1,FALSE))</f>
        <v>4312</v>
      </c>
      <c r="X120">
        <f ca="1">IF(AND(ISNUMBER($X$323),$B$208=1),$X$323,HLOOKUP(INDIRECT(ADDRESS(2,COLUMN())),OFFSET($BN$2,0,0,ROW()-1,60),ROW()-1,FALSE))</f>
        <v>4625.3810000000003</v>
      </c>
      <c r="Y120">
        <f ca="1">IF(AND(ISNUMBER($Y$323),$B$208=1),$Y$323,HLOOKUP(INDIRECT(ADDRESS(2,COLUMN())),OFFSET($BN$2,0,0,ROW()-1,60),ROW()-1,FALSE))</f>
        <v>5972</v>
      </c>
      <c r="Z120">
        <f ca="1">IF(AND(ISNUMBER($Z$323),$B$208=1),$Z$323,HLOOKUP(INDIRECT(ADDRESS(2,COLUMN())),OFFSET($BN$2,0,0,ROW()-1,60),ROW()-1,FALSE))</f>
        <v>6443.0410000000002</v>
      </c>
      <c r="AA120">
        <f ca="1">IF(AND(ISNUMBER($AA$323),$B$208=1),$AA$323,HLOOKUP(INDIRECT(ADDRESS(2,COLUMN())),OFFSET($BN$2,0,0,ROW()-1,60),ROW()-1,FALSE))</f>
        <v>5447</v>
      </c>
      <c r="AB120">
        <f ca="1">IF(AND(ISNUMBER($AB$323),$B$208=1),$AB$323,HLOOKUP(INDIRECT(ADDRESS(2,COLUMN())),OFFSET($BN$2,0,0,ROW()-1,60),ROW()-1,FALSE))</f>
        <v>5945.2929999999997</v>
      </c>
      <c r="AC120">
        <f ca="1">IF(AND(ISNUMBER($AC$323),$B$208=1),$AC$323,HLOOKUP(INDIRECT(ADDRESS(2,COLUMN())),OFFSET($BN$2,0,0,ROW()-1,60),ROW()-1,FALSE))</f>
        <v>5781</v>
      </c>
      <c r="AD120">
        <f ca="1">IF(AND(ISNUMBER($AD$323),$B$208=1),$AD$323,HLOOKUP(INDIRECT(ADDRESS(2,COLUMN())),OFFSET($BN$2,0,0,ROW()-1,60),ROW()-1,FALSE))</f>
        <v>6185.8280000000004</v>
      </c>
      <c r="AE120">
        <f ca="1">IF(AND(ISNUMBER($AE$323),$B$208=1),$AE$323,HLOOKUP(INDIRECT(ADDRESS(2,COLUMN())),OFFSET($BN$2,0,0,ROW()-1,60),ROW()-1,FALSE))</f>
        <v>5805</v>
      </c>
      <c r="AF120">
        <f ca="1">IF(AND(ISNUMBER($AF$323),$B$208=1),$AF$323,HLOOKUP(INDIRECT(ADDRESS(2,COLUMN())),OFFSET($BN$2,0,0,ROW()-1,60),ROW()-1,FALSE))</f>
        <v>6148.3090000000002</v>
      </c>
      <c r="AG120">
        <f ca="1">IF(AND(ISNUMBER($AG$323),$B$208=1),$AG$323,HLOOKUP(INDIRECT(ADDRESS(2,COLUMN())),OFFSET($BN$2,0,0,ROW()-1,60),ROW()-1,FALSE))</f>
        <v>5644</v>
      </c>
      <c r="AH120">
        <f ca="1">IF(AND(ISNUMBER($AH$323),$B$208=1),$AH$323,HLOOKUP(INDIRECT(ADDRESS(2,COLUMN())),OFFSET($BN$2,0,0,ROW()-1,60),ROW()-1,FALSE))</f>
        <v>5801.6019999999999</v>
      </c>
      <c r="AI120">
        <f ca="1">IF(AND(ISNUMBER($AI$323),$B$208=1),$AI$323,HLOOKUP(INDIRECT(ADDRESS(2,COLUMN())),OFFSET($BN$2,0,0,ROW()-1,60),ROW()-1,FALSE))</f>
        <v>5719</v>
      </c>
      <c r="AJ120">
        <f ca="1">IF(AND(ISNUMBER($AJ$323),$B$208=1),$AJ$323,HLOOKUP(INDIRECT(ADDRESS(2,COLUMN())),OFFSET($BN$2,0,0,ROW()-1,60),ROW()-1,FALSE))</f>
        <v>5560.24</v>
      </c>
      <c r="AK120">
        <f ca="1">IF(AND(ISNUMBER($AK$323),$B$208=1),$AK$323,HLOOKUP(INDIRECT(ADDRESS(2,COLUMN())),OFFSET($BN$2,0,0,ROW()-1,60),ROW()-1,FALSE))</f>
        <v>5150</v>
      </c>
      <c r="AL120">
        <f ca="1">IF(AND(ISNUMBER($AL$323),$B$208=1),$AL$323,HLOOKUP(INDIRECT(ADDRESS(2,COLUMN())),OFFSET($BN$2,0,0,ROW()-1,60),ROW()-1,FALSE))</f>
        <v>5530.0450000000001</v>
      </c>
      <c r="AM120">
        <f ca="1">IF(AND(ISNUMBER($AM$323),$B$208=1),$AM$323,HLOOKUP(INDIRECT(ADDRESS(2,COLUMN())),OFFSET($BN$2,0,0,ROW()-1,60),ROW()-1,FALSE))</f>
        <v>4827</v>
      </c>
      <c r="AN120">
        <f ca="1">IF(AND(ISNUMBER($AN$323),$B$208=1),$AN$323,HLOOKUP(INDIRECT(ADDRESS(2,COLUMN())),OFFSET($BN$2,0,0,ROW()-1,60),ROW()-1,FALSE))</f>
        <v>5506.7460000000001</v>
      </c>
      <c r="AO120">
        <f ca="1">IF(AND(ISNUMBER($AO$323),$B$208=1),$AO$323,HLOOKUP(INDIRECT(ADDRESS(2,COLUMN())),OFFSET($BN$2,0,0,ROW()-1,60),ROW()-1,FALSE))</f>
        <v>5000</v>
      </c>
      <c r="AP120">
        <f ca="1">IF(AND(ISNUMBER($AP$323),$B$208=1),$AP$323,HLOOKUP(INDIRECT(ADDRESS(2,COLUMN())),OFFSET($BN$2,0,0,ROW()-1,60),ROW()-1,FALSE))</f>
        <v>5665.0619999999999</v>
      </c>
      <c r="AQ120">
        <f ca="1">IF(AND(ISNUMBER($AQ$323),$B$208=1),$AQ$323,HLOOKUP(INDIRECT(ADDRESS(2,COLUMN())),OFFSET($BN$2,0,0,ROW()-1,60),ROW()-1,FALSE))</f>
        <v>4994</v>
      </c>
      <c r="AR120">
        <f ca="1">IF(AND(ISNUMBER($AR$323),$B$208=1),$AR$323,HLOOKUP(INDIRECT(ADDRESS(2,COLUMN())),OFFSET($BN$2,0,0,ROW()-1,60),ROW()-1,FALSE))</f>
        <v>2662.7249999999999</v>
      </c>
      <c r="AS120">
        <f ca="1">IF(AND(ISNUMBER($AS$323),$B$208=1),$AS$323,HLOOKUP(INDIRECT(ADDRESS(2,COLUMN())),OFFSET($BN$2,0,0,ROW()-1,60),ROW()-1,FALSE))</f>
        <v>4763.1880000000001</v>
      </c>
      <c r="AT120">
        <f ca="1">IF(AND(ISNUMBER($AT$323),$B$208=1),$AT$323,HLOOKUP(INDIRECT(ADDRESS(2,COLUMN())),OFFSET($BN$2,0,0,ROW()-1,60),ROW()-1,FALSE))</f>
        <v>2269.9409999999998</v>
      </c>
      <c r="AU120">
        <f ca="1">IF(AND(ISNUMBER($AU$323),$B$208=1),$AU$323,HLOOKUP(INDIRECT(ADDRESS(2,COLUMN())),OFFSET($BN$2,0,0,ROW()-1,60),ROW()-1,FALSE))</f>
        <v>4407</v>
      </c>
      <c r="AV120">
        <f ca="1">IF(AND(ISNUMBER($AV$323),$B$208=1),$AV$323,HLOOKUP(INDIRECT(ADDRESS(2,COLUMN())),OFFSET($BN$2,0,0,ROW()-1,60),ROW()-1,FALSE))</f>
        <v>2206.6260000000002</v>
      </c>
      <c r="AW120">
        <f ca="1">IF(AND(ISNUMBER($AW$323),$B$208=1),$AW$323,HLOOKUP(INDIRECT(ADDRESS(2,COLUMN())),OFFSET($BN$2,0,0,ROW()-1,60),ROW()-1,FALSE))</f>
        <v>4132.7169999999996</v>
      </c>
      <c r="AX120">
        <f ca="1">IF(AND(ISNUMBER($AX$323),$B$208=1),$AX$323,HLOOKUP(INDIRECT(ADDRESS(2,COLUMN())),OFFSET($BN$2,0,0,ROW()-1,60),ROW()-1,FALSE))</f>
        <v>2283.8939999999998</v>
      </c>
      <c r="AY120">
        <f ca="1">IF(AND(ISNUMBER($AY$323),$B$208=1),$AY$323,HLOOKUP(INDIRECT(ADDRESS(2,COLUMN())),OFFSET($BN$2,0,0,ROW()-1,60),ROW()-1,FALSE))</f>
        <v>3970.2890000000002</v>
      </c>
      <c r="AZ120">
        <f ca="1">IF(AND(ISNUMBER($AZ$323),$B$208=1),$AZ$323,HLOOKUP(INDIRECT(ADDRESS(2,COLUMN())),OFFSET($BN$2,0,0,ROW()-1,60),ROW()-1,FALSE))</f>
        <v>2317.6439999999998</v>
      </c>
      <c r="BA120">
        <f ca="1">IF(AND(ISNUMBER($BA$323),$B$208=1),$BA$323,HLOOKUP(INDIRECT(ADDRESS(2,COLUMN())),OFFSET($BN$2,0,0,ROW()-1,60),ROW()-1,FALSE))</f>
        <v>4104.0559999999996</v>
      </c>
      <c r="BB120">
        <f ca="1">IF(AND(ISNUMBER($BB$323),$B$208=1),$BB$323,HLOOKUP(INDIRECT(ADDRESS(2,COLUMN())),OFFSET($BN$2,0,0,ROW()-1,60),ROW()-1,FALSE))</f>
        <v>2179.4319999999998</v>
      </c>
      <c r="BC120">
        <f ca="1">IF(AND(ISNUMBER($BC$323),$B$208=1),$BC$323,HLOOKUP(INDIRECT(ADDRESS(2,COLUMN())),OFFSET($BN$2,0,0,ROW()-1,60),ROW()-1,FALSE))</f>
        <v>4399.5230000000001</v>
      </c>
      <c r="BD120">
        <f ca="1">IF(AND(ISNUMBER($BD$323),$B$208=1),$BD$323,HLOOKUP(INDIRECT(ADDRESS(2,COLUMN())),OFFSET($BN$2,0,0,ROW()-1,60),ROW()-1,FALSE))</f>
        <v>2419.7570000000001</v>
      </c>
      <c r="BE120">
        <f ca="1">IF(AND(ISNUMBER($BE$323),$B$208=1),$BE$323,HLOOKUP(INDIRECT(ADDRESS(2,COLUMN())),OFFSET($BN$2,0,0,ROW()-1,60),ROW()-1,FALSE))</f>
        <v>4961.9690000000001</v>
      </c>
      <c r="BF120">
        <f ca="1">IF(AND(ISNUMBER($BF$323),$B$208=1),$BF$323,HLOOKUP(INDIRECT(ADDRESS(2,COLUMN())),OFFSET($BN$2,0,0,ROW()-1,60),ROW()-1,FALSE))</f>
        <v>2479.422</v>
      </c>
      <c r="BG120">
        <f ca="1">IF(AND(ISNUMBER($BG$323),$B$208=1),$BG$323,HLOOKUP(INDIRECT(ADDRESS(2,COLUMN())),OFFSET($BN$2,0,0,ROW()-1,60),ROW()-1,FALSE))</f>
        <v>4894.884</v>
      </c>
      <c r="BH120">
        <f ca="1">IF(AND(ISNUMBER($BH$323),$B$208=1),$BH$323,HLOOKUP(INDIRECT(ADDRESS(2,COLUMN())),OFFSET($BN$2,0,0,ROW()-1,60),ROW()-1,FALSE))</f>
        <v>2436.2269999999999</v>
      </c>
      <c r="BI120">
        <f ca="1">IF(AND(ISNUMBER($BI$323),$B$208=1),$BI$323,HLOOKUP(INDIRECT(ADDRESS(2,COLUMN())),OFFSET($BN$2,0,0,ROW()-1,60),ROW()-1,FALSE))</f>
        <v>5053.0640000000003</v>
      </c>
      <c r="BJ120">
        <f ca="1">IF(AND(ISNUMBER($BJ$323),$B$208=1),$BJ$323,HLOOKUP(INDIRECT(ADDRESS(2,COLUMN())),OFFSET($BN$2,0,0,ROW()-1,60),ROW()-1,FALSE))</f>
        <v>2839.0189999999998</v>
      </c>
      <c r="BK120">
        <f ca="1">IF(AND(ISNUMBER($BK$323),$B$208=1),$BK$323,HLOOKUP(INDIRECT(ADDRESS(2,COLUMN())),OFFSET($BN$2,0,0,ROW()-1,60),ROW()-1,FALSE))</f>
        <v>4280.9589999999998</v>
      </c>
      <c r="BL120">
        <f ca="1">IF(AND(ISNUMBER($BL$323),$B$208=1),$BL$323,HLOOKUP(INDIRECT(ADDRESS(2,COLUMN())),OFFSET($BN$2,0,0,ROW()-1,60),ROW()-1,FALSE))</f>
        <v>2037.778</v>
      </c>
      <c r="BM120" t="str">
        <f ca="1">IF(AND(ISNUMBER($BM$323),$B$208=1),$BM$323,HLOOKUP(INDIRECT(ADDRESS(2,COLUMN())),OFFSET($BN$2,0,0,ROW()-1,60),ROW()-1,FALSE))</f>
        <v/>
      </c>
      <c r="BN120">
        <f>8356.196</f>
        <v>8356.1959999999999</v>
      </c>
      <c r="BO120">
        <f>7221</f>
        <v>7221</v>
      </c>
      <c r="BP120">
        <f>8031</f>
        <v>8031</v>
      </c>
      <c r="BQ120">
        <f>6812</f>
        <v>6812</v>
      </c>
      <c r="BR120">
        <f>7465.119</f>
        <v>7465.1189999999997</v>
      </c>
      <c r="BS120">
        <f>6829</f>
        <v>6829</v>
      </c>
      <c r="BT120">
        <f>7002.253</f>
        <v>7002.2529999999997</v>
      </c>
      <c r="BU120">
        <f>6739</f>
        <v>6739</v>
      </c>
      <c r="BV120">
        <f>7489.183</f>
        <v>7489.183</v>
      </c>
      <c r="BW120">
        <f>6760</f>
        <v>6760</v>
      </c>
      <c r="BX120">
        <f>6744.657</f>
        <v>6744.6570000000002</v>
      </c>
      <c r="BY120">
        <f>5992</f>
        <v>5992</v>
      </c>
      <c r="BZ120">
        <f>6049.554</f>
        <v>6049.5540000000001</v>
      </c>
      <c r="CA120">
        <f>5200</f>
        <v>5200</v>
      </c>
      <c r="CB120">
        <f>5439.362</f>
        <v>5439.3620000000001</v>
      </c>
      <c r="CC120">
        <f>5104</f>
        <v>5104</v>
      </c>
      <c r="CD120">
        <f>4991.095</f>
        <v>4991.0950000000003</v>
      </c>
      <c r="CE120">
        <f>4312</f>
        <v>4312</v>
      </c>
      <c r="CF120">
        <f>4625.381</f>
        <v>4625.3810000000003</v>
      </c>
      <c r="CG120">
        <f>5972</f>
        <v>5972</v>
      </c>
      <c r="CH120">
        <f>6443.041</f>
        <v>6443.0410000000002</v>
      </c>
      <c r="CI120">
        <f>5447</f>
        <v>5447</v>
      </c>
      <c r="CJ120">
        <f>5945.293</f>
        <v>5945.2929999999997</v>
      </c>
      <c r="CK120">
        <f>5781</f>
        <v>5781</v>
      </c>
      <c r="CL120">
        <f>6185.828</f>
        <v>6185.8280000000004</v>
      </c>
      <c r="CM120">
        <f>5805</f>
        <v>5805</v>
      </c>
      <c r="CN120">
        <f>6148.309</f>
        <v>6148.3090000000002</v>
      </c>
      <c r="CO120">
        <f>5644</f>
        <v>5644</v>
      </c>
      <c r="CP120">
        <f>5801.602</f>
        <v>5801.6019999999999</v>
      </c>
      <c r="CQ120">
        <f>5719</f>
        <v>5719</v>
      </c>
      <c r="CR120">
        <f>5560.24</f>
        <v>5560.24</v>
      </c>
      <c r="CS120">
        <f>5150</f>
        <v>5150</v>
      </c>
      <c r="CT120">
        <f>5530.045</f>
        <v>5530.0450000000001</v>
      </c>
      <c r="CU120">
        <f>4827</f>
        <v>4827</v>
      </c>
      <c r="CV120">
        <f>5506.746</f>
        <v>5506.7460000000001</v>
      </c>
      <c r="CW120">
        <f>5000</f>
        <v>5000</v>
      </c>
      <c r="CX120">
        <f>5665.062</f>
        <v>5665.0619999999999</v>
      </c>
      <c r="CY120">
        <f>4994</f>
        <v>4994</v>
      </c>
      <c r="CZ120">
        <f>2662.725</f>
        <v>2662.7249999999999</v>
      </c>
      <c r="DA120">
        <f>4763.188</f>
        <v>4763.1880000000001</v>
      </c>
      <c r="DB120">
        <f>2269.941</f>
        <v>2269.9409999999998</v>
      </c>
      <c r="DC120">
        <f>4407</f>
        <v>4407</v>
      </c>
      <c r="DD120">
        <f>2206.626</f>
        <v>2206.6260000000002</v>
      </c>
      <c r="DE120">
        <f>4132.717</f>
        <v>4132.7169999999996</v>
      </c>
      <c r="DF120">
        <f>2283.894</f>
        <v>2283.8939999999998</v>
      </c>
      <c r="DG120">
        <f>3970.289</f>
        <v>3970.2890000000002</v>
      </c>
      <c r="DH120">
        <f>2317.644</f>
        <v>2317.6439999999998</v>
      </c>
      <c r="DI120">
        <f>4104.056</f>
        <v>4104.0559999999996</v>
      </c>
      <c r="DJ120">
        <f>2179.432</f>
        <v>2179.4319999999998</v>
      </c>
      <c r="DK120">
        <f>4399.523</f>
        <v>4399.5230000000001</v>
      </c>
      <c r="DL120">
        <f>2419.757</f>
        <v>2419.7570000000001</v>
      </c>
      <c r="DM120">
        <f>4961.969</f>
        <v>4961.9690000000001</v>
      </c>
      <c r="DN120">
        <f>2479.422</f>
        <v>2479.422</v>
      </c>
      <c r="DO120">
        <f>4894.884</f>
        <v>4894.884</v>
      </c>
      <c r="DP120">
        <f>2436.227</f>
        <v>2436.2269999999999</v>
      </c>
      <c r="DQ120">
        <f>5053.064</f>
        <v>5053.0640000000003</v>
      </c>
      <c r="DR120">
        <f>2839.019</f>
        <v>2839.0189999999998</v>
      </c>
      <c r="DS120">
        <f>4280.959</f>
        <v>4280.9589999999998</v>
      </c>
      <c r="DT120">
        <f>2037.778</f>
        <v>2037.778</v>
      </c>
      <c r="DU120" t="str">
        <f>""</f>
        <v/>
      </c>
    </row>
    <row r="121" spans="1:125" x14ac:dyDescent="0.25">
      <c r="A121" t="str">
        <f>"    Banco Santander SA"</f>
        <v xml:space="preserve">    Banco Santander SA</v>
      </c>
      <c r="B121" t="str">
        <f>"SAN SM Equity"</f>
        <v>SAN SM Equity</v>
      </c>
      <c r="C121" t="str">
        <f t="shared" si="9"/>
        <v>BS016</v>
      </c>
      <c r="D121" t="str">
        <f t="shared" si="10"/>
        <v>BS_COMM_LOAN</v>
      </c>
      <c r="E121" t="str">
        <f t="shared" si="11"/>
        <v>Dynamic</v>
      </c>
      <c r="F121">
        <f ca="1">IF(AND(ISNUMBER($F$324),$B$208=1),$F$324,HLOOKUP(INDIRECT(ADDRESS(2,COLUMN())),OFFSET($BN$2,0,0,ROW()-1,60),ROW()-1,FALSE))</f>
        <v>93329</v>
      </c>
      <c r="G121">
        <f ca="1">IF(AND(ISNUMBER($G$324),$B$208=1),$G$324,HLOOKUP(INDIRECT(ADDRESS(2,COLUMN())),OFFSET($BN$2,0,0,ROW()-1,60),ROW()-1,FALSE))</f>
        <v>90374</v>
      </c>
      <c r="H121">
        <f ca="1">IF(AND(ISNUMBER($H$324),$B$208=1),$H$324,HLOOKUP(INDIRECT(ADDRESS(2,COLUMN())),OFFSET($BN$2,0,0,ROW()-1,60),ROW()-1,FALSE))</f>
        <v>93488</v>
      </c>
      <c r="I121">
        <f ca="1">IF(AND(ISNUMBER($I$324),$B$208=1),$I$324,HLOOKUP(INDIRECT(ADDRESS(2,COLUMN())),OFFSET($BN$2,0,0,ROW()-1,60),ROW()-1,FALSE))</f>
        <v>89745</v>
      </c>
      <c r="J121">
        <f ca="1">IF(AND(ISNUMBER($J$324),$B$208=1),$J$324,HLOOKUP(INDIRECT(ADDRESS(2,COLUMN())),OFFSET($BN$2,0,0,ROW()-1,60),ROW()-1,FALSE))</f>
        <v>94351</v>
      </c>
      <c r="K121">
        <f ca="1">IF(AND(ISNUMBER($K$324),$B$208=1),$K$324,HLOOKUP(INDIRECT(ADDRESS(2,COLUMN())),OFFSET($BN$2,0,0,ROW()-1,60),ROW()-1,FALSE))</f>
        <v>87317</v>
      </c>
      <c r="L121">
        <f ca="1">IF(AND(ISNUMBER($L$324),$B$208=1),$L$324,HLOOKUP(INDIRECT(ADDRESS(2,COLUMN())),OFFSET($BN$2,0,0,ROW()-1,60),ROW()-1,FALSE))</f>
        <v>90427</v>
      </c>
      <c r="M121">
        <f ca="1">IF(AND(ISNUMBER($M$324),$B$208=1),$M$324,HLOOKUP(INDIRECT(ADDRESS(2,COLUMN())),OFFSET($BN$2,0,0,ROW()-1,60),ROW()-1,FALSE))</f>
        <v>91861</v>
      </c>
      <c r="N121">
        <f ca="1">IF(AND(ISNUMBER($N$324),$B$208=1),$N$324,HLOOKUP(INDIRECT(ADDRESS(2,COLUMN())),OFFSET($BN$2,0,0,ROW()-1,60),ROW()-1,FALSE))</f>
        <v>96521</v>
      </c>
      <c r="O121">
        <f ca="1">IF(AND(ISNUMBER($O$324),$B$208=1),$O$324,HLOOKUP(INDIRECT(ADDRESS(2,COLUMN())),OFFSET($BN$2,0,0,ROW()-1,60),ROW()-1,FALSE))</f>
        <v>94934</v>
      </c>
      <c r="P121">
        <f ca="1">IF(AND(ISNUMBER($P$324),$B$208=1),$P$324,HLOOKUP(INDIRECT(ADDRESS(2,COLUMN())),OFFSET($BN$2,0,0,ROW()-1,60),ROW()-1,FALSE))</f>
        <v>96310</v>
      </c>
      <c r="Q121">
        <f ca="1">IF(AND(ISNUMBER($Q$324),$B$208=1),$Q$324,HLOOKUP(INDIRECT(ADDRESS(2,COLUMN())),OFFSET($BN$2,0,0,ROW()-1,60),ROW()-1,FALSE))</f>
        <v>90354</v>
      </c>
      <c r="R121">
        <f ca="1">IF(AND(ISNUMBER($R$324),$B$208=1),$R$324,HLOOKUP(INDIRECT(ADDRESS(2,COLUMN())),OFFSET($BN$2,0,0,ROW()-1,60),ROW()-1,FALSE))</f>
        <v>88106</v>
      </c>
      <c r="S121">
        <f ca="1">IF(AND(ISNUMBER($S$324),$B$208=1),$S$324,HLOOKUP(INDIRECT(ADDRESS(2,COLUMN())),OFFSET($BN$2,0,0,ROW()-1,60),ROW()-1,FALSE))</f>
        <v>80399</v>
      </c>
      <c r="T121">
        <f ca="1">IF(AND(ISNUMBER($T$324),$B$208=1),$T$324,HLOOKUP(INDIRECT(ADDRESS(2,COLUMN())),OFFSET($BN$2,0,0,ROW()-1,60),ROW()-1,FALSE))</f>
        <v>80583</v>
      </c>
      <c r="U121">
        <f ca="1">IF(AND(ISNUMBER($U$324),$B$208=1),$U$324,HLOOKUP(INDIRECT(ADDRESS(2,COLUMN())),OFFSET($BN$2,0,0,ROW()-1,60),ROW()-1,FALSE))</f>
        <v>74936</v>
      </c>
      <c r="V121">
        <f ca="1">IF(AND(ISNUMBER($V$324),$B$208=1),$V$324,HLOOKUP(INDIRECT(ADDRESS(2,COLUMN())),OFFSET($BN$2,0,0,ROW()-1,60),ROW()-1,FALSE))</f>
        <v>73710</v>
      </c>
      <c r="W121">
        <f ca="1">IF(AND(ISNUMBER($W$324),$B$208=1),$W$324,HLOOKUP(INDIRECT(ADDRESS(2,COLUMN())),OFFSET($BN$2,0,0,ROW()-1,60),ROW()-1,FALSE))</f>
        <v>64205</v>
      </c>
      <c r="X121">
        <f ca="1">IF(AND(ISNUMBER($X$324),$B$208=1),$X$324,HLOOKUP(INDIRECT(ADDRESS(2,COLUMN())),OFFSET($BN$2,0,0,ROW()-1,60),ROW()-1,FALSE))</f>
        <v>65755</v>
      </c>
      <c r="Y121">
        <f ca="1">IF(AND(ISNUMBER($Y$324),$B$208=1),$Y$324,HLOOKUP(INDIRECT(ADDRESS(2,COLUMN())),OFFSET($BN$2,0,0,ROW()-1,60),ROW()-1,FALSE))</f>
        <v>69979</v>
      </c>
      <c r="Z121">
        <f ca="1">IF(AND(ISNUMBER($Z$324),$B$208=1),$Z$324,HLOOKUP(INDIRECT(ADDRESS(2,COLUMN())),OFFSET($BN$2,0,0,ROW()-1,60),ROW()-1,FALSE))</f>
        <v>73541</v>
      </c>
      <c r="AA121">
        <f ca="1">IF(AND(ISNUMBER($AA$324),$B$208=1),$AA$324,HLOOKUP(INDIRECT(ADDRESS(2,COLUMN())),OFFSET($BN$2,0,0,ROW()-1,60),ROW()-1,FALSE))</f>
        <v>68359</v>
      </c>
      <c r="AB121">
        <f ca="1">IF(AND(ISNUMBER($AB$324),$B$208=1),$AB$324,HLOOKUP(INDIRECT(ADDRESS(2,COLUMN())),OFFSET($BN$2,0,0,ROW()-1,60),ROW()-1,FALSE))</f>
        <v>68809</v>
      </c>
      <c r="AC121">
        <f ca="1">IF(AND(ISNUMBER($AC$324),$B$208=1),$AC$324,HLOOKUP(INDIRECT(ADDRESS(2,COLUMN())),OFFSET($BN$2,0,0,ROW()-1,60),ROW()-1,FALSE))</f>
        <v>66010</v>
      </c>
      <c r="AD121">
        <f ca="1">IF(AND(ISNUMBER($AD$324),$B$208=1),$AD$324,HLOOKUP(INDIRECT(ADDRESS(2,COLUMN())),OFFSET($BN$2,0,0,ROW()-1,60),ROW()-1,FALSE))</f>
        <v>64059</v>
      </c>
      <c r="AE121">
        <f ca="1">IF(AND(ISNUMBER($AE$324),$B$208=1),$AE$324,HLOOKUP(INDIRECT(ADDRESS(2,COLUMN())),OFFSET($BN$2,0,0,ROW()-1,60),ROW()-1,FALSE))</f>
        <v>59802</v>
      </c>
      <c r="AF121">
        <f ca="1">IF(AND(ISNUMBER($AF$324),$B$208=1),$AF$324,HLOOKUP(INDIRECT(ADDRESS(2,COLUMN())),OFFSET($BN$2,0,0,ROW()-1,60),ROW()-1,FALSE))</f>
        <v>60105</v>
      </c>
      <c r="AG121">
        <f ca="1">IF(AND(ISNUMBER($AG$324),$B$208=1),$AG$324,HLOOKUP(INDIRECT(ADDRESS(2,COLUMN())),OFFSET($BN$2,0,0,ROW()-1,60),ROW()-1,FALSE))</f>
        <v>56972</v>
      </c>
      <c r="AH121">
        <f ca="1">IF(AND(ISNUMBER($AH$324),$B$208=1),$AH$324,HLOOKUP(INDIRECT(ADDRESS(2,COLUMN())),OFFSET($BN$2,0,0,ROW()-1,60),ROW()-1,FALSE))</f>
        <v>57798</v>
      </c>
      <c r="AI121">
        <f ca="1">IF(AND(ISNUMBER($AI$324),$B$208=1),$AI$324,HLOOKUP(INDIRECT(ADDRESS(2,COLUMN())),OFFSET($BN$2,0,0,ROW()-1,60),ROW()-1,FALSE))</f>
        <v>49541</v>
      </c>
      <c r="AJ121">
        <f ca="1">IF(AND(ISNUMBER($AJ$324),$B$208=1),$AJ$324,HLOOKUP(INDIRECT(ADDRESS(2,COLUMN())),OFFSET($BN$2,0,0,ROW()-1,60),ROW()-1,FALSE))</f>
        <v>49415</v>
      </c>
      <c r="AK121">
        <f ca="1">IF(AND(ISNUMBER($AK$324),$B$208=1),$AK$324,HLOOKUP(INDIRECT(ADDRESS(2,COLUMN())),OFFSET($BN$2,0,0,ROW()-1,60),ROW()-1,FALSE))</f>
        <v>48357</v>
      </c>
      <c r="AL121">
        <f ca="1">IF(AND(ISNUMBER($AL$324),$B$208=1),$AL$324,HLOOKUP(INDIRECT(ADDRESS(2,COLUMN())),OFFSET($BN$2,0,0,ROW()-1,60),ROW()-1,FALSE))</f>
        <v>49080</v>
      </c>
      <c r="AM121">
        <f ca="1">IF(AND(ISNUMBER($AM$324),$B$208=1),$AM$324,HLOOKUP(INDIRECT(ADDRESS(2,COLUMN())),OFFSET($BN$2,0,0,ROW()-1,60),ROW()-1,FALSE))</f>
        <v>23527</v>
      </c>
      <c r="AN121">
        <f ca="1">IF(AND(ISNUMBER($AN$324),$B$208=1),$AN$324,HLOOKUP(INDIRECT(ADDRESS(2,COLUMN())),OFFSET($BN$2,0,0,ROW()-1,60),ROW()-1,FALSE))</f>
        <v>25143</v>
      </c>
      <c r="AO121">
        <f ca="1">IF(AND(ISNUMBER($AO$324),$B$208=1),$AO$324,HLOOKUP(INDIRECT(ADDRESS(2,COLUMN())),OFFSET($BN$2,0,0,ROW()-1,60),ROW()-1,FALSE))</f>
        <v>22658</v>
      </c>
      <c r="AP121">
        <f ca="1">IF(AND(ISNUMBER($AP$324),$B$208=1),$AP$324,HLOOKUP(INDIRECT(ADDRESS(2,COLUMN())),OFFSET($BN$2,0,0,ROW()-1,60),ROW()-1,FALSE))</f>
        <v>81817</v>
      </c>
      <c r="AQ121" t="str">
        <f ca="1">IF(AND(ISNUMBER($AQ$324),$B$208=1),$AQ$324,HLOOKUP(INDIRECT(ADDRESS(2,COLUMN())),OFFSET($BN$2,0,0,ROW()-1,60),ROW()-1,FALSE))</f>
        <v/>
      </c>
      <c r="AR121" t="str">
        <f ca="1">IF(AND(ISNUMBER($AR$324),$B$208=1),$AR$324,HLOOKUP(INDIRECT(ADDRESS(2,COLUMN())),OFFSET($BN$2,0,0,ROW()-1,60),ROW()-1,FALSE))</f>
        <v/>
      </c>
      <c r="AS121" t="str">
        <f ca="1">IF(AND(ISNUMBER($AS$324),$B$208=1),$AS$324,HLOOKUP(INDIRECT(ADDRESS(2,COLUMN())),OFFSET($BN$2,0,0,ROW()-1,60),ROW()-1,FALSE))</f>
        <v/>
      </c>
      <c r="AT121">
        <f ca="1">IF(AND(ISNUMBER($AT$324),$B$208=1),$AT$324,HLOOKUP(INDIRECT(ADDRESS(2,COLUMN())),OFFSET($BN$2,0,0,ROW()-1,60),ROW()-1,FALSE))</f>
        <v>328138</v>
      </c>
      <c r="AU121" t="str">
        <f ca="1">IF(AND(ISNUMBER($AU$324),$B$208=1),$AU$324,HLOOKUP(INDIRECT(ADDRESS(2,COLUMN())),OFFSET($BN$2,0,0,ROW()-1,60),ROW()-1,FALSE))</f>
        <v/>
      </c>
      <c r="AV121" t="str">
        <f ca="1">IF(AND(ISNUMBER($AV$324),$B$208=1),$AV$324,HLOOKUP(INDIRECT(ADDRESS(2,COLUMN())),OFFSET($BN$2,0,0,ROW()-1,60),ROW()-1,FALSE))</f>
        <v/>
      </c>
      <c r="AW121" t="str">
        <f ca="1">IF(AND(ISNUMBER($AW$324),$B$208=1),$AW$324,HLOOKUP(INDIRECT(ADDRESS(2,COLUMN())),OFFSET($BN$2,0,0,ROW()-1,60),ROW()-1,FALSE))</f>
        <v/>
      </c>
      <c r="AX121">
        <f ca="1">IF(AND(ISNUMBER($AX$324),$B$208=1),$AX$324,HLOOKUP(INDIRECT(ADDRESS(2,COLUMN())),OFFSET($BN$2,0,0,ROW()-1,60),ROW()-1,FALSE))</f>
        <v>287933</v>
      </c>
      <c r="AY121" t="str">
        <f ca="1">IF(AND(ISNUMBER($AY$324),$B$208=1),$AY$324,HLOOKUP(INDIRECT(ADDRESS(2,COLUMN())),OFFSET($BN$2,0,0,ROW()-1,60),ROW()-1,FALSE))</f>
        <v/>
      </c>
      <c r="AZ121" t="str">
        <f ca="1">IF(AND(ISNUMBER($AZ$324),$B$208=1),$AZ$324,HLOOKUP(INDIRECT(ADDRESS(2,COLUMN())),OFFSET($BN$2,0,0,ROW()-1,60),ROW()-1,FALSE))</f>
        <v/>
      </c>
      <c r="BA121" t="str">
        <f ca="1">IF(AND(ISNUMBER($BA$324),$B$208=1),$BA$324,HLOOKUP(INDIRECT(ADDRESS(2,COLUMN())),OFFSET($BN$2,0,0,ROW()-1,60),ROW()-1,FALSE))</f>
        <v/>
      </c>
      <c r="BB121">
        <f ca="1">IF(AND(ISNUMBER($BB$324),$B$208=1),$BB$324,HLOOKUP(INDIRECT(ADDRESS(2,COLUMN())),OFFSET($BN$2,0,0,ROW()-1,60),ROW()-1,FALSE))</f>
        <v>311750</v>
      </c>
      <c r="BC121" t="str">
        <f ca="1">IF(AND(ISNUMBER($BC$324),$B$208=1),$BC$324,HLOOKUP(INDIRECT(ADDRESS(2,COLUMN())),OFFSET($BN$2,0,0,ROW()-1,60),ROW()-1,FALSE))</f>
        <v/>
      </c>
      <c r="BD121" t="str">
        <f ca="1">IF(AND(ISNUMBER($BD$324),$B$208=1),$BD$324,HLOOKUP(INDIRECT(ADDRESS(2,COLUMN())),OFFSET($BN$2,0,0,ROW()-1,60),ROW()-1,FALSE))</f>
        <v/>
      </c>
      <c r="BE121" t="str">
        <f ca="1">IF(AND(ISNUMBER($BE$324),$B$208=1),$BE$324,HLOOKUP(INDIRECT(ADDRESS(2,COLUMN())),OFFSET($BN$2,0,0,ROW()-1,60),ROW()-1,FALSE))</f>
        <v/>
      </c>
      <c r="BF121">
        <f ca="1">IF(AND(ISNUMBER($BF$324),$B$208=1),$BF$324,HLOOKUP(INDIRECT(ADDRESS(2,COLUMN())),OFFSET($BN$2,0,0,ROW()-1,60),ROW()-1,FALSE))</f>
        <v>333199</v>
      </c>
      <c r="BG121" t="str">
        <f ca="1">IF(AND(ISNUMBER($BG$324),$B$208=1),$BG$324,HLOOKUP(INDIRECT(ADDRESS(2,COLUMN())),OFFSET($BN$2,0,0,ROW()-1,60),ROW()-1,FALSE))</f>
        <v/>
      </c>
      <c r="BH121" t="str">
        <f ca="1">IF(AND(ISNUMBER($BH$324),$B$208=1),$BH$324,HLOOKUP(INDIRECT(ADDRESS(2,COLUMN())),OFFSET($BN$2,0,0,ROW()-1,60),ROW()-1,FALSE))</f>
        <v/>
      </c>
      <c r="BI121" t="str">
        <f ca="1">IF(AND(ISNUMBER($BI$324),$B$208=1),$BI$324,HLOOKUP(INDIRECT(ADDRESS(2,COLUMN())),OFFSET($BN$2,0,0,ROW()-1,60),ROW()-1,FALSE))</f>
        <v/>
      </c>
      <c r="BJ121">
        <f ca="1">IF(AND(ISNUMBER($BJ$324),$B$208=1),$BJ$324,HLOOKUP(INDIRECT(ADDRESS(2,COLUMN())),OFFSET($BN$2,0,0,ROW()-1,60),ROW()-1,FALSE))</f>
        <v>330301.89</v>
      </c>
      <c r="BK121" t="str">
        <f ca="1">IF(AND(ISNUMBER($BK$324),$B$208=1),$BK$324,HLOOKUP(INDIRECT(ADDRESS(2,COLUMN())),OFFSET($BN$2,0,0,ROW()-1,60),ROW()-1,FALSE))</f>
        <v/>
      </c>
      <c r="BL121" t="str">
        <f ca="1">IF(AND(ISNUMBER($BL$324),$B$208=1),$BL$324,HLOOKUP(INDIRECT(ADDRESS(2,COLUMN())),OFFSET($BN$2,0,0,ROW()-1,60),ROW()-1,FALSE))</f>
        <v/>
      </c>
      <c r="BM121" t="str">
        <f ca="1">IF(AND(ISNUMBER($BM$324),$B$208=1),$BM$324,HLOOKUP(INDIRECT(ADDRESS(2,COLUMN())),OFFSET($BN$2,0,0,ROW()-1,60),ROW()-1,FALSE))</f>
        <v/>
      </c>
      <c r="BN121">
        <f>93329</f>
        <v>93329</v>
      </c>
      <c r="BO121">
        <f>90374</f>
        <v>90374</v>
      </c>
      <c r="BP121">
        <f>93488</f>
        <v>93488</v>
      </c>
      <c r="BQ121">
        <f>89745</f>
        <v>89745</v>
      </c>
      <c r="BR121">
        <f>94351</f>
        <v>94351</v>
      </c>
      <c r="BS121">
        <f>87317</f>
        <v>87317</v>
      </c>
      <c r="BT121">
        <f>90427</f>
        <v>90427</v>
      </c>
      <c r="BU121">
        <f>91861</f>
        <v>91861</v>
      </c>
      <c r="BV121">
        <f>96521</f>
        <v>96521</v>
      </c>
      <c r="BW121">
        <f>94934</f>
        <v>94934</v>
      </c>
      <c r="BX121">
        <f>96310</f>
        <v>96310</v>
      </c>
      <c r="BY121">
        <f>90354</f>
        <v>90354</v>
      </c>
      <c r="BZ121">
        <f>88106</f>
        <v>88106</v>
      </c>
      <c r="CA121">
        <f>80399</f>
        <v>80399</v>
      </c>
      <c r="CB121">
        <f>80583</f>
        <v>80583</v>
      </c>
      <c r="CC121">
        <f>74936</f>
        <v>74936</v>
      </c>
      <c r="CD121">
        <f>73710</f>
        <v>73710</v>
      </c>
      <c r="CE121">
        <f>64205</f>
        <v>64205</v>
      </c>
      <c r="CF121">
        <f>65755</f>
        <v>65755</v>
      </c>
      <c r="CG121">
        <f>69979</f>
        <v>69979</v>
      </c>
      <c r="CH121">
        <f>73541</f>
        <v>73541</v>
      </c>
      <c r="CI121">
        <f>68359</f>
        <v>68359</v>
      </c>
      <c r="CJ121">
        <f>68809</f>
        <v>68809</v>
      </c>
      <c r="CK121">
        <f>66010</f>
        <v>66010</v>
      </c>
      <c r="CL121">
        <f>64059</f>
        <v>64059</v>
      </c>
      <c r="CM121">
        <f>59802</f>
        <v>59802</v>
      </c>
      <c r="CN121">
        <f>60105</f>
        <v>60105</v>
      </c>
      <c r="CO121">
        <f>56972</f>
        <v>56972</v>
      </c>
      <c r="CP121">
        <f>57798</f>
        <v>57798</v>
      </c>
      <c r="CQ121">
        <f>49541</f>
        <v>49541</v>
      </c>
      <c r="CR121">
        <f>49415</f>
        <v>49415</v>
      </c>
      <c r="CS121">
        <f>48357</f>
        <v>48357</v>
      </c>
      <c r="CT121">
        <f>49080</f>
        <v>49080</v>
      </c>
      <c r="CU121">
        <f>23527</f>
        <v>23527</v>
      </c>
      <c r="CV121">
        <f>25143</f>
        <v>25143</v>
      </c>
      <c r="CW121">
        <f>22658</f>
        <v>22658</v>
      </c>
      <c r="CX121">
        <f>81817</f>
        <v>81817</v>
      </c>
      <c r="CY121" t="str">
        <f>""</f>
        <v/>
      </c>
      <c r="CZ121" t="str">
        <f>""</f>
        <v/>
      </c>
      <c r="DA121" t="str">
        <f>""</f>
        <v/>
      </c>
      <c r="DB121">
        <f>328138</f>
        <v>328138</v>
      </c>
      <c r="DC121" t="str">
        <f>""</f>
        <v/>
      </c>
      <c r="DD121" t="str">
        <f>""</f>
        <v/>
      </c>
      <c r="DE121" t="str">
        <f>""</f>
        <v/>
      </c>
      <c r="DF121">
        <f>287933</f>
        <v>287933</v>
      </c>
      <c r="DG121" t="str">
        <f>""</f>
        <v/>
      </c>
      <c r="DH121" t="str">
        <f>""</f>
        <v/>
      </c>
      <c r="DI121" t="str">
        <f>""</f>
        <v/>
      </c>
      <c r="DJ121">
        <f>311750</f>
        <v>311750</v>
      </c>
      <c r="DK121" t="str">
        <f>""</f>
        <v/>
      </c>
      <c r="DL121" t="str">
        <f>""</f>
        <v/>
      </c>
      <c r="DM121" t="str">
        <f>""</f>
        <v/>
      </c>
      <c r="DN121">
        <f>333199</f>
        <v>333199</v>
      </c>
      <c r="DO121" t="str">
        <f>""</f>
        <v/>
      </c>
      <c r="DP121" t="str">
        <f>""</f>
        <v/>
      </c>
      <c r="DQ121" t="str">
        <f>""</f>
        <v/>
      </c>
      <c r="DR121">
        <f>330301.89</f>
        <v>330301.89</v>
      </c>
      <c r="DS121" t="str">
        <f>""</f>
        <v/>
      </c>
      <c r="DT121" t="str">
        <f>""</f>
        <v/>
      </c>
      <c r="DU121" t="str">
        <f>""</f>
        <v/>
      </c>
    </row>
    <row r="122" spans="1:125" x14ac:dyDescent="0.25">
      <c r="A122" t="str">
        <f>"    Barclays PLC"</f>
        <v xml:space="preserve">    Barclays PLC</v>
      </c>
      <c r="B122" t="str">
        <f>"BARC LN Equity"</f>
        <v>BARC LN Equity</v>
      </c>
      <c r="C122" t="str">
        <f t="shared" si="9"/>
        <v>BS016</v>
      </c>
      <c r="D122" t="str">
        <f t="shared" si="10"/>
        <v>BS_COMM_LOAN</v>
      </c>
      <c r="E122" t="str">
        <f t="shared" si="11"/>
        <v>Dynamic</v>
      </c>
      <c r="F122">
        <f ca="1">IF(AND(ISNUMBER($F$325),$B$208=1),$F$325,HLOOKUP(INDIRECT(ADDRESS(2,COLUMN())),OFFSET($BN$2,0,0,ROW()-1,60),ROW()-1,FALSE))</f>
        <v>146069.11300000001</v>
      </c>
      <c r="G122">
        <f ca="1">IF(AND(ISNUMBER($G$325),$B$208=1),$G$325,HLOOKUP(INDIRECT(ADDRESS(2,COLUMN())),OFFSET($BN$2,0,0,ROW()-1,60),ROW()-1,FALSE))</f>
        <v>150923.97579999999</v>
      </c>
      <c r="H122">
        <f ca="1">IF(AND(ISNUMBER($H$325),$B$208=1),$H$325,HLOOKUP(INDIRECT(ADDRESS(2,COLUMN())),OFFSET($BN$2,0,0,ROW()-1,60),ROW()-1,FALSE))</f>
        <v>152122.8046</v>
      </c>
      <c r="I122">
        <f ca="1">IF(AND(ISNUMBER($I$325),$B$208=1),$I$325,HLOOKUP(INDIRECT(ADDRESS(2,COLUMN())),OFFSET($BN$2,0,0,ROW()-1,60),ROW()-1,FALSE))</f>
        <v>149948.61989999999</v>
      </c>
      <c r="J122">
        <f ca="1">IF(AND(ISNUMBER($J$325),$B$208=1),$J$325,HLOOKUP(INDIRECT(ADDRESS(2,COLUMN())),OFFSET($BN$2,0,0,ROW()-1,60),ROW()-1,FALSE))</f>
        <v>126494.8959</v>
      </c>
      <c r="K122">
        <f ca="1">IF(AND(ISNUMBER($K$325),$B$208=1),$K$325,HLOOKUP(INDIRECT(ADDRESS(2,COLUMN())),OFFSET($BN$2,0,0,ROW()-1,60),ROW()-1,FALSE))</f>
        <v>151192.6226</v>
      </c>
      <c r="L122">
        <f ca="1">IF(AND(ISNUMBER($L$325),$B$208=1),$L$325,HLOOKUP(INDIRECT(ADDRESS(2,COLUMN())),OFFSET($BN$2,0,0,ROW()-1,60),ROW()-1,FALSE))</f>
        <v>143727.60399999999</v>
      </c>
      <c r="M122">
        <f ca="1">IF(AND(ISNUMBER($M$325),$B$208=1),$M$325,HLOOKUP(INDIRECT(ADDRESS(2,COLUMN())),OFFSET($BN$2,0,0,ROW()-1,60),ROW()-1,FALSE))</f>
        <v>202854.15729999999</v>
      </c>
      <c r="N122">
        <f ca="1">IF(AND(ISNUMBER($N$325),$B$208=1),$N$325,HLOOKUP(INDIRECT(ADDRESS(2,COLUMN())),OFFSET($BN$2,0,0,ROW()-1,60),ROW()-1,FALSE))</f>
        <v>145669.58850000001</v>
      </c>
      <c r="O122">
        <f ca="1">IF(AND(ISNUMBER($O$325),$B$208=1),$O$325,HLOOKUP(INDIRECT(ADDRESS(2,COLUMN())),OFFSET($BN$2,0,0,ROW()-1,60),ROW()-1,FALSE))</f>
        <v>214763.52499999999</v>
      </c>
      <c r="P122">
        <f ca="1">IF(AND(ISNUMBER($P$325),$B$208=1),$P$325,HLOOKUP(INDIRECT(ADDRESS(2,COLUMN())),OFFSET($BN$2,0,0,ROW()-1,60),ROW()-1,FALSE))</f>
        <v>204192.13219999999</v>
      </c>
      <c r="Q122" t="str">
        <f ca="1">IF(AND(ISNUMBER($Q$325),$B$208=1),$Q$325,HLOOKUP(INDIRECT(ADDRESS(2,COLUMN())),OFFSET($BN$2,0,0,ROW()-1,60),ROW()-1,FALSE))</f>
        <v/>
      </c>
      <c r="R122">
        <f ca="1">IF(AND(ISNUMBER($R$325),$B$208=1),$R$325,HLOOKUP(INDIRECT(ADDRESS(2,COLUMN())),OFFSET($BN$2,0,0,ROW()-1,60),ROW()-1,FALSE))</f>
        <v>128606.2748</v>
      </c>
      <c r="S122">
        <f ca="1">IF(AND(ISNUMBER($S$325),$B$208=1),$S$325,HLOOKUP(INDIRECT(ADDRESS(2,COLUMN())),OFFSET($BN$2,0,0,ROW()-1,60),ROW()-1,FALSE))</f>
        <v>167687.22870000001</v>
      </c>
      <c r="T122">
        <f ca="1">IF(AND(ISNUMBER($T$325),$B$208=1),$T$325,HLOOKUP(INDIRECT(ADDRESS(2,COLUMN())),OFFSET($BN$2,0,0,ROW()-1,60),ROW()-1,FALSE))</f>
        <v>166773.9725</v>
      </c>
      <c r="U122" t="str">
        <f ca="1">IF(AND(ISNUMBER($U$325),$B$208=1),$U$325,HLOOKUP(INDIRECT(ADDRESS(2,COLUMN())),OFFSET($BN$2,0,0,ROW()-1,60),ROW()-1,FALSE))</f>
        <v/>
      </c>
      <c r="V122">
        <f ca="1">IF(AND(ISNUMBER($V$325),$B$208=1),$V$325,HLOOKUP(INDIRECT(ADDRESS(2,COLUMN())),OFFSET($BN$2,0,0,ROW()-1,60),ROW()-1,FALSE))</f>
        <v>113106.21189999999</v>
      </c>
      <c r="W122">
        <f ca="1">IF(AND(ISNUMBER($W$325),$B$208=1),$W$325,HLOOKUP(INDIRECT(ADDRESS(2,COLUMN())),OFFSET($BN$2,0,0,ROW()-1,60),ROW()-1,FALSE))</f>
        <v>158230.79240000001</v>
      </c>
      <c r="X122">
        <f ca="1">IF(AND(ISNUMBER($X$325),$B$208=1),$X$325,HLOOKUP(INDIRECT(ADDRESS(2,COLUMN())),OFFSET($BN$2,0,0,ROW()-1,60),ROW()-1,FALSE))</f>
        <v>167895.48629999999</v>
      </c>
      <c r="Y122" t="str">
        <f ca="1">IF(AND(ISNUMBER($Y$325),$B$208=1),$Y$325,HLOOKUP(INDIRECT(ADDRESS(2,COLUMN())),OFFSET($BN$2,0,0,ROW()-1,60),ROW()-1,FALSE))</f>
        <v/>
      </c>
      <c r="Z122">
        <f ca="1">IF(AND(ISNUMBER($Z$325),$B$208=1),$Z$325,HLOOKUP(INDIRECT(ADDRESS(2,COLUMN())),OFFSET($BN$2,0,0,ROW()-1,60),ROW()-1,FALSE))</f>
        <v>111604.56020000001</v>
      </c>
      <c r="AA122">
        <f ca="1">IF(AND(ISNUMBER($AA$325),$B$208=1),$AA$325,HLOOKUP(INDIRECT(ADDRESS(2,COLUMN())),OFFSET($BN$2,0,0,ROW()-1,60),ROW()-1,FALSE))</f>
        <v>152239.092</v>
      </c>
      <c r="AB122">
        <f ca="1">IF(AND(ISNUMBER($AB$325),$B$208=1),$AB$325,HLOOKUP(INDIRECT(ADDRESS(2,COLUMN())),OFFSET($BN$2,0,0,ROW()-1,60),ROW()-1,FALSE))</f>
        <v>145814.2403</v>
      </c>
      <c r="AC122" t="str">
        <f ca="1">IF(AND(ISNUMBER($AC$325),$B$208=1),$AC$325,HLOOKUP(INDIRECT(ADDRESS(2,COLUMN())),OFFSET($BN$2,0,0,ROW()-1,60),ROW()-1,FALSE))</f>
        <v/>
      </c>
      <c r="AD122">
        <f ca="1">IF(AND(ISNUMBER($AD$325),$B$208=1),$AD$325,HLOOKUP(INDIRECT(ADDRESS(2,COLUMN())),OFFSET($BN$2,0,0,ROW()-1,60),ROW()-1,FALSE))</f>
        <v>108306.4972</v>
      </c>
      <c r="AE122">
        <f ca="1">IF(AND(ISNUMBER($AE$325),$B$208=1),$AE$325,HLOOKUP(INDIRECT(ADDRESS(2,COLUMN())),OFFSET($BN$2,0,0,ROW()-1,60),ROW()-1,FALSE))</f>
        <v>140634.39920000001</v>
      </c>
      <c r="AF122">
        <f ca="1">IF(AND(ISNUMBER($AF$325),$B$208=1),$AF$325,HLOOKUP(INDIRECT(ADDRESS(2,COLUMN())),OFFSET($BN$2,0,0,ROW()-1,60),ROW()-1,FALSE))</f>
        <v>135509.39679999999</v>
      </c>
      <c r="AG122" t="str">
        <f ca="1">IF(AND(ISNUMBER($AG$325),$B$208=1),$AG$325,HLOOKUP(INDIRECT(ADDRESS(2,COLUMN())),OFFSET($BN$2,0,0,ROW()-1,60),ROW()-1,FALSE))</f>
        <v/>
      </c>
      <c r="AH122">
        <f ca="1">IF(AND(ISNUMBER($AH$325),$B$208=1),$AH$325,HLOOKUP(INDIRECT(ADDRESS(2,COLUMN())),OFFSET($BN$2,0,0,ROW()-1,60),ROW()-1,FALSE))</f>
        <v>165270.2096</v>
      </c>
      <c r="AI122" t="str">
        <f ca="1">IF(AND(ISNUMBER($AI$325),$B$208=1),$AI$325,HLOOKUP(INDIRECT(ADDRESS(2,COLUMN())),OFFSET($BN$2,0,0,ROW()-1,60),ROW()-1,FALSE))</f>
        <v/>
      </c>
      <c r="AJ122">
        <f ca="1">IF(AND(ISNUMBER($AJ$325),$B$208=1),$AJ$325,HLOOKUP(INDIRECT(ADDRESS(2,COLUMN())),OFFSET($BN$2,0,0,ROW()-1,60),ROW()-1,FALSE))</f>
        <v>138376.26149999999</v>
      </c>
      <c r="AK122" t="str">
        <f ca="1">IF(AND(ISNUMBER($AK$325),$B$208=1),$AK$325,HLOOKUP(INDIRECT(ADDRESS(2,COLUMN())),OFFSET($BN$2,0,0,ROW()-1,60),ROW()-1,FALSE))</f>
        <v/>
      </c>
      <c r="AL122">
        <f ca="1">IF(AND(ISNUMBER($AL$325),$B$208=1),$AL$325,HLOOKUP(INDIRECT(ADDRESS(2,COLUMN())),OFFSET($BN$2,0,0,ROW()-1,60),ROW()-1,FALSE))</f>
        <v>199610.46840000001</v>
      </c>
      <c r="AM122" t="str">
        <f ca="1">IF(AND(ISNUMBER($AM$325),$B$208=1),$AM$325,HLOOKUP(INDIRECT(ADDRESS(2,COLUMN())),OFFSET($BN$2,0,0,ROW()-1,60),ROW()-1,FALSE))</f>
        <v/>
      </c>
      <c r="AN122">
        <f ca="1">IF(AND(ISNUMBER($AN$325),$B$208=1),$AN$325,HLOOKUP(INDIRECT(ADDRESS(2,COLUMN())),OFFSET($BN$2,0,0,ROW()-1,60),ROW()-1,FALSE))</f>
        <v>169486.0287</v>
      </c>
      <c r="AO122" t="str">
        <f ca="1">IF(AND(ISNUMBER($AO$325),$B$208=1),$AO$325,HLOOKUP(INDIRECT(ADDRESS(2,COLUMN())),OFFSET($BN$2,0,0,ROW()-1,60),ROW()-1,FALSE))</f>
        <v/>
      </c>
      <c r="AP122">
        <f ca="1">IF(AND(ISNUMBER($AP$325),$B$208=1),$AP$325,HLOOKUP(INDIRECT(ADDRESS(2,COLUMN())),OFFSET($BN$2,0,0,ROW()-1,60),ROW()-1,FALSE))</f>
        <v>222170.7127</v>
      </c>
      <c r="AQ122" t="str">
        <f ca="1">IF(AND(ISNUMBER($AQ$325),$B$208=1),$AQ$325,HLOOKUP(INDIRECT(ADDRESS(2,COLUMN())),OFFSET($BN$2,0,0,ROW()-1,60),ROW()-1,FALSE))</f>
        <v/>
      </c>
      <c r="AR122">
        <f ca="1">IF(AND(ISNUMBER($AR$325),$B$208=1),$AR$325,HLOOKUP(INDIRECT(ADDRESS(2,COLUMN())),OFFSET($BN$2,0,0,ROW()-1,60),ROW()-1,FALSE))</f>
        <v>176678.89809999999</v>
      </c>
      <c r="AS122" t="str">
        <f ca="1">IF(AND(ISNUMBER($AS$325),$B$208=1),$AS$325,HLOOKUP(INDIRECT(ADDRESS(2,COLUMN())),OFFSET($BN$2,0,0,ROW()-1,60),ROW()-1,FALSE))</f>
        <v/>
      </c>
      <c r="AT122">
        <f ca="1">IF(AND(ISNUMBER($AT$325),$B$208=1),$AT$325,HLOOKUP(INDIRECT(ADDRESS(2,COLUMN())),OFFSET($BN$2,0,0,ROW()-1,60),ROW()-1,FALSE))</f>
        <v>234518.516</v>
      </c>
      <c r="AU122" t="str">
        <f ca="1">IF(AND(ISNUMBER($AU$325),$B$208=1),$AU$325,HLOOKUP(INDIRECT(ADDRESS(2,COLUMN())),OFFSET($BN$2,0,0,ROW()-1,60),ROW()-1,FALSE))</f>
        <v/>
      </c>
      <c r="AV122">
        <f ca="1">IF(AND(ISNUMBER($AV$325),$B$208=1),$AV$325,HLOOKUP(INDIRECT(ADDRESS(2,COLUMN())),OFFSET($BN$2,0,0,ROW()-1,60),ROW()-1,FALSE))</f>
        <v>157791.87160000001</v>
      </c>
      <c r="AW122" t="str">
        <f ca="1">IF(AND(ISNUMBER($AW$325),$B$208=1),$AW$325,HLOOKUP(INDIRECT(ADDRESS(2,COLUMN())),OFFSET($BN$2,0,0,ROW()-1,60),ROW()-1,FALSE))</f>
        <v/>
      </c>
      <c r="AX122">
        <f ca="1">IF(AND(ISNUMBER($AX$325),$B$208=1),$AX$325,HLOOKUP(INDIRECT(ADDRESS(2,COLUMN())),OFFSET($BN$2,0,0,ROW()-1,60),ROW()-1,FALSE))</f>
        <v>213666.43950000001</v>
      </c>
      <c r="AY122" t="str">
        <f ca="1">IF(AND(ISNUMBER($AY$325),$B$208=1),$AY$325,HLOOKUP(INDIRECT(ADDRESS(2,COLUMN())),OFFSET($BN$2,0,0,ROW()-1,60),ROW()-1,FALSE))</f>
        <v/>
      </c>
      <c r="AZ122">
        <f ca="1">IF(AND(ISNUMBER($AZ$325),$B$208=1),$AZ$325,HLOOKUP(INDIRECT(ADDRESS(2,COLUMN())),OFFSET($BN$2,0,0,ROW()-1,60),ROW()-1,FALSE))</f>
        <v>241333.4944</v>
      </c>
      <c r="BA122" t="str">
        <f ca="1">IF(AND(ISNUMBER($BA$325),$B$208=1),$BA$325,HLOOKUP(INDIRECT(ADDRESS(2,COLUMN())),OFFSET($BN$2,0,0,ROW()-1,60),ROW()-1,FALSE))</f>
        <v/>
      </c>
      <c r="BB122">
        <f ca="1">IF(AND(ISNUMBER($BB$325),$B$208=1),$BB$325,HLOOKUP(INDIRECT(ADDRESS(2,COLUMN())),OFFSET($BN$2,0,0,ROW()-1,60),ROW()-1,FALSE))</f>
        <v>209350.35870000001</v>
      </c>
      <c r="BC122" t="str">
        <f ca="1">IF(AND(ISNUMBER($BC$325),$B$208=1),$BC$325,HLOOKUP(INDIRECT(ADDRESS(2,COLUMN())),OFFSET($BN$2,0,0,ROW()-1,60),ROW()-1,FALSE))</f>
        <v/>
      </c>
      <c r="BD122">
        <f ca="1">IF(AND(ISNUMBER($BD$325),$B$208=1),$BD$325,HLOOKUP(INDIRECT(ADDRESS(2,COLUMN())),OFFSET($BN$2,0,0,ROW()-1,60),ROW()-1,FALSE))</f>
        <v>244596.31030000001</v>
      </c>
      <c r="BE122" t="str">
        <f ca="1">IF(AND(ISNUMBER($BE$325),$B$208=1),$BE$325,HLOOKUP(INDIRECT(ADDRESS(2,COLUMN())),OFFSET($BN$2,0,0,ROW()-1,60),ROW()-1,FALSE))</f>
        <v/>
      </c>
      <c r="BF122">
        <f ca="1">IF(AND(ISNUMBER($BF$325),$B$208=1),$BF$325,HLOOKUP(INDIRECT(ADDRESS(2,COLUMN())),OFFSET($BN$2,0,0,ROW()-1,60),ROW()-1,FALSE))</f>
        <v>216820.8461</v>
      </c>
      <c r="BG122" t="str">
        <f ca="1">IF(AND(ISNUMBER($BG$325),$B$208=1),$BG$325,HLOOKUP(INDIRECT(ADDRESS(2,COLUMN())),OFFSET($BN$2,0,0,ROW()-1,60),ROW()-1,FALSE))</f>
        <v/>
      </c>
      <c r="BH122">
        <f ca="1">IF(AND(ISNUMBER($BH$325),$B$208=1),$BH$325,HLOOKUP(INDIRECT(ADDRESS(2,COLUMN())),OFFSET($BN$2,0,0,ROW()-1,60),ROW()-1,FALSE))</f>
        <v>203088.65169999999</v>
      </c>
      <c r="BI122" t="str">
        <f ca="1">IF(AND(ISNUMBER($BI$325),$B$208=1),$BI$325,HLOOKUP(INDIRECT(ADDRESS(2,COLUMN())),OFFSET($BN$2,0,0,ROW()-1,60),ROW()-1,FALSE))</f>
        <v/>
      </c>
      <c r="BJ122">
        <f ca="1">IF(AND(ISNUMBER($BJ$325),$B$208=1),$BJ$325,HLOOKUP(INDIRECT(ADDRESS(2,COLUMN())),OFFSET($BN$2,0,0,ROW()-1,60),ROW()-1,FALSE))</f>
        <v>268666.54759999999</v>
      </c>
      <c r="BK122" t="str">
        <f ca="1">IF(AND(ISNUMBER($BK$325),$B$208=1),$BK$325,HLOOKUP(INDIRECT(ADDRESS(2,COLUMN())),OFFSET($BN$2,0,0,ROW()-1,60),ROW()-1,FALSE))</f>
        <v/>
      </c>
      <c r="BL122">
        <f ca="1">IF(AND(ISNUMBER($BL$325),$B$208=1),$BL$325,HLOOKUP(INDIRECT(ADDRESS(2,COLUMN())),OFFSET($BN$2,0,0,ROW()-1,60),ROW()-1,FALSE))</f>
        <v>284403.2071</v>
      </c>
      <c r="BM122" t="str">
        <f ca="1">IF(AND(ISNUMBER($BM$325),$B$208=1),$BM$325,HLOOKUP(INDIRECT(ADDRESS(2,COLUMN())),OFFSET($BN$2,0,0,ROW()-1,60),ROW()-1,FALSE))</f>
        <v/>
      </c>
      <c r="BN122">
        <f>146069.113</f>
        <v>146069.11300000001</v>
      </c>
      <c r="BO122">
        <f>150923.9758</f>
        <v>150923.97579999999</v>
      </c>
      <c r="BP122">
        <f>152122.8046</f>
        <v>152122.8046</v>
      </c>
      <c r="BQ122">
        <f>149948.6199</f>
        <v>149948.61989999999</v>
      </c>
      <c r="BR122">
        <f>126494.8959</f>
        <v>126494.8959</v>
      </c>
      <c r="BS122">
        <f>151192.6226</f>
        <v>151192.6226</v>
      </c>
      <c r="BT122">
        <f>143727.604</f>
        <v>143727.60399999999</v>
      </c>
      <c r="BU122">
        <f>202854.1573</f>
        <v>202854.15729999999</v>
      </c>
      <c r="BV122">
        <f>145669.5885</f>
        <v>145669.58850000001</v>
      </c>
      <c r="BW122">
        <f>214763.525</f>
        <v>214763.52499999999</v>
      </c>
      <c r="BX122">
        <f>204192.1322</f>
        <v>204192.13219999999</v>
      </c>
      <c r="BY122" t="str">
        <f>""</f>
        <v/>
      </c>
      <c r="BZ122">
        <f>128606.2748</f>
        <v>128606.2748</v>
      </c>
      <c r="CA122">
        <f>167687.2287</f>
        <v>167687.22870000001</v>
      </c>
      <c r="CB122">
        <f>166773.9725</f>
        <v>166773.9725</v>
      </c>
      <c r="CC122" t="str">
        <f>""</f>
        <v/>
      </c>
      <c r="CD122">
        <f>113106.2119</f>
        <v>113106.21189999999</v>
      </c>
      <c r="CE122">
        <f>158230.7924</f>
        <v>158230.79240000001</v>
      </c>
      <c r="CF122">
        <f>167895.4863</f>
        <v>167895.48629999999</v>
      </c>
      <c r="CG122" t="str">
        <f>""</f>
        <v/>
      </c>
      <c r="CH122">
        <f>111604.5602</f>
        <v>111604.56020000001</v>
      </c>
      <c r="CI122">
        <f>152239.092</f>
        <v>152239.092</v>
      </c>
      <c r="CJ122">
        <f>145814.2403</f>
        <v>145814.2403</v>
      </c>
      <c r="CK122" t="str">
        <f>""</f>
        <v/>
      </c>
      <c r="CL122">
        <f>108306.4972</f>
        <v>108306.4972</v>
      </c>
      <c r="CM122">
        <f>140634.3992</f>
        <v>140634.39920000001</v>
      </c>
      <c r="CN122">
        <f>135509.3968</f>
        <v>135509.39679999999</v>
      </c>
      <c r="CO122" t="str">
        <f>""</f>
        <v/>
      </c>
      <c r="CP122">
        <f>165270.2096</f>
        <v>165270.2096</v>
      </c>
      <c r="CQ122" t="str">
        <f>""</f>
        <v/>
      </c>
      <c r="CR122">
        <f>138376.2615</f>
        <v>138376.26149999999</v>
      </c>
      <c r="CS122" t="str">
        <f>""</f>
        <v/>
      </c>
      <c r="CT122">
        <f>199610.4684</f>
        <v>199610.46840000001</v>
      </c>
      <c r="CU122" t="str">
        <f>""</f>
        <v/>
      </c>
      <c r="CV122">
        <f>169486.0287</f>
        <v>169486.0287</v>
      </c>
      <c r="CW122" t="str">
        <f>""</f>
        <v/>
      </c>
      <c r="CX122">
        <f>222170.7127</f>
        <v>222170.7127</v>
      </c>
      <c r="CY122" t="str">
        <f>""</f>
        <v/>
      </c>
      <c r="CZ122">
        <f>176678.8981</f>
        <v>176678.89809999999</v>
      </c>
      <c r="DA122" t="str">
        <f>""</f>
        <v/>
      </c>
      <c r="DB122">
        <f>234518.516</f>
        <v>234518.516</v>
      </c>
      <c r="DC122" t="str">
        <f>""</f>
        <v/>
      </c>
      <c r="DD122">
        <f>157791.8716</f>
        <v>157791.87160000001</v>
      </c>
      <c r="DE122" t="str">
        <f>""</f>
        <v/>
      </c>
      <c r="DF122">
        <f>213666.4395</f>
        <v>213666.43950000001</v>
      </c>
      <c r="DG122" t="str">
        <f>""</f>
        <v/>
      </c>
      <c r="DH122">
        <f>241333.4944</f>
        <v>241333.4944</v>
      </c>
      <c r="DI122" t="str">
        <f>""</f>
        <v/>
      </c>
      <c r="DJ122">
        <f>209350.3587</f>
        <v>209350.35870000001</v>
      </c>
      <c r="DK122" t="str">
        <f>""</f>
        <v/>
      </c>
      <c r="DL122">
        <f>244596.3103</f>
        <v>244596.31030000001</v>
      </c>
      <c r="DM122" t="str">
        <f>""</f>
        <v/>
      </c>
      <c r="DN122">
        <f>216820.8461</f>
        <v>216820.8461</v>
      </c>
      <c r="DO122" t="str">
        <f>""</f>
        <v/>
      </c>
      <c r="DP122">
        <f>203088.6517</f>
        <v>203088.65169999999</v>
      </c>
      <c r="DQ122" t="str">
        <f>""</f>
        <v/>
      </c>
      <c r="DR122">
        <f>268666.5476</f>
        <v>268666.54759999999</v>
      </c>
      <c r="DS122" t="str">
        <f>""</f>
        <v/>
      </c>
      <c r="DT122">
        <f>284403.2071</f>
        <v>284403.2071</v>
      </c>
      <c r="DU122" t="str">
        <f>""</f>
        <v/>
      </c>
    </row>
    <row r="123" spans="1:125" x14ac:dyDescent="0.25">
      <c r="A123" t="str">
        <f>"    BAWAG Group AG"</f>
        <v xml:space="preserve">    BAWAG Group AG</v>
      </c>
      <c r="B123" t="str">
        <f>"BG AV Equity"</f>
        <v>BG AV Equity</v>
      </c>
      <c r="C123" t="str">
        <f t="shared" si="9"/>
        <v>BS016</v>
      </c>
      <c r="D123" t="str">
        <f t="shared" si="10"/>
        <v>BS_COMM_LOAN</v>
      </c>
      <c r="E123" t="str">
        <f t="shared" si="11"/>
        <v>Dynamic</v>
      </c>
      <c r="F123" t="str">
        <f ca="1">IF(AND(ISNUMBER($F$326),$B$208=1),$F$326,HLOOKUP(INDIRECT(ADDRESS(2,COLUMN())),OFFSET($BN$2,0,0,ROW()-1,60),ROW()-1,FALSE))</f>
        <v/>
      </c>
      <c r="G123" t="str">
        <f ca="1">IF(AND(ISNUMBER($G$326),$B$208=1),$G$326,HLOOKUP(INDIRECT(ADDRESS(2,COLUMN())),OFFSET($BN$2,0,0,ROW()-1,60),ROW()-1,FALSE))</f>
        <v/>
      </c>
      <c r="H123" t="str">
        <f ca="1">IF(AND(ISNUMBER($H$326),$B$208=1),$H$326,HLOOKUP(INDIRECT(ADDRESS(2,COLUMN())),OFFSET($BN$2,0,0,ROW()-1,60),ROW()-1,FALSE))</f>
        <v/>
      </c>
      <c r="I123" t="str">
        <f ca="1">IF(AND(ISNUMBER($I$326),$B$208=1),$I$326,HLOOKUP(INDIRECT(ADDRESS(2,COLUMN())),OFFSET($BN$2,0,0,ROW()-1,60),ROW()-1,FALSE))</f>
        <v/>
      </c>
      <c r="J123" t="str">
        <f ca="1">IF(AND(ISNUMBER($J$326),$B$208=1),$J$326,HLOOKUP(INDIRECT(ADDRESS(2,COLUMN())),OFFSET($BN$2,0,0,ROW()-1,60),ROW()-1,FALSE))</f>
        <v/>
      </c>
      <c r="K123" t="str">
        <f ca="1">IF(AND(ISNUMBER($K$326),$B$208=1),$K$326,HLOOKUP(INDIRECT(ADDRESS(2,COLUMN())),OFFSET($BN$2,0,0,ROW()-1,60),ROW()-1,FALSE))</f>
        <v/>
      </c>
      <c r="L123" t="str">
        <f ca="1">IF(AND(ISNUMBER($L$326),$B$208=1),$L$326,HLOOKUP(INDIRECT(ADDRESS(2,COLUMN())),OFFSET($BN$2,0,0,ROW()-1,60),ROW()-1,FALSE))</f>
        <v/>
      </c>
      <c r="M123" t="str">
        <f ca="1">IF(AND(ISNUMBER($M$326),$B$208=1),$M$326,HLOOKUP(INDIRECT(ADDRESS(2,COLUMN())),OFFSET($BN$2,0,0,ROW()-1,60),ROW()-1,FALSE))</f>
        <v/>
      </c>
      <c r="N123" t="str">
        <f ca="1">IF(AND(ISNUMBER($N$326),$B$208=1),$N$326,HLOOKUP(INDIRECT(ADDRESS(2,COLUMN())),OFFSET($BN$2,0,0,ROW()-1,60),ROW()-1,FALSE))</f>
        <v/>
      </c>
      <c r="O123" t="str">
        <f ca="1">IF(AND(ISNUMBER($O$326),$B$208=1),$O$326,HLOOKUP(INDIRECT(ADDRESS(2,COLUMN())),OFFSET($BN$2,0,0,ROW()-1,60),ROW()-1,FALSE))</f>
        <v/>
      </c>
      <c r="P123" t="str">
        <f ca="1">IF(AND(ISNUMBER($P$326),$B$208=1),$P$326,HLOOKUP(INDIRECT(ADDRESS(2,COLUMN())),OFFSET($BN$2,0,0,ROW()-1,60),ROW()-1,FALSE))</f>
        <v/>
      </c>
      <c r="Q123" t="str">
        <f ca="1">IF(AND(ISNUMBER($Q$326),$B$208=1),$Q$326,HLOOKUP(INDIRECT(ADDRESS(2,COLUMN())),OFFSET($BN$2,0,0,ROW()-1,60),ROW()-1,FALSE))</f>
        <v/>
      </c>
      <c r="R123" t="str">
        <f ca="1">IF(AND(ISNUMBER($R$326),$B$208=1),$R$326,HLOOKUP(INDIRECT(ADDRESS(2,COLUMN())),OFFSET($BN$2,0,0,ROW()-1,60),ROW()-1,FALSE))</f>
        <v/>
      </c>
      <c r="S123" t="str">
        <f ca="1">IF(AND(ISNUMBER($S$326),$B$208=1),$S$326,HLOOKUP(INDIRECT(ADDRESS(2,COLUMN())),OFFSET($BN$2,0,0,ROW()-1,60),ROW()-1,FALSE))</f>
        <v/>
      </c>
      <c r="T123" t="str">
        <f ca="1">IF(AND(ISNUMBER($T$326),$B$208=1),$T$326,HLOOKUP(INDIRECT(ADDRESS(2,COLUMN())),OFFSET($BN$2,0,0,ROW()-1,60),ROW()-1,FALSE))</f>
        <v/>
      </c>
      <c r="U123" t="str">
        <f ca="1">IF(AND(ISNUMBER($U$326),$B$208=1),$U$326,HLOOKUP(INDIRECT(ADDRESS(2,COLUMN())),OFFSET($BN$2,0,0,ROW()-1,60),ROW()-1,FALSE))</f>
        <v/>
      </c>
      <c r="V123" t="str">
        <f ca="1">IF(AND(ISNUMBER($V$326),$B$208=1),$V$326,HLOOKUP(INDIRECT(ADDRESS(2,COLUMN())),OFFSET($BN$2,0,0,ROW()-1,60),ROW()-1,FALSE))</f>
        <v/>
      </c>
      <c r="W123" t="str">
        <f ca="1">IF(AND(ISNUMBER($W$326),$B$208=1),$W$326,HLOOKUP(INDIRECT(ADDRESS(2,COLUMN())),OFFSET($BN$2,0,0,ROW()-1,60),ROW()-1,FALSE))</f>
        <v/>
      </c>
      <c r="X123" t="str">
        <f ca="1">IF(AND(ISNUMBER($X$326),$B$208=1),$X$326,HLOOKUP(INDIRECT(ADDRESS(2,COLUMN())),OFFSET($BN$2,0,0,ROW()-1,60),ROW()-1,FALSE))</f>
        <v/>
      </c>
      <c r="Y123" t="str">
        <f ca="1">IF(AND(ISNUMBER($Y$326),$B$208=1),$Y$326,HLOOKUP(INDIRECT(ADDRESS(2,COLUMN())),OFFSET($BN$2,0,0,ROW()-1,60),ROW()-1,FALSE))</f>
        <v/>
      </c>
      <c r="Z123" t="str">
        <f ca="1">IF(AND(ISNUMBER($Z$326),$B$208=1),$Z$326,HLOOKUP(INDIRECT(ADDRESS(2,COLUMN())),OFFSET($BN$2,0,0,ROW()-1,60),ROW()-1,FALSE))</f>
        <v/>
      </c>
      <c r="AA123" t="str">
        <f ca="1">IF(AND(ISNUMBER($AA$326),$B$208=1),$AA$326,HLOOKUP(INDIRECT(ADDRESS(2,COLUMN())),OFFSET($BN$2,0,0,ROW()-1,60),ROW()-1,FALSE))</f>
        <v/>
      </c>
      <c r="AB123" t="str">
        <f ca="1">IF(AND(ISNUMBER($AB$326),$B$208=1),$AB$326,HLOOKUP(INDIRECT(ADDRESS(2,COLUMN())),OFFSET($BN$2,0,0,ROW()-1,60),ROW()-1,FALSE))</f>
        <v/>
      </c>
      <c r="AC123" t="str">
        <f ca="1">IF(AND(ISNUMBER($AC$326),$B$208=1),$AC$326,HLOOKUP(INDIRECT(ADDRESS(2,COLUMN())),OFFSET($BN$2,0,0,ROW()-1,60),ROW()-1,FALSE))</f>
        <v/>
      </c>
      <c r="AD123" t="str">
        <f ca="1">IF(AND(ISNUMBER($AD$326),$B$208=1),$AD$326,HLOOKUP(INDIRECT(ADDRESS(2,COLUMN())),OFFSET($BN$2,0,0,ROW()-1,60),ROW()-1,FALSE))</f>
        <v/>
      </c>
      <c r="AE123" t="str">
        <f ca="1">IF(AND(ISNUMBER($AE$326),$B$208=1),$AE$326,HLOOKUP(INDIRECT(ADDRESS(2,COLUMN())),OFFSET($BN$2,0,0,ROW()-1,60),ROW()-1,FALSE))</f>
        <v/>
      </c>
      <c r="AF123" t="str">
        <f ca="1">IF(AND(ISNUMBER($AF$326),$B$208=1),$AF$326,HLOOKUP(INDIRECT(ADDRESS(2,COLUMN())),OFFSET($BN$2,0,0,ROW()-1,60),ROW()-1,FALSE))</f>
        <v/>
      </c>
      <c r="AG123" t="str">
        <f ca="1">IF(AND(ISNUMBER($AG$326),$B$208=1),$AG$326,HLOOKUP(INDIRECT(ADDRESS(2,COLUMN())),OFFSET($BN$2,0,0,ROW()-1,60),ROW()-1,FALSE))</f>
        <v/>
      </c>
      <c r="AH123" t="str">
        <f ca="1">IF(AND(ISNUMBER($AH$326),$B$208=1),$AH$326,HLOOKUP(INDIRECT(ADDRESS(2,COLUMN())),OFFSET($BN$2,0,0,ROW()-1,60),ROW()-1,FALSE))</f>
        <v/>
      </c>
      <c r="AI123" t="str">
        <f ca="1">IF(AND(ISNUMBER($AI$326),$B$208=1),$AI$326,HLOOKUP(INDIRECT(ADDRESS(2,COLUMN())),OFFSET($BN$2,0,0,ROW()-1,60),ROW()-1,FALSE))</f>
        <v/>
      </c>
      <c r="AJ123" t="str">
        <f ca="1">IF(AND(ISNUMBER($AJ$326),$B$208=1),$AJ$326,HLOOKUP(INDIRECT(ADDRESS(2,COLUMN())),OFFSET($BN$2,0,0,ROW()-1,60),ROW()-1,FALSE))</f>
        <v/>
      </c>
      <c r="AK123" t="str">
        <f ca="1">IF(AND(ISNUMBER($AK$326),$B$208=1),$AK$326,HLOOKUP(INDIRECT(ADDRESS(2,COLUMN())),OFFSET($BN$2,0,0,ROW()-1,60),ROW()-1,FALSE))</f>
        <v/>
      </c>
      <c r="AL123" t="str">
        <f ca="1">IF(AND(ISNUMBER($AL$326),$B$208=1),$AL$326,HLOOKUP(INDIRECT(ADDRESS(2,COLUMN())),OFFSET($BN$2,0,0,ROW()-1,60),ROW()-1,FALSE))</f>
        <v/>
      </c>
      <c r="AM123" t="str">
        <f ca="1">IF(AND(ISNUMBER($AM$326),$B$208=1),$AM$326,HLOOKUP(INDIRECT(ADDRESS(2,COLUMN())),OFFSET($BN$2,0,0,ROW()-1,60),ROW()-1,FALSE))</f>
        <v/>
      </c>
      <c r="AN123" t="str">
        <f ca="1">IF(AND(ISNUMBER($AN$326),$B$208=1),$AN$326,HLOOKUP(INDIRECT(ADDRESS(2,COLUMN())),OFFSET($BN$2,0,0,ROW()-1,60),ROW()-1,FALSE))</f>
        <v/>
      </c>
      <c r="AO123" t="str">
        <f ca="1">IF(AND(ISNUMBER($AO$326),$B$208=1),$AO$326,HLOOKUP(INDIRECT(ADDRESS(2,COLUMN())),OFFSET($BN$2,0,0,ROW()-1,60),ROW()-1,FALSE))</f>
        <v/>
      </c>
      <c r="AP123" t="str">
        <f ca="1">IF(AND(ISNUMBER($AP$326),$B$208=1),$AP$326,HLOOKUP(INDIRECT(ADDRESS(2,COLUMN())),OFFSET($BN$2,0,0,ROW()-1,60),ROW()-1,FALSE))</f>
        <v/>
      </c>
      <c r="AQ123" t="str">
        <f ca="1">IF(AND(ISNUMBER($AQ$326),$B$208=1),$AQ$326,HLOOKUP(INDIRECT(ADDRESS(2,COLUMN())),OFFSET($BN$2,0,0,ROW()-1,60),ROW()-1,FALSE))</f>
        <v/>
      </c>
      <c r="AR123" t="str">
        <f ca="1">IF(AND(ISNUMBER($AR$326),$B$208=1),$AR$326,HLOOKUP(INDIRECT(ADDRESS(2,COLUMN())),OFFSET($BN$2,0,0,ROW()-1,60),ROW()-1,FALSE))</f>
        <v/>
      </c>
      <c r="AS123" t="str">
        <f ca="1">IF(AND(ISNUMBER($AS$326),$B$208=1),$AS$326,HLOOKUP(INDIRECT(ADDRESS(2,COLUMN())),OFFSET($BN$2,0,0,ROW()-1,60),ROW()-1,FALSE))</f>
        <v/>
      </c>
      <c r="AT123" t="str">
        <f ca="1">IF(AND(ISNUMBER($AT$326),$B$208=1),$AT$326,HLOOKUP(INDIRECT(ADDRESS(2,COLUMN())),OFFSET($BN$2,0,0,ROW()-1,60),ROW()-1,FALSE))</f>
        <v/>
      </c>
      <c r="AU123" t="str">
        <f ca="1">IF(AND(ISNUMBER($AU$326),$B$208=1),$AU$326,HLOOKUP(INDIRECT(ADDRESS(2,COLUMN())),OFFSET($BN$2,0,0,ROW()-1,60),ROW()-1,FALSE))</f>
        <v/>
      </c>
      <c r="AV123" t="str">
        <f ca="1">IF(AND(ISNUMBER($AV$326),$B$208=1),$AV$326,HLOOKUP(INDIRECT(ADDRESS(2,COLUMN())),OFFSET($BN$2,0,0,ROW()-1,60),ROW()-1,FALSE))</f>
        <v/>
      </c>
      <c r="AW123" t="str">
        <f ca="1">IF(AND(ISNUMBER($AW$326),$B$208=1),$AW$326,HLOOKUP(INDIRECT(ADDRESS(2,COLUMN())),OFFSET($BN$2,0,0,ROW()-1,60),ROW()-1,FALSE))</f>
        <v/>
      </c>
      <c r="AX123" t="str">
        <f ca="1">IF(AND(ISNUMBER($AX$326),$B$208=1),$AX$326,HLOOKUP(INDIRECT(ADDRESS(2,COLUMN())),OFFSET($BN$2,0,0,ROW()-1,60),ROW()-1,FALSE))</f>
        <v/>
      </c>
      <c r="AY123" t="str">
        <f ca="1">IF(AND(ISNUMBER($AY$326),$B$208=1),$AY$326,HLOOKUP(INDIRECT(ADDRESS(2,COLUMN())),OFFSET($BN$2,0,0,ROW()-1,60),ROW()-1,FALSE))</f>
        <v/>
      </c>
      <c r="AZ123" t="str">
        <f ca="1">IF(AND(ISNUMBER($AZ$326),$B$208=1),$AZ$326,HLOOKUP(INDIRECT(ADDRESS(2,COLUMN())),OFFSET($BN$2,0,0,ROW()-1,60),ROW()-1,FALSE))</f>
        <v/>
      </c>
      <c r="BA123" t="str">
        <f ca="1">IF(AND(ISNUMBER($BA$326),$B$208=1),$BA$326,HLOOKUP(INDIRECT(ADDRESS(2,COLUMN())),OFFSET($BN$2,0,0,ROW()-1,60),ROW()-1,FALSE))</f>
        <v/>
      </c>
      <c r="BB123" t="str">
        <f ca="1">IF(AND(ISNUMBER($BB$326),$B$208=1),$BB$326,HLOOKUP(INDIRECT(ADDRESS(2,COLUMN())),OFFSET($BN$2,0,0,ROW()-1,60),ROW()-1,FALSE))</f>
        <v/>
      </c>
      <c r="BC123" t="str">
        <f ca="1">IF(AND(ISNUMBER($BC$326),$B$208=1),$BC$326,HLOOKUP(INDIRECT(ADDRESS(2,COLUMN())),OFFSET($BN$2,0,0,ROW()-1,60),ROW()-1,FALSE))</f>
        <v/>
      </c>
      <c r="BD123" t="str">
        <f ca="1">IF(AND(ISNUMBER($BD$326),$B$208=1),$BD$326,HLOOKUP(INDIRECT(ADDRESS(2,COLUMN())),OFFSET($BN$2,0,0,ROW()-1,60),ROW()-1,FALSE))</f>
        <v/>
      </c>
      <c r="BE123" t="str">
        <f ca="1">IF(AND(ISNUMBER($BE$326),$B$208=1),$BE$326,HLOOKUP(INDIRECT(ADDRESS(2,COLUMN())),OFFSET($BN$2,0,0,ROW()-1,60),ROW()-1,FALSE))</f>
        <v/>
      </c>
      <c r="BF123" t="str">
        <f ca="1">IF(AND(ISNUMBER($BF$326),$B$208=1),$BF$326,HLOOKUP(INDIRECT(ADDRESS(2,COLUMN())),OFFSET($BN$2,0,0,ROW()-1,60),ROW()-1,FALSE))</f>
        <v/>
      </c>
      <c r="BG123" t="str">
        <f ca="1">IF(AND(ISNUMBER($BG$326),$B$208=1),$BG$326,HLOOKUP(INDIRECT(ADDRESS(2,COLUMN())),OFFSET($BN$2,0,0,ROW()-1,60),ROW()-1,FALSE))</f>
        <v/>
      </c>
      <c r="BH123" t="str">
        <f ca="1">IF(AND(ISNUMBER($BH$326),$B$208=1),$BH$326,HLOOKUP(INDIRECT(ADDRESS(2,COLUMN())),OFFSET($BN$2,0,0,ROW()-1,60),ROW()-1,FALSE))</f>
        <v/>
      </c>
      <c r="BI123" t="str">
        <f ca="1">IF(AND(ISNUMBER($BI$326),$B$208=1),$BI$326,HLOOKUP(INDIRECT(ADDRESS(2,COLUMN())),OFFSET($BN$2,0,0,ROW()-1,60),ROW()-1,FALSE))</f>
        <v/>
      </c>
      <c r="BJ123" t="str">
        <f ca="1">IF(AND(ISNUMBER($BJ$326),$B$208=1),$BJ$326,HLOOKUP(INDIRECT(ADDRESS(2,COLUMN())),OFFSET($BN$2,0,0,ROW()-1,60),ROW()-1,FALSE))</f>
        <v/>
      </c>
      <c r="BK123" t="str">
        <f ca="1">IF(AND(ISNUMBER($BK$326),$B$208=1),$BK$326,HLOOKUP(INDIRECT(ADDRESS(2,COLUMN())),OFFSET($BN$2,0,0,ROW()-1,60),ROW()-1,FALSE))</f>
        <v/>
      </c>
      <c r="BL123" t="str">
        <f ca="1">IF(AND(ISNUMBER($BL$326),$B$208=1),$BL$326,HLOOKUP(INDIRECT(ADDRESS(2,COLUMN())),OFFSET($BN$2,0,0,ROW()-1,60),ROW()-1,FALSE))</f>
        <v/>
      </c>
      <c r="BM123" t="str">
        <f ca="1">IF(AND(ISNUMBER($BM$326),$B$208=1),$BM$326,HLOOKUP(INDIRECT(ADDRESS(2,COLUMN())),OFFSET($BN$2,0,0,ROW()-1,60),ROW()-1,FALSE))</f>
        <v/>
      </c>
      <c r="BN123" t="str">
        <f>""</f>
        <v/>
      </c>
      <c r="BO123" t="str">
        <f>""</f>
        <v/>
      </c>
      <c r="BP123" t="str">
        <f>""</f>
        <v/>
      </c>
      <c r="BQ123" t="str">
        <f>""</f>
        <v/>
      </c>
      <c r="BR123" t="str">
        <f>""</f>
        <v/>
      </c>
      <c r="BS123" t="str">
        <f>""</f>
        <v/>
      </c>
      <c r="BT123" t="str">
        <f>""</f>
        <v/>
      </c>
      <c r="BU123" t="str">
        <f>""</f>
        <v/>
      </c>
      <c r="BV123" t="str">
        <f>""</f>
        <v/>
      </c>
      <c r="BW123" t="str">
        <f>""</f>
        <v/>
      </c>
      <c r="BX123" t="str">
        <f>""</f>
        <v/>
      </c>
      <c r="BY123" t="str">
        <f>""</f>
        <v/>
      </c>
      <c r="BZ123" t="str">
        <f>""</f>
        <v/>
      </c>
      <c r="CA123" t="str">
        <f>""</f>
        <v/>
      </c>
      <c r="CB123" t="str">
        <f>""</f>
        <v/>
      </c>
      <c r="CC123" t="str">
        <f>""</f>
        <v/>
      </c>
      <c r="CD123" t="str">
        <f>""</f>
        <v/>
      </c>
      <c r="CE123" t="str">
        <f>""</f>
        <v/>
      </c>
      <c r="CF123" t="str">
        <f>""</f>
        <v/>
      </c>
      <c r="CG123" t="str">
        <f>""</f>
        <v/>
      </c>
      <c r="CH123" t="str">
        <f>""</f>
        <v/>
      </c>
      <c r="CI123" t="str">
        <f>""</f>
        <v/>
      </c>
      <c r="CJ123" t="str">
        <f>""</f>
        <v/>
      </c>
      <c r="CK123" t="str">
        <f>""</f>
        <v/>
      </c>
      <c r="CL123" t="str">
        <f>""</f>
        <v/>
      </c>
      <c r="CM123" t="str">
        <f>""</f>
        <v/>
      </c>
      <c r="CN123" t="str">
        <f>""</f>
        <v/>
      </c>
      <c r="CO123" t="str">
        <f>""</f>
        <v/>
      </c>
      <c r="CP123" t="str">
        <f>""</f>
        <v/>
      </c>
      <c r="CQ123" t="str">
        <f>""</f>
        <v/>
      </c>
      <c r="CR123" t="str">
        <f>""</f>
        <v/>
      </c>
      <c r="CS123" t="str">
        <f>""</f>
        <v/>
      </c>
      <c r="CT123" t="str">
        <f>""</f>
        <v/>
      </c>
      <c r="CU123" t="str">
        <f>""</f>
        <v/>
      </c>
      <c r="CV123" t="str">
        <f>""</f>
        <v/>
      </c>
      <c r="CW123" t="str">
        <f>""</f>
        <v/>
      </c>
      <c r="CX123" t="str">
        <f>""</f>
        <v/>
      </c>
      <c r="CY123" t="str">
        <f>""</f>
        <v/>
      </c>
      <c r="CZ123" t="str">
        <f>""</f>
        <v/>
      </c>
      <c r="DA123" t="str">
        <f>""</f>
        <v/>
      </c>
      <c r="DB123" t="str">
        <f>""</f>
        <v/>
      </c>
      <c r="DC123" t="str">
        <f>""</f>
        <v/>
      </c>
      <c r="DD123" t="str">
        <f>""</f>
        <v/>
      </c>
      <c r="DE123" t="str">
        <f>""</f>
        <v/>
      </c>
      <c r="DF123" t="str">
        <f>""</f>
        <v/>
      </c>
      <c r="DG123" t="str">
        <f>""</f>
        <v/>
      </c>
      <c r="DH123" t="str">
        <f>""</f>
        <v/>
      </c>
      <c r="DI123" t="str">
        <f>""</f>
        <v/>
      </c>
      <c r="DJ123" t="str">
        <f>""</f>
        <v/>
      </c>
      <c r="DK123" t="str">
        <f>""</f>
        <v/>
      </c>
      <c r="DL123" t="str">
        <f>""</f>
        <v/>
      </c>
      <c r="DM123" t="str">
        <f>""</f>
        <v/>
      </c>
      <c r="DN123" t="str">
        <f>""</f>
        <v/>
      </c>
      <c r="DO123" t="str">
        <f>""</f>
        <v/>
      </c>
      <c r="DP123" t="str">
        <f>""</f>
        <v/>
      </c>
      <c r="DQ123" t="str">
        <f>""</f>
        <v/>
      </c>
      <c r="DR123" t="str">
        <f>""</f>
        <v/>
      </c>
      <c r="DS123" t="str">
        <f>""</f>
        <v/>
      </c>
      <c r="DT123" t="str">
        <f>""</f>
        <v/>
      </c>
      <c r="DU123" t="str">
        <f>""</f>
        <v/>
      </c>
    </row>
    <row r="124" spans="1:125" x14ac:dyDescent="0.25">
      <c r="A124" t="str">
        <f>"    BNP Paribas SA"</f>
        <v xml:space="preserve">    BNP Paribas SA</v>
      </c>
      <c r="B124" t="str">
        <f>"BNP FP Equity"</f>
        <v>BNP FP Equity</v>
      </c>
      <c r="C124" t="str">
        <f t="shared" si="9"/>
        <v>BS016</v>
      </c>
      <c r="D124" t="str">
        <f t="shared" si="10"/>
        <v>BS_COMM_LOAN</v>
      </c>
      <c r="E124" t="str">
        <f t="shared" si="11"/>
        <v>Dynamic</v>
      </c>
      <c r="F124" t="str">
        <f ca="1">IF(AND(ISNUMBER($F$327),$B$208=1),$F$327,HLOOKUP(INDIRECT(ADDRESS(2,COLUMN())),OFFSET($BN$2,0,0,ROW()-1,60),ROW()-1,FALSE))</f>
        <v/>
      </c>
      <c r="G124" t="str">
        <f ca="1">IF(AND(ISNUMBER($G$327),$B$208=1),$G$327,HLOOKUP(INDIRECT(ADDRESS(2,COLUMN())),OFFSET($BN$2,0,0,ROW()-1,60),ROW()-1,FALSE))</f>
        <v/>
      </c>
      <c r="H124" t="str">
        <f ca="1">IF(AND(ISNUMBER($H$327),$B$208=1),$H$327,HLOOKUP(INDIRECT(ADDRESS(2,COLUMN())),OFFSET($BN$2,0,0,ROW()-1,60),ROW()-1,FALSE))</f>
        <v/>
      </c>
      <c r="I124" t="str">
        <f ca="1">IF(AND(ISNUMBER($I$327),$B$208=1),$I$327,HLOOKUP(INDIRECT(ADDRESS(2,COLUMN())),OFFSET($BN$2,0,0,ROW()-1,60),ROW()-1,FALSE))</f>
        <v/>
      </c>
      <c r="J124" t="str">
        <f ca="1">IF(AND(ISNUMBER($J$327),$B$208=1),$J$327,HLOOKUP(INDIRECT(ADDRESS(2,COLUMN())),OFFSET($BN$2,0,0,ROW()-1,60),ROW()-1,FALSE))</f>
        <v/>
      </c>
      <c r="K124" t="str">
        <f ca="1">IF(AND(ISNUMBER($K$327),$B$208=1),$K$327,HLOOKUP(INDIRECT(ADDRESS(2,COLUMN())),OFFSET($BN$2,0,0,ROW()-1,60),ROW()-1,FALSE))</f>
        <v/>
      </c>
      <c r="L124" t="str">
        <f ca="1">IF(AND(ISNUMBER($L$327),$B$208=1),$L$327,HLOOKUP(INDIRECT(ADDRESS(2,COLUMN())),OFFSET($BN$2,0,0,ROW()-1,60),ROW()-1,FALSE))</f>
        <v/>
      </c>
      <c r="M124" t="str">
        <f ca="1">IF(AND(ISNUMBER($M$327),$B$208=1),$M$327,HLOOKUP(INDIRECT(ADDRESS(2,COLUMN())),OFFSET($BN$2,0,0,ROW()-1,60),ROW()-1,FALSE))</f>
        <v/>
      </c>
      <c r="N124" t="str">
        <f ca="1">IF(AND(ISNUMBER($N$327),$B$208=1),$N$327,HLOOKUP(INDIRECT(ADDRESS(2,COLUMN())),OFFSET($BN$2,0,0,ROW()-1,60),ROW()-1,FALSE))</f>
        <v/>
      </c>
      <c r="O124" t="str">
        <f ca="1">IF(AND(ISNUMBER($O$327),$B$208=1),$O$327,HLOOKUP(INDIRECT(ADDRESS(2,COLUMN())),OFFSET($BN$2,0,0,ROW()-1,60),ROW()-1,FALSE))</f>
        <v/>
      </c>
      <c r="P124" t="str">
        <f ca="1">IF(AND(ISNUMBER($P$327),$B$208=1),$P$327,HLOOKUP(INDIRECT(ADDRESS(2,COLUMN())),OFFSET($BN$2,0,0,ROW()-1,60),ROW()-1,FALSE))</f>
        <v/>
      </c>
      <c r="Q124" t="str">
        <f ca="1">IF(AND(ISNUMBER($Q$327),$B$208=1),$Q$327,HLOOKUP(INDIRECT(ADDRESS(2,COLUMN())),OFFSET($BN$2,0,0,ROW()-1,60),ROW()-1,FALSE))</f>
        <v/>
      </c>
      <c r="R124" t="str">
        <f ca="1">IF(AND(ISNUMBER($R$327),$B$208=1),$R$327,HLOOKUP(INDIRECT(ADDRESS(2,COLUMN())),OFFSET($BN$2,0,0,ROW()-1,60),ROW()-1,FALSE))</f>
        <v/>
      </c>
      <c r="S124" t="str">
        <f ca="1">IF(AND(ISNUMBER($S$327),$B$208=1),$S$327,HLOOKUP(INDIRECT(ADDRESS(2,COLUMN())),OFFSET($BN$2,0,0,ROW()-1,60),ROW()-1,FALSE))</f>
        <v/>
      </c>
      <c r="T124" t="str">
        <f ca="1">IF(AND(ISNUMBER($T$327),$B$208=1),$T$327,HLOOKUP(INDIRECT(ADDRESS(2,COLUMN())),OFFSET($BN$2,0,0,ROW()-1,60),ROW()-1,FALSE))</f>
        <v/>
      </c>
      <c r="U124" t="str">
        <f ca="1">IF(AND(ISNUMBER($U$327),$B$208=1),$U$327,HLOOKUP(INDIRECT(ADDRESS(2,COLUMN())),OFFSET($BN$2,0,0,ROW()-1,60),ROW()-1,FALSE))</f>
        <v/>
      </c>
      <c r="V124" t="str">
        <f ca="1">IF(AND(ISNUMBER($V$327),$B$208=1),$V$327,HLOOKUP(INDIRECT(ADDRESS(2,COLUMN())),OFFSET($BN$2,0,0,ROW()-1,60),ROW()-1,FALSE))</f>
        <v/>
      </c>
      <c r="W124" t="str">
        <f ca="1">IF(AND(ISNUMBER($W$327),$B$208=1),$W$327,HLOOKUP(INDIRECT(ADDRESS(2,COLUMN())),OFFSET($BN$2,0,0,ROW()-1,60),ROW()-1,FALSE))</f>
        <v/>
      </c>
      <c r="X124" t="str">
        <f ca="1">IF(AND(ISNUMBER($X$327),$B$208=1),$X$327,HLOOKUP(INDIRECT(ADDRESS(2,COLUMN())),OFFSET($BN$2,0,0,ROW()-1,60),ROW()-1,FALSE))</f>
        <v/>
      </c>
      <c r="Y124" t="str">
        <f ca="1">IF(AND(ISNUMBER($Y$327),$B$208=1),$Y$327,HLOOKUP(INDIRECT(ADDRESS(2,COLUMN())),OFFSET($BN$2,0,0,ROW()-1,60),ROW()-1,FALSE))</f>
        <v/>
      </c>
      <c r="Z124" t="str">
        <f ca="1">IF(AND(ISNUMBER($Z$327),$B$208=1),$Z$327,HLOOKUP(INDIRECT(ADDRESS(2,COLUMN())),OFFSET($BN$2,0,0,ROW()-1,60),ROW()-1,FALSE))</f>
        <v/>
      </c>
      <c r="AA124" t="str">
        <f ca="1">IF(AND(ISNUMBER($AA$327),$B$208=1),$AA$327,HLOOKUP(INDIRECT(ADDRESS(2,COLUMN())),OFFSET($BN$2,0,0,ROW()-1,60),ROW()-1,FALSE))</f>
        <v/>
      </c>
      <c r="AB124" t="str">
        <f ca="1">IF(AND(ISNUMBER($AB$327),$B$208=1),$AB$327,HLOOKUP(INDIRECT(ADDRESS(2,COLUMN())),OFFSET($BN$2,0,0,ROW()-1,60),ROW()-1,FALSE))</f>
        <v/>
      </c>
      <c r="AC124" t="str">
        <f ca="1">IF(AND(ISNUMBER($AC$327),$B$208=1),$AC$327,HLOOKUP(INDIRECT(ADDRESS(2,COLUMN())),OFFSET($BN$2,0,0,ROW()-1,60),ROW()-1,FALSE))</f>
        <v/>
      </c>
      <c r="AD124" t="str">
        <f ca="1">IF(AND(ISNUMBER($AD$327),$B$208=1),$AD$327,HLOOKUP(INDIRECT(ADDRESS(2,COLUMN())),OFFSET($BN$2,0,0,ROW()-1,60),ROW()-1,FALSE))</f>
        <v/>
      </c>
      <c r="AE124" t="str">
        <f ca="1">IF(AND(ISNUMBER($AE$327),$B$208=1),$AE$327,HLOOKUP(INDIRECT(ADDRESS(2,COLUMN())),OFFSET($BN$2,0,0,ROW()-1,60),ROW()-1,FALSE))</f>
        <v/>
      </c>
      <c r="AF124" t="str">
        <f ca="1">IF(AND(ISNUMBER($AF$327),$B$208=1),$AF$327,HLOOKUP(INDIRECT(ADDRESS(2,COLUMN())),OFFSET($BN$2,0,0,ROW()-1,60),ROW()-1,FALSE))</f>
        <v/>
      </c>
      <c r="AG124" t="str">
        <f ca="1">IF(AND(ISNUMBER($AG$327),$B$208=1),$AG$327,HLOOKUP(INDIRECT(ADDRESS(2,COLUMN())),OFFSET($BN$2,0,0,ROW()-1,60),ROW()-1,FALSE))</f>
        <v/>
      </c>
      <c r="AH124" t="str">
        <f ca="1">IF(AND(ISNUMBER($AH$327),$B$208=1),$AH$327,HLOOKUP(INDIRECT(ADDRESS(2,COLUMN())),OFFSET($BN$2,0,0,ROW()-1,60),ROW()-1,FALSE))</f>
        <v/>
      </c>
      <c r="AI124" t="str">
        <f ca="1">IF(AND(ISNUMBER($AI$327),$B$208=1),$AI$327,HLOOKUP(INDIRECT(ADDRESS(2,COLUMN())),OFFSET($BN$2,0,0,ROW()-1,60),ROW()-1,FALSE))</f>
        <v/>
      </c>
      <c r="AJ124" t="str">
        <f ca="1">IF(AND(ISNUMBER($AJ$327),$B$208=1),$AJ$327,HLOOKUP(INDIRECT(ADDRESS(2,COLUMN())),OFFSET($BN$2,0,0,ROW()-1,60),ROW()-1,FALSE))</f>
        <v/>
      </c>
      <c r="AK124" t="str">
        <f ca="1">IF(AND(ISNUMBER($AK$327),$B$208=1),$AK$327,HLOOKUP(INDIRECT(ADDRESS(2,COLUMN())),OFFSET($BN$2,0,0,ROW()-1,60),ROW()-1,FALSE))</f>
        <v/>
      </c>
      <c r="AL124" t="str">
        <f ca="1">IF(AND(ISNUMBER($AL$327),$B$208=1),$AL$327,HLOOKUP(INDIRECT(ADDRESS(2,COLUMN())),OFFSET($BN$2,0,0,ROW()-1,60),ROW()-1,FALSE))</f>
        <v/>
      </c>
      <c r="AM124" t="str">
        <f ca="1">IF(AND(ISNUMBER($AM$327),$B$208=1),$AM$327,HLOOKUP(INDIRECT(ADDRESS(2,COLUMN())),OFFSET($BN$2,0,0,ROW()-1,60),ROW()-1,FALSE))</f>
        <v/>
      </c>
      <c r="AN124" t="str">
        <f ca="1">IF(AND(ISNUMBER($AN$327),$B$208=1),$AN$327,HLOOKUP(INDIRECT(ADDRESS(2,COLUMN())),OFFSET($BN$2,0,0,ROW()-1,60),ROW()-1,FALSE))</f>
        <v/>
      </c>
      <c r="AO124" t="str">
        <f ca="1">IF(AND(ISNUMBER($AO$327),$B$208=1),$AO$327,HLOOKUP(INDIRECT(ADDRESS(2,COLUMN())),OFFSET($BN$2,0,0,ROW()-1,60),ROW()-1,FALSE))</f>
        <v/>
      </c>
      <c r="AP124" t="str">
        <f ca="1">IF(AND(ISNUMBER($AP$327),$B$208=1),$AP$327,HLOOKUP(INDIRECT(ADDRESS(2,COLUMN())),OFFSET($BN$2,0,0,ROW()-1,60),ROW()-1,FALSE))</f>
        <v/>
      </c>
      <c r="AQ124" t="str">
        <f ca="1">IF(AND(ISNUMBER($AQ$327),$B$208=1),$AQ$327,HLOOKUP(INDIRECT(ADDRESS(2,COLUMN())),OFFSET($BN$2,0,0,ROW()-1,60),ROW()-1,FALSE))</f>
        <v/>
      </c>
      <c r="AR124" t="str">
        <f ca="1">IF(AND(ISNUMBER($AR$327),$B$208=1),$AR$327,HLOOKUP(INDIRECT(ADDRESS(2,COLUMN())),OFFSET($BN$2,0,0,ROW()-1,60),ROW()-1,FALSE))</f>
        <v/>
      </c>
      <c r="AS124" t="str">
        <f ca="1">IF(AND(ISNUMBER($AS$327),$B$208=1),$AS$327,HLOOKUP(INDIRECT(ADDRESS(2,COLUMN())),OFFSET($BN$2,0,0,ROW()-1,60),ROW()-1,FALSE))</f>
        <v/>
      </c>
      <c r="AT124" t="str">
        <f ca="1">IF(AND(ISNUMBER($AT$327),$B$208=1),$AT$327,HLOOKUP(INDIRECT(ADDRESS(2,COLUMN())),OFFSET($BN$2,0,0,ROW()-1,60),ROW()-1,FALSE))</f>
        <v/>
      </c>
      <c r="AU124" t="str">
        <f ca="1">IF(AND(ISNUMBER($AU$327),$B$208=1),$AU$327,HLOOKUP(INDIRECT(ADDRESS(2,COLUMN())),OFFSET($BN$2,0,0,ROW()-1,60),ROW()-1,FALSE))</f>
        <v/>
      </c>
      <c r="AV124" t="str">
        <f ca="1">IF(AND(ISNUMBER($AV$327),$B$208=1),$AV$327,HLOOKUP(INDIRECT(ADDRESS(2,COLUMN())),OFFSET($BN$2,0,0,ROW()-1,60),ROW()-1,FALSE))</f>
        <v/>
      </c>
      <c r="AW124" t="str">
        <f ca="1">IF(AND(ISNUMBER($AW$327),$B$208=1),$AW$327,HLOOKUP(INDIRECT(ADDRESS(2,COLUMN())),OFFSET($BN$2,0,0,ROW()-1,60),ROW()-1,FALSE))</f>
        <v/>
      </c>
      <c r="AX124" t="str">
        <f ca="1">IF(AND(ISNUMBER($AX$327),$B$208=1),$AX$327,HLOOKUP(INDIRECT(ADDRESS(2,COLUMN())),OFFSET($BN$2,0,0,ROW()-1,60),ROW()-1,FALSE))</f>
        <v/>
      </c>
      <c r="AY124" t="str">
        <f ca="1">IF(AND(ISNUMBER($AY$327),$B$208=1),$AY$327,HLOOKUP(INDIRECT(ADDRESS(2,COLUMN())),OFFSET($BN$2,0,0,ROW()-1,60),ROW()-1,FALSE))</f>
        <v/>
      </c>
      <c r="AZ124" t="str">
        <f ca="1">IF(AND(ISNUMBER($AZ$327),$B$208=1),$AZ$327,HLOOKUP(INDIRECT(ADDRESS(2,COLUMN())),OFFSET($BN$2,0,0,ROW()-1,60),ROW()-1,FALSE))</f>
        <v/>
      </c>
      <c r="BA124" t="str">
        <f ca="1">IF(AND(ISNUMBER($BA$327),$B$208=1),$BA$327,HLOOKUP(INDIRECT(ADDRESS(2,COLUMN())),OFFSET($BN$2,0,0,ROW()-1,60),ROW()-1,FALSE))</f>
        <v/>
      </c>
      <c r="BB124" t="str">
        <f ca="1">IF(AND(ISNUMBER($BB$327),$B$208=1),$BB$327,HLOOKUP(INDIRECT(ADDRESS(2,COLUMN())),OFFSET($BN$2,0,0,ROW()-1,60),ROW()-1,FALSE))</f>
        <v/>
      </c>
      <c r="BC124" t="str">
        <f ca="1">IF(AND(ISNUMBER($BC$327),$B$208=1),$BC$327,HLOOKUP(INDIRECT(ADDRESS(2,COLUMN())),OFFSET($BN$2,0,0,ROW()-1,60),ROW()-1,FALSE))</f>
        <v/>
      </c>
      <c r="BD124" t="str">
        <f ca="1">IF(AND(ISNUMBER($BD$327),$B$208=1),$BD$327,HLOOKUP(INDIRECT(ADDRESS(2,COLUMN())),OFFSET($BN$2,0,0,ROW()-1,60),ROW()-1,FALSE))</f>
        <v/>
      </c>
      <c r="BE124" t="str">
        <f ca="1">IF(AND(ISNUMBER($BE$327),$B$208=1),$BE$327,HLOOKUP(INDIRECT(ADDRESS(2,COLUMN())),OFFSET($BN$2,0,0,ROW()-1,60),ROW()-1,FALSE))</f>
        <v/>
      </c>
      <c r="BF124" t="str">
        <f ca="1">IF(AND(ISNUMBER($BF$327),$B$208=1),$BF$327,HLOOKUP(INDIRECT(ADDRESS(2,COLUMN())),OFFSET($BN$2,0,0,ROW()-1,60),ROW()-1,FALSE))</f>
        <v/>
      </c>
      <c r="BG124" t="str">
        <f ca="1">IF(AND(ISNUMBER($BG$327),$B$208=1),$BG$327,HLOOKUP(INDIRECT(ADDRESS(2,COLUMN())),OFFSET($BN$2,0,0,ROW()-1,60),ROW()-1,FALSE))</f>
        <v/>
      </c>
      <c r="BH124" t="str">
        <f ca="1">IF(AND(ISNUMBER($BH$327),$B$208=1),$BH$327,HLOOKUP(INDIRECT(ADDRESS(2,COLUMN())),OFFSET($BN$2,0,0,ROW()-1,60),ROW()-1,FALSE))</f>
        <v/>
      </c>
      <c r="BI124" t="str">
        <f ca="1">IF(AND(ISNUMBER($BI$327),$B$208=1),$BI$327,HLOOKUP(INDIRECT(ADDRESS(2,COLUMN())),OFFSET($BN$2,0,0,ROW()-1,60),ROW()-1,FALSE))</f>
        <v/>
      </c>
      <c r="BJ124" t="str">
        <f ca="1">IF(AND(ISNUMBER($BJ$327),$B$208=1),$BJ$327,HLOOKUP(INDIRECT(ADDRESS(2,COLUMN())),OFFSET($BN$2,0,0,ROW()-1,60),ROW()-1,FALSE))</f>
        <v/>
      </c>
      <c r="BK124" t="str">
        <f ca="1">IF(AND(ISNUMBER($BK$327),$B$208=1),$BK$327,HLOOKUP(INDIRECT(ADDRESS(2,COLUMN())),OFFSET($BN$2,0,0,ROW()-1,60),ROW()-1,FALSE))</f>
        <v/>
      </c>
      <c r="BL124" t="str">
        <f ca="1">IF(AND(ISNUMBER($BL$327),$B$208=1),$BL$327,HLOOKUP(INDIRECT(ADDRESS(2,COLUMN())),OFFSET($BN$2,0,0,ROW()-1,60),ROW()-1,FALSE))</f>
        <v/>
      </c>
      <c r="BM124" t="str">
        <f ca="1">IF(AND(ISNUMBER($BM$327),$B$208=1),$BM$327,HLOOKUP(INDIRECT(ADDRESS(2,COLUMN())),OFFSET($BN$2,0,0,ROW()-1,60),ROW()-1,FALSE))</f>
        <v/>
      </c>
      <c r="BN124" t="str">
        <f>""</f>
        <v/>
      </c>
      <c r="BO124" t="str">
        <f>""</f>
        <v/>
      </c>
      <c r="BP124" t="str">
        <f>""</f>
        <v/>
      </c>
      <c r="BQ124" t="str">
        <f>""</f>
        <v/>
      </c>
      <c r="BR124" t="str">
        <f>""</f>
        <v/>
      </c>
      <c r="BS124" t="str">
        <f>""</f>
        <v/>
      </c>
      <c r="BT124" t="str">
        <f>""</f>
        <v/>
      </c>
      <c r="BU124" t="str">
        <f>""</f>
        <v/>
      </c>
      <c r="BV124" t="str">
        <f>""</f>
        <v/>
      </c>
      <c r="BW124" t="str">
        <f>""</f>
        <v/>
      </c>
      <c r="BX124" t="str">
        <f>""</f>
        <v/>
      </c>
      <c r="BY124" t="str">
        <f>""</f>
        <v/>
      </c>
      <c r="BZ124" t="str">
        <f>""</f>
        <v/>
      </c>
      <c r="CA124" t="str">
        <f>""</f>
        <v/>
      </c>
      <c r="CB124" t="str">
        <f>""</f>
        <v/>
      </c>
      <c r="CC124" t="str">
        <f>""</f>
        <v/>
      </c>
      <c r="CD124" t="str">
        <f>""</f>
        <v/>
      </c>
      <c r="CE124" t="str">
        <f>""</f>
        <v/>
      </c>
      <c r="CF124" t="str">
        <f>""</f>
        <v/>
      </c>
      <c r="CG124" t="str">
        <f>""</f>
        <v/>
      </c>
      <c r="CH124" t="str">
        <f>""</f>
        <v/>
      </c>
      <c r="CI124" t="str">
        <f>""</f>
        <v/>
      </c>
      <c r="CJ124" t="str">
        <f>""</f>
        <v/>
      </c>
      <c r="CK124" t="str">
        <f>""</f>
        <v/>
      </c>
      <c r="CL124" t="str">
        <f>""</f>
        <v/>
      </c>
      <c r="CM124" t="str">
        <f>""</f>
        <v/>
      </c>
      <c r="CN124" t="str">
        <f>""</f>
        <v/>
      </c>
      <c r="CO124" t="str">
        <f>""</f>
        <v/>
      </c>
      <c r="CP124" t="str">
        <f>""</f>
        <v/>
      </c>
      <c r="CQ124" t="str">
        <f>""</f>
        <v/>
      </c>
      <c r="CR124" t="str">
        <f>""</f>
        <v/>
      </c>
      <c r="CS124" t="str">
        <f>""</f>
        <v/>
      </c>
      <c r="CT124" t="str">
        <f>""</f>
        <v/>
      </c>
      <c r="CU124" t="str">
        <f>""</f>
        <v/>
      </c>
      <c r="CV124" t="str">
        <f>""</f>
        <v/>
      </c>
      <c r="CW124" t="str">
        <f>""</f>
        <v/>
      </c>
      <c r="CX124" t="str">
        <f>""</f>
        <v/>
      </c>
      <c r="CY124" t="str">
        <f>""</f>
        <v/>
      </c>
      <c r="CZ124" t="str">
        <f>""</f>
        <v/>
      </c>
      <c r="DA124" t="str">
        <f>""</f>
        <v/>
      </c>
      <c r="DB124" t="str">
        <f>""</f>
        <v/>
      </c>
      <c r="DC124" t="str">
        <f>""</f>
        <v/>
      </c>
      <c r="DD124" t="str">
        <f>""</f>
        <v/>
      </c>
      <c r="DE124" t="str">
        <f>""</f>
        <v/>
      </c>
      <c r="DF124" t="str">
        <f>""</f>
        <v/>
      </c>
      <c r="DG124" t="str">
        <f>""</f>
        <v/>
      </c>
      <c r="DH124" t="str">
        <f>""</f>
        <v/>
      </c>
      <c r="DI124" t="str">
        <f>""</f>
        <v/>
      </c>
      <c r="DJ124" t="str">
        <f>""</f>
        <v/>
      </c>
      <c r="DK124" t="str">
        <f>""</f>
        <v/>
      </c>
      <c r="DL124" t="str">
        <f>""</f>
        <v/>
      </c>
      <c r="DM124" t="str">
        <f>""</f>
        <v/>
      </c>
      <c r="DN124" t="str">
        <f>""</f>
        <v/>
      </c>
      <c r="DO124" t="str">
        <f>""</f>
        <v/>
      </c>
      <c r="DP124" t="str">
        <f>""</f>
        <v/>
      </c>
      <c r="DQ124" t="str">
        <f>""</f>
        <v/>
      </c>
      <c r="DR124" t="str">
        <f>""</f>
        <v/>
      </c>
      <c r="DS124" t="str">
        <f>""</f>
        <v/>
      </c>
      <c r="DT124" t="str">
        <f>""</f>
        <v/>
      </c>
      <c r="DU124" t="str">
        <f>""</f>
        <v/>
      </c>
    </row>
    <row r="125" spans="1:125" x14ac:dyDescent="0.25">
      <c r="A125" t="str">
        <f>"    Banco BPM SpA"</f>
        <v xml:space="preserve">    Banco BPM SpA</v>
      </c>
      <c r="B125" t="str">
        <f>"BAMI IM Equity"</f>
        <v>BAMI IM Equity</v>
      </c>
      <c r="C125" t="str">
        <f t="shared" si="9"/>
        <v>BS016</v>
      </c>
      <c r="D125" t="str">
        <f t="shared" si="10"/>
        <v>BS_COMM_LOAN</v>
      </c>
      <c r="E125" t="str">
        <f t="shared" si="11"/>
        <v>Dynamic</v>
      </c>
      <c r="F125" t="str">
        <f ca="1">IF(AND(ISNUMBER($F$328),$B$208=1),$F$328,HLOOKUP(INDIRECT(ADDRESS(2,COLUMN())),OFFSET($BN$2,0,0,ROW()-1,60),ROW()-1,FALSE))</f>
        <v/>
      </c>
      <c r="G125" t="str">
        <f ca="1">IF(AND(ISNUMBER($G$328),$B$208=1),$G$328,HLOOKUP(INDIRECT(ADDRESS(2,COLUMN())),OFFSET($BN$2,0,0,ROW()-1,60),ROW()-1,FALSE))</f>
        <v/>
      </c>
      <c r="H125" t="str">
        <f ca="1">IF(AND(ISNUMBER($H$328),$B$208=1),$H$328,HLOOKUP(INDIRECT(ADDRESS(2,COLUMN())),OFFSET($BN$2,0,0,ROW()-1,60),ROW()-1,FALSE))</f>
        <v/>
      </c>
      <c r="I125" t="str">
        <f ca="1">IF(AND(ISNUMBER($I$328),$B$208=1),$I$328,HLOOKUP(INDIRECT(ADDRESS(2,COLUMN())),OFFSET($BN$2,0,0,ROW()-1,60),ROW()-1,FALSE))</f>
        <v/>
      </c>
      <c r="J125" t="str">
        <f ca="1">IF(AND(ISNUMBER($J$328),$B$208=1),$J$328,HLOOKUP(INDIRECT(ADDRESS(2,COLUMN())),OFFSET($BN$2,0,0,ROW()-1,60),ROW()-1,FALSE))</f>
        <v/>
      </c>
      <c r="K125" t="str">
        <f ca="1">IF(AND(ISNUMBER($K$328),$B$208=1),$K$328,HLOOKUP(INDIRECT(ADDRESS(2,COLUMN())),OFFSET($BN$2,0,0,ROW()-1,60),ROW()-1,FALSE))</f>
        <v/>
      </c>
      <c r="L125" t="str">
        <f ca="1">IF(AND(ISNUMBER($L$328),$B$208=1),$L$328,HLOOKUP(INDIRECT(ADDRESS(2,COLUMN())),OFFSET($BN$2,0,0,ROW()-1,60),ROW()-1,FALSE))</f>
        <v/>
      </c>
      <c r="M125" t="str">
        <f ca="1">IF(AND(ISNUMBER($M$328),$B$208=1),$M$328,HLOOKUP(INDIRECT(ADDRESS(2,COLUMN())),OFFSET($BN$2,0,0,ROW()-1,60),ROW()-1,FALSE))</f>
        <v/>
      </c>
      <c r="N125" t="str">
        <f ca="1">IF(AND(ISNUMBER($N$328),$B$208=1),$N$328,HLOOKUP(INDIRECT(ADDRESS(2,COLUMN())),OFFSET($BN$2,0,0,ROW()-1,60),ROW()-1,FALSE))</f>
        <v/>
      </c>
      <c r="O125" t="str">
        <f ca="1">IF(AND(ISNUMBER($O$328),$B$208=1),$O$328,HLOOKUP(INDIRECT(ADDRESS(2,COLUMN())),OFFSET($BN$2,0,0,ROW()-1,60),ROW()-1,FALSE))</f>
        <v/>
      </c>
      <c r="P125" t="str">
        <f ca="1">IF(AND(ISNUMBER($P$328),$B$208=1),$P$328,HLOOKUP(INDIRECT(ADDRESS(2,COLUMN())),OFFSET($BN$2,0,0,ROW()-1,60),ROW()-1,FALSE))</f>
        <v/>
      </c>
      <c r="Q125" t="str">
        <f ca="1">IF(AND(ISNUMBER($Q$328),$B$208=1),$Q$328,HLOOKUP(INDIRECT(ADDRESS(2,COLUMN())),OFFSET($BN$2,0,0,ROW()-1,60),ROW()-1,FALSE))</f>
        <v/>
      </c>
      <c r="R125" t="str">
        <f ca="1">IF(AND(ISNUMBER($R$328),$B$208=1),$R$328,HLOOKUP(INDIRECT(ADDRESS(2,COLUMN())),OFFSET($BN$2,0,0,ROW()-1,60),ROW()-1,FALSE))</f>
        <v/>
      </c>
      <c r="S125" t="str">
        <f ca="1">IF(AND(ISNUMBER($S$328),$B$208=1),$S$328,HLOOKUP(INDIRECT(ADDRESS(2,COLUMN())),OFFSET($BN$2,0,0,ROW()-1,60),ROW()-1,FALSE))</f>
        <v/>
      </c>
      <c r="T125" t="str">
        <f ca="1">IF(AND(ISNUMBER($T$328),$B$208=1),$T$328,HLOOKUP(INDIRECT(ADDRESS(2,COLUMN())),OFFSET($BN$2,0,0,ROW()-1,60),ROW()-1,FALSE))</f>
        <v/>
      </c>
      <c r="U125" t="str">
        <f ca="1">IF(AND(ISNUMBER($U$328),$B$208=1),$U$328,HLOOKUP(INDIRECT(ADDRESS(2,COLUMN())),OFFSET($BN$2,0,0,ROW()-1,60),ROW()-1,FALSE))</f>
        <v/>
      </c>
      <c r="V125" t="str">
        <f ca="1">IF(AND(ISNUMBER($V$328),$B$208=1),$V$328,HLOOKUP(INDIRECT(ADDRESS(2,COLUMN())),OFFSET($BN$2,0,0,ROW()-1,60),ROW()-1,FALSE))</f>
        <v/>
      </c>
      <c r="W125" t="str">
        <f ca="1">IF(AND(ISNUMBER($W$328),$B$208=1),$W$328,HLOOKUP(INDIRECT(ADDRESS(2,COLUMN())),OFFSET($BN$2,0,0,ROW()-1,60),ROW()-1,FALSE))</f>
        <v/>
      </c>
      <c r="X125" t="str">
        <f ca="1">IF(AND(ISNUMBER($X$328),$B$208=1),$X$328,HLOOKUP(INDIRECT(ADDRESS(2,COLUMN())),OFFSET($BN$2,0,0,ROW()-1,60),ROW()-1,FALSE))</f>
        <v/>
      </c>
      <c r="Y125" t="str">
        <f ca="1">IF(AND(ISNUMBER($Y$328),$B$208=1),$Y$328,HLOOKUP(INDIRECT(ADDRESS(2,COLUMN())),OFFSET($BN$2,0,0,ROW()-1,60),ROW()-1,FALSE))</f>
        <v/>
      </c>
      <c r="Z125" t="str">
        <f ca="1">IF(AND(ISNUMBER($Z$328),$B$208=1),$Z$328,HLOOKUP(INDIRECT(ADDRESS(2,COLUMN())),OFFSET($BN$2,0,0,ROW()-1,60),ROW()-1,FALSE))</f>
        <v/>
      </c>
      <c r="AA125" t="str">
        <f ca="1">IF(AND(ISNUMBER($AA$328),$B$208=1),$AA$328,HLOOKUP(INDIRECT(ADDRESS(2,COLUMN())),OFFSET($BN$2,0,0,ROW()-1,60),ROW()-1,FALSE))</f>
        <v/>
      </c>
      <c r="AB125" t="str">
        <f ca="1">IF(AND(ISNUMBER($AB$328),$B$208=1),$AB$328,HLOOKUP(INDIRECT(ADDRESS(2,COLUMN())),OFFSET($BN$2,0,0,ROW()-1,60),ROW()-1,FALSE))</f>
        <v/>
      </c>
      <c r="AC125" t="str">
        <f ca="1">IF(AND(ISNUMBER($AC$328),$B$208=1),$AC$328,HLOOKUP(INDIRECT(ADDRESS(2,COLUMN())),OFFSET($BN$2,0,0,ROW()-1,60),ROW()-1,FALSE))</f>
        <v/>
      </c>
      <c r="AD125" t="str">
        <f ca="1">IF(AND(ISNUMBER($AD$328),$B$208=1),$AD$328,HLOOKUP(INDIRECT(ADDRESS(2,COLUMN())),OFFSET($BN$2,0,0,ROW()-1,60),ROW()-1,FALSE))</f>
        <v/>
      </c>
      <c r="AE125" t="str">
        <f ca="1">IF(AND(ISNUMBER($AE$328),$B$208=1),$AE$328,HLOOKUP(INDIRECT(ADDRESS(2,COLUMN())),OFFSET($BN$2,0,0,ROW()-1,60),ROW()-1,FALSE))</f>
        <v/>
      </c>
      <c r="AF125" t="str">
        <f ca="1">IF(AND(ISNUMBER($AF$328),$B$208=1),$AF$328,HLOOKUP(INDIRECT(ADDRESS(2,COLUMN())),OFFSET($BN$2,0,0,ROW()-1,60),ROW()-1,FALSE))</f>
        <v/>
      </c>
      <c r="AG125" t="str">
        <f ca="1">IF(AND(ISNUMBER($AG$328),$B$208=1),$AG$328,HLOOKUP(INDIRECT(ADDRESS(2,COLUMN())),OFFSET($BN$2,0,0,ROW()-1,60),ROW()-1,FALSE))</f>
        <v/>
      </c>
      <c r="AH125" t="str">
        <f ca="1">IF(AND(ISNUMBER($AH$328),$B$208=1),$AH$328,HLOOKUP(INDIRECT(ADDRESS(2,COLUMN())),OFFSET($BN$2,0,0,ROW()-1,60),ROW()-1,FALSE))</f>
        <v/>
      </c>
      <c r="AI125" t="str">
        <f ca="1">IF(AND(ISNUMBER($AI$328),$B$208=1),$AI$328,HLOOKUP(INDIRECT(ADDRESS(2,COLUMN())),OFFSET($BN$2,0,0,ROW()-1,60),ROW()-1,FALSE))</f>
        <v/>
      </c>
      <c r="AJ125" t="str">
        <f ca="1">IF(AND(ISNUMBER($AJ$328),$B$208=1),$AJ$328,HLOOKUP(INDIRECT(ADDRESS(2,COLUMN())),OFFSET($BN$2,0,0,ROW()-1,60),ROW()-1,FALSE))</f>
        <v/>
      </c>
      <c r="AK125" t="str">
        <f ca="1">IF(AND(ISNUMBER($AK$328),$B$208=1),$AK$328,HLOOKUP(INDIRECT(ADDRESS(2,COLUMN())),OFFSET($BN$2,0,0,ROW()-1,60),ROW()-1,FALSE))</f>
        <v/>
      </c>
      <c r="AL125" t="str">
        <f ca="1">IF(AND(ISNUMBER($AL$328),$B$208=1),$AL$328,HLOOKUP(INDIRECT(ADDRESS(2,COLUMN())),OFFSET($BN$2,0,0,ROW()-1,60),ROW()-1,FALSE))</f>
        <v/>
      </c>
      <c r="AM125" t="str">
        <f ca="1">IF(AND(ISNUMBER($AM$328),$B$208=1),$AM$328,HLOOKUP(INDIRECT(ADDRESS(2,COLUMN())),OFFSET($BN$2,0,0,ROW()-1,60),ROW()-1,FALSE))</f>
        <v/>
      </c>
      <c r="AN125" t="str">
        <f ca="1">IF(AND(ISNUMBER($AN$328),$B$208=1),$AN$328,HLOOKUP(INDIRECT(ADDRESS(2,COLUMN())),OFFSET($BN$2,0,0,ROW()-1,60),ROW()-1,FALSE))</f>
        <v/>
      </c>
      <c r="AO125" t="str">
        <f ca="1">IF(AND(ISNUMBER($AO$328),$B$208=1),$AO$328,HLOOKUP(INDIRECT(ADDRESS(2,COLUMN())),OFFSET($BN$2,0,0,ROW()-1,60),ROW()-1,FALSE))</f>
        <v/>
      </c>
      <c r="AP125" t="str">
        <f ca="1">IF(AND(ISNUMBER($AP$328),$B$208=1),$AP$328,HLOOKUP(INDIRECT(ADDRESS(2,COLUMN())),OFFSET($BN$2,0,0,ROW()-1,60),ROW()-1,FALSE))</f>
        <v/>
      </c>
      <c r="AQ125" t="str">
        <f ca="1">IF(AND(ISNUMBER($AQ$328),$B$208=1),$AQ$328,HLOOKUP(INDIRECT(ADDRESS(2,COLUMN())),OFFSET($BN$2,0,0,ROW()-1,60),ROW()-1,FALSE))</f>
        <v/>
      </c>
      <c r="AR125" t="str">
        <f ca="1">IF(AND(ISNUMBER($AR$328),$B$208=1),$AR$328,HLOOKUP(INDIRECT(ADDRESS(2,COLUMN())),OFFSET($BN$2,0,0,ROW()-1,60),ROW()-1,FALSE))</f>
        <v/>
      </c>
      <c r="AS125" t="str">
        <f ca="1">IF(AND(ISNUMBER($AS$328),$B$208=1),$AS$328,HLOOKUP(INDIRECT(ADDRESS(2,COLUMN())),OFFSET($BN$2,0,0,ROW()-1,60),ROW()-1,FALSE))</f>
        <v/>
      </c>
      <c r="AT125" t="str">
        <f ca="1">IF(AND(ISNUMBER($AT$328),$B$208=1),$AT$328,HLOOKUP(INDIRECT(ADDRESS(2,COLUMN())),OFFSET($BN$2,0,0,ROW()-1,60),ROW()-1,FALSE))</f>
        <v/>
      </c>
      <c r="AU125" t="str">
        <f ca="1">IF(AND(ISNUMBER($AU$328),$B$208=1),$AU$328,HLOOKUP(INDIRECT(ADDRESS(2,COLUMN())),OFFSET($BN$2,0,0,ROW()-1,60),ROW()-1,FALSE))</f>
        <v/>
      </c>
      <c r="AV125" t="str">
        <f ca="1">IF(AND(ISNUMBER($AV$328),$B$208=1),$AV$328,HLOOKUP(INDIRECT(ADDRESS(2,COLUMN())),OFFSET($BN$2,0,0,ROW()-1,60),ROW()-1,FALSE))</f>
        <v/>
      </c>
      <c r="AW125" t="str">
        <f ca="1">IF(AND(ISNUMBER($AW$328),$B$208=1),$AW$328,HLOOKUP(INDIRECT(ADDRESS(2,COLUMN())),OFFSET($BN$2,0,0,ROW()-1,60),ROW()-1,FALSE))</f>
        <v/>
      </c>
      <c r="AX125" t="str">
        <f ca="1">IF(AND(ISNUMBER($AX$328),$B$208=1),$AX$328,HLOOKUP(INDIRECT(ADDRESS(2,COLUMN())),OFFSET($BN$2,0,0,ROW()-1,60),ROW()-1,FALSE))</f>
        <v/>
      </c>
      <c r="AY125" t="str">
        <f ca="1">IF(AND(ISNUMBER($AY$328),$B$208=1),$AY$328,HLOOKUP(INDIRECT(ADDRESS(2,COLUMN())),OFFSET($BN$2,0,0,ROW()-1,60),ROW()-1,FALSE))</f>
        <v/>
      </c>
      <c r="AZ125" t="str">
        <f ca="1">IF(AND(ISNUMBER($AZ$328),$B$208=1),$AZ$328,HLOOKUP(INDIRECT(ADDRESS(2,COLUMN())),OFFSET($BN$2,0,0,ROW()-1,60),ROW()-1,FALSE))</f>
        <v/>
      </c>
      <c r="BA125" t="str">
        <f ca="1">IF(AND(ISNUMBER($BA$328),$B$208=1),$BA$328,HLOOKUP(INDIRECT(ADDRESS(2,COLUMN())),OFFSET($BN$2,0,0,ROW()-1,60),ROW()-1,FALSE))</f>
        <v/>
      </c>
      <c r="BB125" t="str">
        <f ca="1">IF(AND(ISNUMBER($BB$328),$B$208=1),$BB$328,HLOOKUP(INDIRECT(ADDRESS(2,COLUMN())),OFFSET($BN$2,0,0,ROW()-1,60),ROW()-1,FALSE))</f>
        <v/>
      </c>
      <c r="BC125" t="str">
        <f ca="1">IF(AND(ISNUMBER($BC$328),$B$208=1),$BC$328,HLOOKUP(INDIRECT(ADDRESS(2,COLUMN())),OFFSET($BN$2,0,0,ROW()-1,60),ROW()-1,FALSE))</f>
        <v/>
      </c>
      <c r="BD125" t="str">
        <f ca="1">IF(AND(ISNUMBER($BD$328),$B$208=1),$BD$328,HLOOKUP(INDIRECT(ADDRESS(2,COLUMN())),OFFSET($BN$2,0,0,ROW()-1,60),ROW()-1,FALSE))</f>
        <v/>
      </c>
      <c r="BE125" t="str">
        <f ca="1">IF(AND(ISNUMBER($BE$328),$B$208=1),$BE$328,HLOOKUP(INDIRECT(ADDRESS(2,COLUMN())),OFFSET($BN$2,0,0,ROW()-1,60),ROW()-1,FALSE))</f>
        <v/>
      </c>
      <c r="BF125" t="str">
        <f ca="1">IF(AND(ISNUMBER($BF$328),$B$208=1),$BF$328,HLOOKUP(INDIRECT(ADDRESS(2,COLUMN())),OFFSET($BN$2,0,0,ROW()-1,60),ROW()-1,FALSE))</f>
        <v/>
      </c>
      <c r="BG125" t="str">
        <f ca="1">IF(AND(ISNUMBER($BG$328),$B$208=1),$BG$328,HLOOKUP(INDIRECT(ADDRESS(2,COLUMN())),OFFSET($BN$2,0,0,ROW()-1,60),ROW()-1,FALSE))</f>
        <v/>
      </c>
      <c r="BH125" t="str">
        <f ca="1">IF(AND(ISNUMBER($BH$328),$B$208=1),$BH$328,HLOOKUP(INDIRECT(ADDRESS(2,COLUMN())),OFFSET($BN$2,0,0,ROW()-1,60),ROW()-1,FALSE))</f>
        <v/>
      </c>
      <c r="BI125" t="str">
        <f ca="1">IF(AND(ISNUMBER($BI$328),$B$208=1),$BI$328,HLOOKUP(INDIRECT(ADDRESS(2,COLUMN())),OFFSET($BN$2,0,0,ROW()-1,60),ROW()-1,FALSE))</f>
        <v/>
      </c>
      <c r="BJ125" t="str">
        <f ca="1">IF(AND(ISNUMBER($BJ$328),$B$208=1),$BJ$328,HLOOKUP(INDIRECT(ADDRESS(2,COLUMN())),OFFSET($BN$2,0,0,ROW()-1,60),ROW()-1,FALSE))</f>
        <v/>
      </c>
      <c r="BK125" t="str">
        <f ca="1">IF(AND(ISNUMBER($BK$328),$B$208=1),$BK$328,HLOOKUP(INDIRECT(ADDRESS(2,COLUMN())),OFFSET($BN$2,0,0,ROW()-1,60),ROW()-1,FALSE))</f>
        <v/>
      </c>
      <c r="BL125" t="str">
        <f ca="1">IF(AND(ISNUMBER($BL$328),$B$208=1),$BL$328,HLOOKUP(INDIRECT(ADDRESS(2,COLUMN())),OFFSET($BN$2,0,0,ROW()-1,60),ROW()-1,FALSE))</f>
        <v/>
      </c>
      <c r="BM125" t="str">
        <f ca="1">IF(AND(ISNUMBER($BM$328),$B$208=1),$BM$328,HLOOKUP(INDIRECT(ADDRESS(2,COLUMN())),OFFSET($BN$2,0,0,ROW()-1,60),ROW()-1,FALSE))</f>
        <v/>
      </c>
      <c r="BN125" t="str">
        <f>""</f>
        <v/>
      </c>
      <c r="BO125" t="str">
        <f>""</f>
        <v/>
      </c>
      <c r="BP125" t="str">
        <f>""</f>
        <v/>
      </c>
      <c r="BQ125" t="str">
        <f>""</f>
        <v/>
      </c>
      <c r="BR125" t="str">
        <f>""</f>
        <v/>
      </c>
      <c r="BS125" t="str">
        <f>""</f>
        <v/>
      </c>
      <c r="BT125" t="str">
        <f>""</f>
        <v/>
      </c>
      <c r="BU125" t="str">
        <f>""</f>
        <v/>
      </c>
      <c r="BV125" t="str">
        <f>""</f>
        <v/>
      </c>
      <c r="BW125" t="str">
        <f>""</f>
        <v/>
      </c>
      <c r="BX125" t="str">
        <f>""</f>
        <v/>
      </c>
      <c r="BY125" t="str">
        <f>""</f>
        <v/>
      </c>
      <c r="BZ125" t="str">
        <f>""</f>
        <v/>
      </c>
      <c r="CA125" t="str">
        <f>""</f>
        <v/>
      </c>
      <c r="CB125" t="str">
        <f>""</f>
        <v/>
      </c>
      <c r="CC125" t="str">
        <f>""</f>
        <v/>
      </c>
      <c r="CD125" t="str">
        <f>""</f>
        <v/>
      </c>
      <c r="CE125" t="str">
        <f>""</f>
        <v/>
      </c>
      <c r="CF125" t="str">
        <f>""</f>
        <v/>
      </c>
      <c r="CG125" t="str">
        <f>""</f>
        <v/>
      </c>
      <c r="CH125" t="str">
        <f>""</f>
        <v/>
      </c>
      <c r="CI125" t="str">
        <f>""</f>
        <v/>
      </c>
      <c r="CJ125" t="str">
        <f>""</f>
        <v/>
      </c>
      <c r="CK125" t="str">
        <f>""</f>
        <v/>
      </c>
      <c r="CL125" t="str">
        <f>""</f>
        <v/>
      </c>
      <c r="CM125" t="str">
        <f>""</f>
        <v/>
      </c>
      <c r="CN125" t="str">
        <f>""</f>
        <v/>
      </c>
      <c r="CO125" t="str">
        <f>""</f>
        <v/>
      </c>
      <c r="CP125" t="str">
        <f>""</f>
        <v/>
      </c>
      <c r="CQ125" t="str">
        <f>""</f>
        <v/>
      </c>
      <c r="CR125" t="str">
        <f>""</f>
        <v/>
      </c>
      <c r="CS125" t="str">
        <f>""</f>
        <v/>
      </c>
      <c r="CT125" t="str">
        <f>""</f>
        <v/>
      </c>
      <c r="CU125" t="str">
        <f>""</f>
        <v/>
      </c>
      <c r="CV125" t="str">
        <f>""</f>
        <v/>
      </c>
      <c r="CW125" t="str">
        <f>""</f>
        <v/>
      </c>
      <c r="CX125" t="str">
        <f>""</f>
        <v/>
      </c>
      <c r="CY125" t="str">
        <f>""</f>
        <v/>
      </c>
      <c r="CZ125" t="str">
        <f>""</f>
        <v/>
      </c>
      <c r="DA125" t="str">
        <f>""</f>
        <v/>
      </c>
      <c r="DB125" t="str">
        <f>""</f>
        <v/>
      </c>
      <c r="DC125" t="str">
        <f>""</f>
        <v/>
      </c>
      <c r="DD125" t="str">
        <f>""</f>
        <v/>
      </c>
      <c r="DE125" t="str">
        <f>""</f>
        <v/>
      </c>
      <c r="DF125" t="str">
        <f>""</f>
        <v/>
      </c>
      <c r="DG125" t="str">
        <f>""</f>
        <v/>
      </c>
      <c r="DH125" t="str">
        <f>""</f>
        <v/>
      </c>
      <c r="DI125" t="str">
        <f>""</f>
        <v/>
      </c>
      <c r="DJ125" t="str">
        <f>""</f>
        <v/>
      </c>
      <c r="DK125" t="str">
        <f>""</f>
        <v/>
      </c>
      <c r="DL125" t="str">
        <f>""</f>
        <v/>
      </c>
      <c r="DM125" t="str">
        <f>""</f>
        <v/>
      </c>
      <c r="DN125" t="str">
        <f>""</f>
        <v/>
      </c>
      <c r="DO125" t="str">
        <f>""</f>
        <v/>
      </c>
      <c r="DP125" t="str">
        <f>""</f>
        <v/>
      </c>
      <c r="DQ125" t="str">
        <f>""</f>
        <v/>
      </c>
      <c r="DR125" t="str">
        <f>""</f>
        <v/>
      </c>
      <c r="DS125" t="str">
        <f>""</f>
        <v/>
      </c>
      <c r="DT125" t="str">
        <f>""</f>
        <v/>
      </c>
      <c r="DU125" t="str">
        <f>""</f>
        <v/>
      </c>
    </row>
    <row r="126" spans="1:125" x14ac:dyDescent="0.25">
      <c r="A126" t="str">
        <f>"    Banco Bilbao Vizcaya Argentaria SA"</f>
        <v xml:space="preserve">    Banco Bilbao Vizcaya Argentaria SA</v>
      </c>
      <c r="B126" t="str">
        <f>"BBVA SM Equity"</f>
        <v>BBVA SM Equity</v>
      </c>
      <c r="C126" t="str">
        <f t="shared" si="9"/>
        <v>BS016</v>
      </c>
      <c r="D126" t="str">
        <f t="shared" si="10"/>
        <v>BS_COMM_LOAN</v>
      </c>
      <c r="E126" t="str">
        <f t="shared" si="11"/>
        <v>Dynamic</v>
      </c>
      <c r="F126" t="str">
        <f ca="1">IF(AND(ISNUMBER($F$329),$B$208=1),$F$329,HLOOKUP(INDIRECT(ADDRESS(2,COLUMN())),OFFSET($BN$2,0,0,ROW()-1,60),ROW()-1,FALSE))</f>
        <v/>
      </c>
      <c r="G126">
        <f ca="1">IF(AND(ISNUMBER($G$329),$B$208=1),$G$329,HLOOKUP(INDIRECT(ADDRESS(2,COLUMN())),OFFSET($BN$2,0,0,ROW()-1,60),ROW()-1,FALSE))</f>
        <v>191511</v>
      </c>
      <c r="H126">
        <f ca="1">IF(AND(ISNUMBER($H$329),$B$208=1),$H$329,HLOOKUP(INDIRECT(ADDRESS(2,COLUMN())),OFFSET($BN$2,0,0,ROW()-1,60),ROW()-1,FALSE))</f>
        <v>192431</v>
      </c>
      <c r="I126">
        <f ca="1">IF(AND(ISNUMBER($I$329),$B$208=1),$I$329,HLOOKUP(INDIRECT(ADDRESS(2,COLUMN())),OFFSET($BN$2,0,0,ROW()-1,60),ROW()-1,FALSE))</f>
        <v>188902</v>
      </c>
      <c r="J126">
        <f ca="1">IF(AND(ISNUMBER($J$329),$B$208=1),$J$329,HLOOKUP(INDIRECT(ADDRESS(2,COLUMN())),OFFSET($BN$2,0,0,ROW()-1,60),ROW()-1,FALSE))</f>
        <v>148178</v>
      </c>
      <c r="K126">
        <f ca="1">IF(AND(ISNUMBER($K$329),$B$208=1),$K$329,HLOOKUP(INDIRECT(ADDRESS(2,COLUMN())),OFFSET($BN$2,0,0,ROW()-1,60),ROW()-1,FALSE))</f>
        <v>182766</v>
      </c>
      <c r="L126">
        <f ca="1">IF(AND(ISNUMBER($L$329),$B$208=1),$L$329,HLOOKUP(INDIRECT(ADDRESS(2,COLUMN())),OFFSET($BN$2,0,0,ROW()-1,60),ROW()-1,FALSE))</f>
        <v>177881</v>
      </c>
      <c r="M126">
        <f ca="1">IF(AND(ISNUMBER($M$329),$B$208=1),$M$329,HLOOKUP(INDIRECT(ADDRESS(2,COLUMN())),OFFSET($BN$2,0,0,ROW()-1,60),ROW()-1,FALSE))</f>
        <v>177168</v>
      </c>
      <c r="N126">
        <f ca="1">IF(AND(ISNUMBER($N$329),$B$208=1),$N$329,HLOOKUP(INDIRECT(ADDRESS(2,COLUMN())),OFFSET($BN$2,0,0,ROW()-1,60),ROW()-1,FALSE))</f>
        <v>144790</v>
      </c>
      <c r="O126">
        <f ca="1">IF(AND(ISNUMBER($O$329),$B$208=1),$O$329,HLOOKUP(INDIRECT(ADDRESS(2,COLUMN())),OFFSET($BN$2,0,0,ROW()-1,60),ROW()-1,FALSE))</f>
        <v>180539</v>
      </c>
      <c r="P126">
        <f ca="1">IF(AND(ISNUMBER($P$329),$B$208=1),$P$329,HLOOKUP(INDIRECT(ADDRESS(2,COLUMN())),OFFSET($BN$2,0,0,ROW()-1,60),ROW()-1,FALSE))</f>
        <v>169689</v>
      </c>
      <c r="Q126">
        <f ca="1">IF(AND(ISNUMBER($Q$329),$B$208=1),$Q$329,HLOOKUP(INDIRECT(ADDRESS(2,COLUMN())),OFFSET($BN$2,0,0,ROW()-1,60),ROW()-1,FALSE))</f>
        <v>160785</v>
      </c>
      <c r="R126">
        <f ca="1">IF(AND(ISNUMBER($R$329),$B$208=1),$R$329,HLOOKUP(INDIRECT(ADDRESS(2,COLUMN())),OFFSET($BN$2,0,0,ROW()-1,60),ROW()-1,FALSE))</f>
        <v>124204</v>
      </c>
      <c r="S126">
        <f ca="1">IF(AND(ISNUMBER($S$329),$B$208=1),$S$329,HLOOKUP(INDIRECT(ADDRESS(2,COLUMN())),OFFSET($BN$2,0,0,ROW()-1,60),ROW()-1,FALSE))</f>
        <v>145826</v>
      </c>
      <c r="T126">
        <f ca="1">IF(AND(ISNUMBER($T$329),$B$208=1),$T$329,HLOOKUP(INDIRECT(ADDRESS(2,COLUMN())),OFFSET($BN$2,0,0,ROW()-1,60),ROW()-1,FALSE))</f>
        <v>145427</v>
      </c>
      <c r="U126">
        <f ca="1">IF(AND(ISNUMBER($U$329),$B$208=1),$U$329,HLOOKUP(INDIRECT(ADDRESS(2,COLUMN())),OFFSET($BN$2,0,0,ROW()-1,60),ROW()-1,FALSE))</f>
        <v>144516</v>
      </c>
      <c r="V126">
        <f ca="1">IF(AND(ISNUMBER($V$329),$B$208=1),$V$329,HLOOKUP(INDIRECT(ADDRESS(2,COLUMN())),OFFSET($BN$2,0,0,ROW()-1,60),ROW()-1,FALSE))</f>
        <v>118410</v>
      </c>
      <c r="W126">
        <f ca="1">IF(AND(ISNUMBER($W$329),$B$208=1),$W$329,HLOOKUP(INDIRECT(ADDRESS(2,COLUMN())),OFFSET($BN$2,0,0,ROW()-1,60),ROW()-1,FALSE))</f>
        <v>176359</v>
      </c>
      <c r="X126">
        <f ca="1">IF(AND(ISNUMBER($X$329),$B$208=1),$X$329,HLOOKUP(INDIRECT(ADDRESS(2,COLUMN())),OFFSET($BN$2,0,0,ROW()-1,60),ROW()-1,FALSE))</f>
        <v>191199</v>
      </c>
      <c r="Y126">
        <f ca="1">IF(AND(ISNUMBER($Y$329),$B$208=1),$Y$329,HLOOKUP(INDIRECT(ADDRESS(2,COLUMN())),OFFSET($BN$2,0,0,ROW()-1,60),ROW()-1,FALSE))</f>
        <v>152154</v>
      </c>
      <c r="Z126">
        <f ca="1">IF(AND(ISNUMBER($Z$329),$B$208=1),$Z$329,HLOOKUP(INDIRECT(ADDRESS(2,COLUMN())),OFFSET($BN$2,0,0,ROW()-1,60),ROW()-1,FALSE))</f>
        <v>146383</v>
      </c>
      <c r="AA126">
        <f ca="1">IF(AND(ISNUMBER($AA$329),$B$208=1),$AA$329,HLOOKUP(INDIRECT(ADDRESS(2,COLUMN())),OFFSET($BN$2,0,0,ROW()-1,60),ROW()-1,FALSE))</f>
        <v>173410</v>
      </c>
      <c r="AB126">
        <f ca="1">IF(AND(ISNUMBER($AB$329),$B$208=1),$AB$329,HLOOKUP(INDIRECT(ADDRESS(2,COLUMN())),OFFSET($BN$2,0,0,ROW()-1,60),ROW()-1,FALSE))</f>
        <v>171053</v>
      </c>
      <c r="AC126">
        <f ca="1">IF(AND(ISNUMBER($AC$329),$B$208=1),$AC$329,HLOOKUP(INDIRECT(ADDRESS(2,COLUMN())),OFFSET($BN$2,0,0,ROW()-1,60),ROW()-1,FALSE))</f>
        <v>175678</v>
      </c>
      <c r="AD126">
        <f ca="1">IF(AND(ISNUMBER($AD$329),$B$208=1),$AD$329,HLOOKUP(INDIRECT(ADDRESS(2,COLUMN())),OFFSET($BN$2,0,0,ROW()-1,60),ROW()-1,FALSE))</f>
        <v>170872</v>
      </c>
      <c r="AE126">
        <f ca="1">IF(AND(ISNUMBER($AE$329),$B$208=1),$AE$329,HLOOKUP(INDIRECT(ADDRESS(2,COLUMN())),OFFSET($BN$2,0,0,ROW()-1,60),ROW()-1,FALSE))</f>
        <v>167771</v>
      </c>
      <c r="AF126">
        <f ca="1">IF(AND(ISNUMBER($AF$329),$B$208=1),$AF$329,HLOOKUP(INDIRECT(ADDRESS(2,COLUMN())),OFFSET($BN$2,0,0,ROW()-1,60),ROW()-1,FALSE))</f>
        <v>171818</v>
      </c>
      <c r="AG126">
        <f ca="1">IF(AND(ISNUMBER($AG$329),$B$208=1),$AG$329,HLOOKUP(INDIRECT(ADDRESS(2,COLUMN())),OFFSET($BN$2,0,0,ROW()-1,60),ROW()-1,FALSE))</f>
        <v>165398</v>
      </c>
      <c r="AH126">
        <f ca="1">IF(AND(ISNUMBER($AH$329),$B$208=1),$AH$329,HLOOKUP(INDIRECT(ADDRESS(2,COLUMN())),OFFSET($BN$2,0,0,ROW()-1,60),ROW()-1,FALSE))</f>
        <v>175168</v>
      </c>
      <c r="AI126">
        <f ca="1">IF(AND(ISNUMBER($AI$329),$B$208=1),$AI$329,HLOOKUP(INDIRECT(ADDRESS(2,COLUMN())),OFFSET($BN$2,0,0,ROW()-1,60),ROW()-1,FALSE))</f>
        <v>184199</v>
      </c>
      <c r="AJ126">
        <f ca="1">IF(AND(ISNUMBER($AJ$329),$B$208=1),$AJ$329,HLOOKUP(INDIRECT(ADDRESS(2,COLUMN())),OFFSET($BN$2,0,0,ROW()-1,60),ROW()-1,FALSE))</f>
        <v>186203</v>
      </c>
      <c r="AK126">
        <f ca="1">IF(AND(ISNUMBER($AK$329),$B$208=1),$AK$329,HLOOKUP(INDIRECT(ADDRESS(2,COLUMN())),OFFSET($BN$2,0,0,ROW()-1,60),ROW()-1,FALSE))</f>
        <v>189699</v>
      </c>
      <c r="AL126">
        <f ca="1">IF(AND(ISNUMBER($AL$329),$B$208=1),$AL$329,HLOOKUP(INDIRECT(ADDRESS(2,COLUMN())),OFFSET($BN$2,0,0,ROW()-1,60),ROW()-1,FALSE))</f>
        <v>14877</v>
      </c>
      <c r="AM126">
        <f ca="1">IF(AND(ISNUMBER($AM$329),$B$208=1),$AM$329,HLOOKUP(INDIRECT(ADDRESS(2,COLUMN())),OFFSET($BN$2,0,0,ROW()-1,60),ROW()-1,FALSE))</f>
        <v>227481</v>
      </c>
      <c r="AN126">
        <f ca="1">IF(AND(ISNUMBER($AN$329),$B$208=1),$AN$329,HLOOKUP(INDIRECT(ADDRESS(2,COLUMN())),OFFSET($BN$2,0,0,ROW()-1,60),ROW()-1,FALSE))</f>
        <v>231706</v>
      </c>
      <c r="AO126">
        <f ca="1">IF(AND(ISNUMBER($AO$329),$B$208=1),$AO$329,HLOOKUP(INDIRECT(ADDRESS(2,COLUMN())),OFFSET($BN$2,0,0,ROW()-1,60),ROW()-1,FALSE))</f>
        <v>228227</v>
      </c>
      <c r="AP126">
        <f ca="1">IF(AND(ISNUMBER($AP$329),$B$208=1),$AP$329,HLOOKUP(INDIRECT(ADDRESS(2,COLUMN())),OFFSET($BN$2,0,0,ROW()-1,60),ROW()-1,FALSE))</f>
        <v>13434</v>
      </c>
      <c r="AQ126">
        <f ca="1">IF(AND(ISNUMBER($AQ$329),$B$208=1),$AQ$329,HLOOKUP(INDIRECT(ADDRESS(2,COLUMN())),OFFSET($BN$2,0,0,ROW()-1,60),ROW()-1,FALSE))</f>
        <v>222613</v>
      </c>
      <c r="AR126">
        <f ca="1">IF(AND(ISNUMBER($AR$329),$B$208=1),$AR$329,HLOOKUP(INDIRECT(ADDRESS(2,COLUMN())),OFFSET($BN$2,0,0,ROW()-1,60),ROW()-1,FALSE))</f>
        <v>186036</v>
      </c>
      <c r="AS126">
        <f ca="1">IF(AND(ISNUMBER($AS$329),$B$208=1),$AS$329,HLOOKUP(INDIRECT(ADDRESS(2,COLUMN())),OFFSET($BN$2,0,0,ROW()-1,60),ROW()-1,FALSE))</f>
        <v>191148</v>
      </c>
      <c r="AT126">
        <f ca="1">IF(AND(ISNUMBER($AT$329),$B$208=1),$AT$329,HLOOKUP(INDIRECT(ADDRESS(2,COLUMN())),OFFSET($BN$2,0,0,ROW()-1,60),ROW()-1,FALSE))</f>
        <v>118207</v>
      </c>
      <c r="AU126">
        <f ca="1">IF(AND(ISNUMBER($AU$329),$B$208=1),$AU$329,HLOOKUP(INDIRECT(ADDRESS(2,COLUMN())),OFFSET($BN$2,0,0,ROW()-1,60),ROW()-1,FALSE))</f>
        <v>174800</v>
      </c>
      <c r="AV126">
        <f ca="1">IF(AND(ISNUMBER($AV$329),$B$208=1),$AV$329,HLOOKUP(INDIRECT(ADDRESS(2,COLUMN())),OFFSET($BN$2,0,0,ROW()-1,60),ROW()-1,FALSE))</f>
        <v>161858</v>
      </c>
      <c r="AW126">
        <f ca="1">IF(AND(ISNUMBER($AW$329),$B$208=1),$AW$329,HLOOKUP(INDIRECT(ADDRESS(2,COLUMN())),OFFSET($BN$2,0,0,ROW()-1,60),ROW()-1,FALSE))</f>
        <v>156233</v>
      </c>
      <c r="AX126">
        <f ca="1">IF(AND(ISNUMBER($AX$329),$B$208=1),$AX$329,HLOOKUP(INDIRECT(ADDRESS(2,COLUMN())),OFFSET($BN$2,0,0,ROW()-1,60),ROW()-1,FALSE))</f>
        <v>121316</v>
      </c>
      <c r="AY126" t="str">
        <f ca="1">IF(AND(ISNUMBER($AY$329),$B$208=1),$AY$329,HLOOKUP(INDIRECT(ADDRESS(2,COLUMN())),OFFSET($BN$2,0,0,ROW()-1,60),ROW()-1,FALSE))</f>
        <v/>
      </c>
      <c r="AZ126">
        <f ca="1">IF(AND(ISNUMBER($AZ$329),$B$208=1),$AZ$329,HLOOKUP(INDIRECT(ADDRESS(2,COLUMN())),OFFSET($BN$2,0,0,ROW()-1,60),ROW()-1,FALSE))</f>
        <v>156491</v>
      </c>
      <c r="BA126">
        <f ca="1">IF(AND(ISNUMBER($BA$329),$B$208=1),$BA$329,HLOOKUP(INDIRECT(ADDRESS(2,COLUMN())),OFFSET($BN$2,0,0,ROW()-1,60),ROW()-1,FALSE))</f>
        <v>158640</v>
      </c>
      <c r="BB126">
        <f ca="1">IF(AND(ISNUMBER($BB$329),$B$208=1),$BB$329,HLOOKUP(INDIRECT(ADDRESS(2,COLUMN())),OFFSET($BN$2,0,0,ROW()-1,60),ROW()-1,FALSE))</f>
        <v>134605</v>
      </c>
      <c r="BC126" t="str">
        <f ca="1">IF(AND(ISNUMBER($BC$329),$B$208=1),$BC$329,HLOOKUP(INDIRECT(ADDRESS(2,COLUMN())),OFFSET($BN$2,0,0,ROW()-1,60),ROW()-1,FALSE))</f>
        <v/>
      </c>
      <c r="BD126" t="str">
        <f ca="1">IF(AND(ISNUMBER($BD$329),$B$208=1),$BD$329,HLOOKUP(INDIRECT(ADDRESS(2,COLUMN())),OFFSET($BN$2,0,0,ROW()-1,60),ROW()-1,FALSE))</f>
        <v/>
      </c>
      <c r="BE126" t="str">
        <f ca="1">IF(AND(ISNUMBER($BE$329),$B$208=1),$BE$329,HLOOKUP(INDIRECT(ADDRESS(2,COLUMN())),OFFSET($BN$2,0,0,ROW()-1,60),ROW()-1,FALSE))</f>
        <v/>
      </c>
      <c r="BF126">
        <f ca="1">IF(AND(ISNUMBER($BF$329),$B$208=1),$BF$329,HLOOKUP(INDIRECT(ADDRESS(2,COLUMN())),OFFSET($BN$2,0,0,ROW()-1,60),ROW()-1,FALSE))</f>
        <v>148795</v>
      </c>
      <c r="BG126" t="str">
        <f ca="1">IF(AND(ISNUMBER($BG$329),$B$208=1),$BG$329,HLOOKUP(INDIRECT(ADDRESS(2,COLUMN())),OFFSET($BN$2,0,0,ROW()-1,60),ROW()-1,FALSE))</f>
        <v/>
      </c>
      <c r="BH126" t="str">
        <f ca="1">IF(AND(ISNUMBER($BH$329),$B$208=1),$BH$329,HLOOKUP(INDIRECT(ADDRESS(2,COLUMN())),OFFSET($BN$2,0,0,ROW()-1,60),ROW()-1,FALSE))</f>
        <v/>
      </c>
      <c r="BI126" t="str">
        <f ca="1">IF(AND(ISNUMBER($BI$329),$B$208=1),$BI$329,HLOOKUP(INDIRECT(ADDRESS(2,COLUMN())),OFFSET($BN$2,0,0,ROW()-1,60),ROW()-1,FALSE))</f>
        <v/>
      </c>
      <c r="BJ126">
        <f ca="1">IF(AND(ISNUMBER($BJ$329),$B$208=1),$BJ$329,HLOOKUP(INDIRECT(ADDRESS(2,COLUMN())),OFFSET($BN$2,0,0,ROW()-1,60),ROW()-1,FALSE))</f>
        <v>150239</v>
      </c>
      <c r="BK126" t="str">
        <f ca="1">IF(AND(ISNUMBER($BK$329),$B$208=1),$BK$329,HLOOKUP(INDIRECT(ADDRESS(2,COLUMN())),OFFSET($BN$2,0,0,ROW()-1,60),ROW()-1,FALSE))</f>
        <v/>
      </c>
      <c r="BL126" t="str">
        <f ca="1">IF(AND(ISNUMBER($BL$329),$B$208=1),$BL$329,HLOOKUP(INDIRECT(ADDRESS(2,COLUMN())),OFFSET($BN$2,0,0,ROW()-1,60),ROW()-1,FALSE))</f>
        <v/>
      </c>
      <c r="BM126" t="str">
        <f ca="1">IF(AND(ISNUMBER($BM$329),$B$208=1),$BM$329,HLOOKUP(INDIRECT(ADDRESS(2,COLUMN())),OFFSET($BN$2,0,0,ROW()-1,60),ROW()-1,FALSE))</f>
        <v/>
      </c>
      <c r="BN126" t="str">
        <f>""</f>
        <v/>
      </c>
      <c r="BO126">
        <f>191511</f>
        <v>191511</v>
      </c>
      <c r="BP126">
        <f>192431</f>
        <v>192431</v>
      </c>
      <c r="BQ126">
        <f>188902</f>
        <v>188902</v>
      </c>
      <c r="BR126">
        <f>148178</f>
        <v>148178</v>
      </c>
      <c r="BS126">
        <f>182766</f>
        <v>182766</v>
      </c>
      <c r="BT126">
        <f>177881</f>
        <v>177881</v>
      </c>
      <c r="BU126">
        <f>177168</f>
        <v>177168</v>
      </c>
      <c r="BV126">
        <f>144790</f>
        <v>144790</v>
      </c>
      <c r="BW126">
        <f>180539</f>
        <v>180539</v>
      </c>
      <c r="BX126">
        <f>169689</f>
        <v>169689</v>
      </c>
      <c r="BY126">
        <f>160785</f>
        <v>160785</v>
      </c>
      <c r="BZ126">
        <f>124204</f>
        <v>124204</v>
      </c>
      <c r="CA126">
        <f>145826</f>
        <v>145826</v>
      </c>
      <c r="CB126">
        <f>145427</f>
        <v>145427</v>
      </c>
      <c r="CC126">
        <f>144516</f>
        <v>144516</v>
      </c>
      <c r="CD126">
        <f>118410</f>
        <v>118410</v>
      </c>
      <c r="CE126">
        <f>176359</f>
        <v>176359</v>
      </c>
      <c r="CF126">
        <f>191199</f>
        <v>191199</v>
      </c>
      <c r="CG126">
        <f>152154</f>
        <v>152154</v>
      </c>
      <c r="CH126">
        <f>146383</f>
        <v>146383</v>
      </c>
      <c r="CI126">
        <f>173410</f>
        <v>173410</v>
      </c>
      <c r="CJ126">
        <f>171053</f>
        <v>171053</v>
      </c>
      <c r="CK126">
        <f>175678</f>
        <v>175678</v>
      </c>
      <c r="CL126">
        <f>170872</f>
        <v>170872</v>
      </c>
      <c r="CM126">
        <f>167771</f>
        <v>167771</v>
      </c>
      <c r="CN126">
        <f>171818</f>
        <v>171818</v>
      </c>
      <c r="CO126">
        <f>165398</f>
        <v>165398</v>
      </c>
      <c r="CP126">
        <f>175168</f>
        <v>175168</v>
      </c>
      <c r="CQ126">
        <f>184199</f>
        <v>184199</v>
      </c>
      <c r="CR126">
        <f>186203</f>
        <v>186203</v>
      </c>
      <c r="CS126">
        <f>189699</f>
        <v>189699</v>
      </c>
      <c r="CT126">
        <f>14877</f>
        <v>14877</v>
      </c>
      <c r="CU126">
        <f>227481</f>
        <v>227481</v>
      </c>
      <c r="CV126">
        <f>231706</f>
        <v>231706</v>
      </c>
      <c r="CW126">
        <f>228227</f>
        <v>228227</v>
      </c>
      <c r="CX126">
        <f>13434</f>
        <v>13434</v>
      </c>
      <c r="CY126">
        <f>222613</f>
        <v>222613</v>
      </c>
      <c r="CZ126">
        <f>186036</f>
        <v>186036</v>
      </c>
      <c r="DA126">
        <f>191148</f>
        <v>191148</v>
      </c>
      <c r="DB126">
        <f>118207</f>
        <v>118207</v>
      </c>
      <c r="DC126">
        <f>174800</f>
        <v>174800</v>
      </c>
      <c r="DD126">
        <f>161858</f>
        <v>161858</v>
      </c>
      <c r="DE126">
        <f>156233</f>
        <v>156233</v>
      </c>
      <c r="DF126">
        <f>121316</f>
        <v>121316</v>
      </c>
      <c r="DG126" t="str">
        <f>""</f>
        <v/>
      </c>
      <c r="DH126">
        <f>156491</f>
        <v>156491</v>
      </c>
      <c r="DI126">
        <f>158640</f>
        <v>158640</v>
      </c>
      <c r="DJ126">
        <f>134605</f>
        <v>134605</v>
      </c>
      <c r="DK126" t="str">
        <f>""</f>
        <v/>
      </c>
      <c r="DL126" t="str">
        <f>""</f>
        <v/>
      </c>
      <c r="DM126" t="str">
        <f>""</f>
        <v/>
      </c>
      <c r="DN126">
        <f>148795</f>
        <v>148795</v>
      </c>
      <c r="DO126" t="str">
        <f>""</f>
        <v/>
      </c>
      <c r="DP126" t="str">
        <f>""</f>
        <v/>
      </c>
      <c r="DQ126" t="str">
        <f>""</f>
        <v/>
      </c>
      <c r="DR126">
        <f>150239</f>
        <v>150239</v>
      </c>
      <c r="DS126" t="str">
        <f>""</f>
        <v/>
      </c>
      <c r="DT126" t="str">
        <f>""</f>
        <v/>
      </c>
      <c r="DU126" t="str">
        <f>""</f>
        <v/>
      </c>
    </row>
    <row r="127" spans="1:125" x14ac:dyDescent="0.25">
      <c r="A127" t="str">
        <f>"    Bank of Ireland Group PLC"</f>
        <v xml:space="preserve">    Bank of Ireland Group PLC</v>
      </c>
      <c r="B127" t="str">
        <f>"BIRG ID Equity"</f>
        <v>BIRG ID Equity</v>
      </c>
      <c r="C127" t="str">
        <f t="shared" si="9"/>
        <v>BS016</v>
      </c>
      <c r="D127" t="str">
        <f t="shared" si="10"/>
        <v>BS_COMM_LOAN</v>
      </c>
      <c r="E127" t="str">
        <f t="shared" si="11"/>
        <v>Dynamic</v>
      </c>
      <c r="F127" t="str">
        <f ca="1">IF(AND(ISNUMBER($F$330),$B$208=1),$F$330,HLOOKUP(INDIRECT(ADDRESS(2,COLUMN())),OFFSET($BN$2,0,0,ROW()-1,60),ROW()-1,FALSE))</f>
        <v/>
      </c>
      <c r="G127" t="str">
        <f ca="1">IF(AND(ISNUMBER($G$330),$B$208=1),$G$330,HLOOKUP(INDIRECT(ADDRESS(2,COLUMN())),OFFSET($BN$2,0,0,ROW()-1,60),ROW()-1,FALSE))</f>
        <v/>
      </c>
      <c r="H127" t="str">
        <f ca="1">IF(AND(ISNUMBER($H$330),$B$208=1),$H$330,HLOOKUP(INDIRECT(ADDRESS(2,COLUMN())),OFFSET($BN$2,0,0,ROW()-1,60),ROW()-1,FALSE))</f>
        <v/>
      </c>
      <c r="I127" t="str">
        <f ca="1">IF(AND(ISNUMBER($I$330),$B$208=1),$I$330,HLOOKUP(INDIRECT(ADDRESS(2,COLUMN())),OFFSET($BN$2,0,0,ROW()-1,60),ROW()-1,FALSE))</f>
        <v/>
      </c>
      <c r="J127" t="str">
        <f ca="1">IF(AND(ISNUMBER($J$330),$B$208=1),$J$330,HLOOKUP(INDIRECT(ADDRESS(2,COLUMN())),OFFSET($BN$2,0,0,ROW()-1,60),ROW()-1,FALSE))</f>
        <v/>
      </c>
      <c r="K127" t="str">
        <f ca="1">IF(AND(ISNUMBER($K$330),$B$208=1),$K$330,HLOOKUP(INDIRECT(ADDRESS(2,COLUMN())),OFFSET($BN$2,0,0,ROW()-1,60),ROW()-1,FALSE))</f>
        <v/>
      </c>
      <c r="L127" t="str">
        <f ca="1">IF(AND(ISNUMBER($L$330),$B$208=1),$L$330,HLOOKUP(INDIRECT(ADDRESS(2,COLUMN())),OFFSET($BN$2,0,0,ROW()-1,60),ROW()-1,FALSE))</f>
        <v/>
      </c>
      <c r="M127" t="str">
        <f ca="1">IF(AND(ISNUMBER($M$330),$B$208=1),$M$330,HLOOKUP(INDIRECT(ADDRESS(2,COLUMN())),OFFSET($BN$2,0,0,ROW()-1,60),ROW()-1,FALSE))</f>
        <v/>
      </c>
      <c r="N127" t="str">
        <f ca="1">IF(AND(ISNUMBER($N$330),$B$208=1),$N$330,HLOOKUP(INDIRECT(ADDRESS(2,COLUMN())),OFFSET($BN$2,0,0,ROW()-1,60),ROW()-1,FALSE))</f>
        <v/>
      </c>
      <c r="O127" t="str">
        <f ca="1">IF(AND(ISNUMBER($O$330),$B$208=1),$O$330,HLOOKUP(INDIRECT(ADDRESS(2,COLUMN())),OFFSET($BN$2,0,0,ROW()-1,60),ROW()-1,FALSE))</f>
        <v/>
      </c>
      <c r="P127" t="str">
        <f ca="1">IF(AND(ISNUMBER($P$330),$B$208=1),$P$330,HLOOKUP(INDIRECT(ADDRESS(2,COLUMN())),OFFSET($BN$2,0,0,ROW()-1,60),ROW()-1,FALSE))</f>
        <v/>
      </c>
      <c r="Q127" t="str">
        <f ca="1">IF(AND(ISNUMBER($Q$330),$B$208=1),$Q$330,HLOOKUP(INDIRECT(ADDRESS(2,COLUMN())),OFFSET($BN$2,0,0,ROW()-1,60),ROW()-1,FALSE))</f>
        <v/>
      </c>
      <c r="R127" t="str">
        <f ca="1">IF(AND(ISNUMBER($R$330),$B$208=1),$R$330,HLOOKUP(INDIRECT(ADDRESS(2,COLUMN())),OFFSET($BN$2,0,0,ROW()-1,60),ROW()-1,FALSE))</f>
        <v/>
      </c>
      <c r="S127" t="str">
        <f ca="1">IF(AND(ISNUMBER($S$330),$B$208=1),$S$330,HLOOKUP(INDIRECT(ADDRESS(2,COLUMN())),OFFSET($BN$2,0,0,ROW()-1,60),ROW()-1,FALSE))</f>
        <v/>
      </c>
      <c r="T127" t="str">
        <f ca="1">IF(AND(ISNUMBER($T$330),$B$208=1),$T$330,HLOOKUP(INDIRECT(ADDRESS(2,COLUMN())),OFFSET($BN$2,0,0,ROW()-1,60),ROW()-1,FALSE))</f>
        <v/>
      </c>
      <c r="U127" t="str">
        <f ca="1">IF(AND(ISNUMBER($U$330),$B$208=1),$U$330,HLOOKUP(INDIRECT(ADDRESS(2,COLUMN())),OFFSET($BN$2,0,0,ROW()-1,60),ROW()-1,FALSE))</f>
        <v/>
      </c>
      <c r="V127" t="str">
        <f ca="1">IF(AND(ISNUMBER($V$330),$B$208=1),$V$330,HLOOKUP(INDIRECT(ADDRESS(2,COLUMN())),OFFSET($BN$2,0,0,ROW()-1,60),ROW()-1,FALSE))</f>
        <v/>
      </c>
      <c r="W127" t="str">
        <f ca="1">IF(AND(ISNUMBER($W$330),$B$208=1),$W$330,HLOOKUP(INDIRECT(ADDRESS(2,COLUMN())),OFFSET($BN$2,0,0,ROW()-1,60),ROW()-1,FALSE))</f>
        <v/>
      </c>
      <c r="X127" t="str">
        <f ca="1">IF(AND(ISNUMBER($X$330),$B$208=1),$X$330,HLOOKUP(INDIRECT(ADDRESS(2,COLUMN())),OFFSET($BN$2,0,0,ROW()-1,60),ROW()-1,FALSE))</f>
        <v/>
      </c>
      <c r="Y127" t="str">
        <f ca="1">IF(AND(ISNUMBER($Y$330),$B$208=1),$Y$330,HLOOKUP(INDIRECT(ADDRESS(2,COLUMN())),OFFSET($BN$2,0,0,ROW()-1,60),ROW()-1,FALSE))</f>
        <v/>
      </c>
      <c r="Z127" t="str">
        <f ca="1">IF(AND(ISNUMBER($Z$330),$B$208=1),$Z$330,HLOOKUP(INDIRECT(ADDRESS(2,COLUMN())),OFFSET($BN$2,0,0,ROW()-1,60),ROW()-1,FALSE))</f>
        <v/>
      </c>
      <c r="AA127" t="str">
        <f ca="1">IF(AND(ISNUMBER($AA$330),$B$208=1),$AA$330,HLOOKUP(INDIRECT(ADDRESS(2,COLUMN())),OFFSET($BN$2,0,0,ROW()-1,60),ROW()-1,FALSE))</f>
        <v/>
      </c>
      <c r="AB127" t="str">
        <f ca="1">IF(AND(ISNUMBER($AB$330),$B$208=1),$AB$330,HLOOKUP(INDIRECT(ADDRESS(2,COLUMN())),OFFSET($BN$2,0,0,ROW()-1,60),ROW()-1,FALSE))</f>
        <v/>
      </c>
      <c r="AC127" t="str">
        <f ca="1">IF(AND(ISNUMBER($AC$330),$B$208=1),$AC$330,HLOOKUP(INDIRECT(ADDRESS(2,COLUMN())),OFFSET($BN$2,0,0,ROW()-1,60),ROW()-1,FALSE))</f>
        <v/>
      </c>
      <c r="AD127" t="str">
        <f ca="1">IF(AND(ISNUMBER($AD$330),$B$208=1),$AD$330,HLOOKUP(INDIRECT(ADDRESS(2,COLUMN())),OFFSET($BN$2,0,0,ROW()-1,60),ROW()-1,FALSE))</f>
        <v/>
      </c>
      <c r="AE127" t="str">
        <f ca="1">IF(AND(ISNUMBER($AE$330),$B$208=1),$AE$330,HLOOKUP(INDIRECT(ADDRESS(2,COLUMN())),OFFSET($BN$2,0,0,ROW()-1,60),ROW()-1,FALSE))</f>
        <v/>
      </c>
      <c r="AF127" t="str">
        <f ca="1">IF(AND(ISNUMBER($AF$330),$B$208=1),$AF$330,HLOOKUP(INDIRECT(ADDRESS(2,COLUMN())),OFFSET($BN$2,0,0,ROW()-1,60),ROW()-1,FALSE))</f>
        <v/>
      </c>
      <c r="AG127" t="str">
        <f ca="1">IF(AND(ISNUMBER($AG$330),$B$208=1),$AG$330,HLOOKUP(INDIRECT(ADDRESS(2,COLUMN())),OFFSET($BN$2,0,0,ROW()-1,60),ROW()-1,FALSE))</f>
        <v/>
      </c>
      <c r="AH127" t="str">
        <f ca="1">IF(AND(ISNUMBER($AH$330),$B$208=1),$AH$330,HLOOKUP(INDIRECT(ADDRESS(2,COLUMN())),OFFSET($BN$2,0,0,ROW()-1,60),ROW()-1,FALSE))</f>
        <v/>
      </c>
      <c r="AI127" t="str">
        <f ca="1">IF(AND(ISNUMBER($AI$330),$B$208=1),$AI$330,HLOOKUP(INDIRECT(ADDRESS(2,COLUMN())),OFFSET($BN$2,0,0,ROW()-1,60),ROW()-1,FALSE))</f>
        <v/>
      </c>
      <c r="AJ127" t="str">
        <f ca="1">IF(AND(ISNUMBER($AJ$330),$B$208=1),$AJ$330,HLOOKUP(INDIRECT(ADDRESS(2,COLUMN())),OFFSET($BN$2,0,0,ROW()-1,60),ROW()-1,FALSE))</f>
        <v/>
      </c>
      <c r="AK127" t="str">
        <f ca="1">IF(AND(ISNUMBER($AK$330),$B$208=1),$AK$330,HLOOKUP(INDIRECT(ADDRESS(2,COLUMN())),OFFSET($BN$2,0,0,ROW()-1,60),ROW()-1,FALSE))</f>
        <v/>
      </c>
      <c r="AL127" t="str">
        <f ca="1">IF(AND(ISNUMBER($AL$330),$B$208=1),$AL$330,HLOOKUP(INDIRECT(ADDRESS(2,COLUMN())),OFFSET($BN$2,0,0,ROW()-1,60),ROW()-1,FALSE))</f>
        <v/>
      </c>
      <c r="AM127" t="str">
        <f ca="1">IF(AND(ISNUMBER($AM$330),$B$208=1),$AM$330,HLOOKUP(INDIRECT(ADDRESS(2,COLUMN())),OFFSET($BN$2,0,0,ROW()-1,60),ROW()-1,FALSE))</f>
        <v/>
      </c>
      <c r="AN127" t="str">
        <f ca="1">IF(AND(ISNUMBER($AN$330),$B$208=1),$AN$330,HLOOKUP(INDIRECT(ADDRESS(2,COLUMN())),OFFSET($BN$2,0,0,ROW()-1,60),ROW()-1,FALSE))</f>
        <v/>
      </c>
      <c r="AO127" t="str">
        <f ca="1">IF(AND(ISNUMBER($AO$330),$B$208=1),$AO$330,HLOOKUP(INDIRECT(ADDRESS(2,COLUMN())),OFFSET($BN$2,0,0,ROW()-1,60),ROW()-1,FALSE))</f>
        <v/>
      </c>
      <c r="AP127" t="str">
        <f ca="1">IF(AND(ISNUMBER($AP$330),$B$208=1),$AP$330,HLOOKUP(INDIRECT(ADDRESS(2,COLUMN())),OFFSET($BN$2,0,0,ROW()-1,60),ROW()-1,FALSE))</f>
        <v/>
      </c>
      <c r="AQ127" t="str">
        <f ca="1">IF(AND(ISNUMBER($AQ$330),$B$208=1),$AQ$330,HLOOKUP(INDIRECT(ADDRESS(2,COLUMN())),OFFSET($BN$2,0,0,ROW()-1,60),ROW()-1,FALSE))</f>
        <v/>
      </c>
      <c r="AR127" t="str">
        <f ca="1">IF(AND(ISNUMBER($AR$330),$B$208=1),$AR$330,HLOOKUP(INDIRECT(ADDRESS(2,COLUMN())),OFFSET($BN$2,0,0,ROW()-1,60),ROW()-1,FALSE))</f>
        <v/>
      </c>
      <c r="AS127" t="str">
        <f ca="1">IF(AND(ISNUMBER($AS$330),$B$208=1),$AS$330,HLOOKUP(INDIRECT(ADDRESS(2,COLUMN())),OFFSET($BN$2,0,0,ROW()-1,60),ROW()-1,FALSE))</f>
        <v/>
      </c>
      <c r="AT127" t="str">
        <f ca="1">IF(AND(ISNUMBER($AT$330),$B$208=1),$AT$330,HLOOKUP(INDIRECT(ADDRESS(2,COLUMN())),OFFSET($BN$2,0,0,ROW()-1,60),ROW()-1,FALSE))</f>
        <v/>
      </c>
      <c r="AU127" t="str">
        <f ca="1">IF(AND(ISNUMBER($AU$330),$B$208=1),$AU$330,HLOOKUP(INDIRECT(ADDRESS(2,COLUMN())),OFFSET($BN$2,0,0,ROW()-1,60),ROW()-1,FALSE))</f>
        <v/>
      </c>
      <c r="AV127" t="str">
        <f ca="1">IF(AND(ISNUMBER($AV$330),$B$208=1),$AV$330,HLOOKUP(INDIRECT(ADDRESS(2,COLUMN())),OFFSET($BN$2,0,0,ROW()-1,60),ROW()-1,FALSE))</f>
        <v/>
      </c>
      <c r="AW127" t="str">
        <f ca="1">IF(AND(ISNUMBER($AW$330),$B$208=1),$AW$330,HLOOKUP(INDIRECT(ADDRESS(2,COLUMN())),OFFSET($BN$2,0,0,ROW()-1,60),ROW()-1,FALSE))</f>
        <v/>
      </c>
      <c r="AX127" t="str">
        <f ca="1">IF(AND(ISNUMBER($AX$330),$B$208=1),$AX$330,HLOOKUP(INDIRECT(ADDRESS(2,COLUMN())),OFFSET($BN$2,0,0,ROW()-1,60),ROW()-1,FALSE))</f>
        <v/>
      </c>
      <c r="AY127" t="str">
        <f ca="1">IF(AND(ISNUMBER($AY$330),$B$208=1),$AY$330,HLOOKUP(INDIRECT(ADDRESS(2,COLUMN())),OFFSET($BN$2,0,0,ROW()-1,60),ROW()-1,FALSE))</f>
        <v/>
      </c>
      <c r="AZ127" t="str">
        <f ca="1">IF(AND(ISNUMBER($AZ$330),$B$208=1),$AZ$330,HLOOKUP(INDIRECT(ADDRESS(2,COLUMN())),OFFSET($BN$2,0,0,ROW()-1,60),ROW()-1,FALSE))</f>
        <v/>
      </c>
      <c r="BA127" t="str">
        <f ca="1">IF(AND(ISNUMBER($BA$330),$B$208=1),$BA$330,HLOOKUP(INDIRECT(ADDRESS(2,COLUMN())),OFFSET($BN$2,0,0,ROW()-1,60),ROW()-1,FALSE))</f>
        <v/>
      </c>
      <c r="BB127" t="str">
        <f ca="1">IF(AND(ISNUMBER($BB$330),$B$208=1),$BB$330,HLOOKUP(INDIRECT(ADDRESS(2,COLUMN())),OFFSET($BN$2,0,0,ROW()-1,60),ROW()-1,FALSE))</f>
        <v/>
      </c>
      <c r="BC127" t="str">
        <f ca="1">IF(AND(ISNUMBER($BC$330),$B$208=1),$BC$330,HLOOKUP(INDIRECT(ADDRESS(2,COLUMN())),OFFSET($BN$2,0,0,ROW()-1,60),ROW()-1,FALSE))</f>
        <v/>
      </c>
      <c r="BD127" t="str">
        <f ca="1">IF(AND(ISNUMBER($BD$330),$B$208=1),$BD$330,HLOOKUP(INDIRECT(ADDRESS(2,COLUMN())),OFFSET($BN$2,0,0,ROW()-1,60),ROW()-1,FALSE))</f>
        <v/>
      </c>
      <c r="BE127" t="str">
        <f ca="1">IF(AND(ISNUMBER($BE$330),$B$208=1),$BE$330,HLOOKUP(INDIRECT(ADDRESS(2,COLUMN())),OFFSET($BN$2,0,0,ROW()-1,60),ROW()-1,FALSE))</f>
        <v/>
      </c>
      <c r="BF127" t="str">
        <f ca="1">IF(AND(ISNUMBER($BF$330),$B$208=1),$BF$330,HLOOKUP(INDIRECT(ADDRESS(2,COLUMN())),OFFSET($BN$2,0,0,ROW()-1,60),ROW()-1,FALSE))</f>
        <v/>
      </c>
      <c r="BG127" t="str">
        <f ca="1">IF(AND(ISNUMBER($BG$330),$B$208=1),$BG$330,HLOOKUP(INDIRECT(ADDRESS(2,COLUMN())),OFFSET($BN$2,0,0,ROW()-1,60),ROW()-1,FALSE))</f>
        <v/>
      </c>
      <c r="BH127" t="str">
        <f ca="1">IF(AND(ISNUMBER($BH$330),$B$208=1),$BH$330,HLOOKUP(INDIRECT(ADDRESS(2,COLUMN())),OFFSET($BN$2,0,0,ROW()-1,60),ROW()-1,FALSE))</f>
        <v/>
      </c>
      <c r="BI127" t="str">
        <f ca="1">IF(AND(ISNUMBER($BI$330),$B$208=1),$BI$330,HLOOKUP(INDIRECT(ADDRESS(2,COLUMN())),OFFSET($BN$2,0,0,ROW()-1,60),ROW()-1,FALSE))</f>
        <v/>
      </c>
      <c r="BJ127" t="str">
        <f ca="1">IF(AND(ISNUMBER($BJ$330),$B$208=1),$BJ$330,HLOOKUP(INDIRECT(ADDRESS(2,COLUMN())),OFFSET($BN$2,0,0,ROW()-1,60),ROW()-1,FALSE))</f>
        <v/>
      </c>
      <c r="BK127" t="str">
        <f ca="1">IF(AND(ISNUMBER($BK$330),$B$208=1),$BK$330,HLOOKUP(INDIRECT(ADDRESS(2,COLUMN())),OFFSET($BN$2,0,0,ROW()-1,60),ROW()-1,FALSE))</f>
        <v/>
      </c>
      <c r="BL127" t="str">
        <f ca="1">IF(AND(ISNUMBER($BL$330),$B$208=1),$BL$330,HLOOKUP(INDIRECT(ADDRESS(2,COLUMN())),OFFSET($BN$2,0,0,ROW()-1,60),ROW()-1,FALSE))</f>
        <v/>
      </c>
      <c r="BM127" t="str">
        <f ca="1">IF(AND(ISNUMBER($BM$330),$B$208=1),$BM$330,HLOOKUP(INDIRECT(ADDRESS(2,COLUMN())),OFFSET($BN$2,0,0,ROW()-1,60),ROW()-1,FALSE))</f>
        <v/>
      </c>
      <c r="BN127" t="str">
        <f>""</f>
        <v/>
      </c>
      <c r="BO127" t="str">
        <f>""</f>
        <v/>
      </c>
      <c r="BP127" t="str">
        <f>""</f>
        <v/>
      </c>
      <c r="BQ127" t="str">
        <f>""</f>
        <v/>
      </c>
      <c r="BR127" t="str">
        <f>""</f>
        <v/>
      </c>
      <c r="BS127" t="str">
        <f>""</f>
        <v/>
      </c>
      <c r="BT127" t="str">
        <f>""</f>
        <v/>
      </c>
      <c r="BU127" t="str">
        <f>""</f>
        <v/>
      </c>
      <c r="BV127" t="str">
        <f>""</f>
        <v/>
      </c>
      <c r="BW127" t="str">
        <f>""</f>
        <v/>
      </c>
      <c r="BX127" t="str">
        <f>""</f>
        <v/>
      </c>
      <c r="BY127" t="str">
        <f>""</f>
        <v/>
      </c>
      <c r="BZ127" t="str">
        <f>""</f>
        <v/>
      </c>
      <c r="CA127" t="str">
        <f>""</f>
        <v/>
      </c>
      <c r="CB127" t="str">
        <f>""</f>
        <v/>
      </c>
      <c r="CC127" t="str">
        <f>""</f>
        <v/>
      </c>
      <c r="CD127" t="str">
        <f>""</f>
        <v/>
      </c>
      <c r="CE127" t="str">
        <f>""</f>
        <v/>
      </c>
      <c r="CF127" t="str">
        <f>""</f>
        <v/>
      </c>
      <c r="CG127" t="str">
        <f>""</f>
        <v/>
      </c>
      <c r="CH127" t="str">
        <f>""</f>
        <v/>
      </c>
      <c r="CI127" t="str">
        <f>""</f>
        <v/>
      </c>
      <c r="CJ127" t="str">
        <f>""</f>
        <v/>
      </c>
      <c r="CK127" t="str">
        <f>""</f>
        <v/>
      </c>
      <c r="CL127" t="str">
        <f>""</f>
        <v/>
      </c>
      <c r="CM127" t="str">
        <f>""</f>
        <v/>
      </c>
      <c r="CN127" t="str">
        <f>""</f>
        <v/>
      </c>
      <c r="CO127" t="str">
        <f>""</f>
        <v/>
      </c>
      <c r="CP127" t="str">
        <f>""</f>
        <v/>
      </c>
      <c r="CQ127" t="str">
        <f>""</f>
        <v/>
      </c>
      <c r="CR127" t="str">
        <f>""</f>
        <v/>
      </c>
      <c r="CS127" t="str">
        <f>""</f>
        <v/>
      </c>
      <c r="CT127" t="str">
        <f>""</f>
        <v/>
      </c>
      <c r="CU127" t="str">
        <f>""</f>
        <v/>
      </c>
      <c r="CV127" t="str">
        <f>""</f>
        <v/>
      </c>
      <c r="CW127" t="str">
        <f>""</f>
        <v/>
      </c>
      <c r="CX127" t="str">
        <f>""</f>
        <v/>
      </c>
      <c r="CY127" t="str">
        <f>""</f>
        <v/>
      </c>
      <c r="CZ127" t="str">
        <f>""</f>
        <v/>
      </c>
      <c r="DA127" t="str">
        <f>""</f>
        <v/>
      </c>
      <c r="DB127" t="str">
        <f>""</f>
        <v/>
      </c>
      <c r="DC127" t="str">
        <f>""</f>
        <v/>
      </c>
      <c r="DD127" t="str">
        <f>""</f>
        <v/>
      </c>
      <c r="DE127" t="str">
        <f>""</f>
        <v/>
      </c>
      <c r="DF127" t="str">
        <f>""</f>
        <v/>
      </c>
      <c r="DG127" t="str">
        <f>""</f>
        <v/>
      </c>
      <c r="DH127" t="str">
        <f>""</f>
        <v/>
      </c>
      <c r="DI127" t="str">
        <f>""</f>
        <v/>
      </c>
      <c r="DJ127" t="str">
        <f>""</f>
        <v/>
      </c>
      <c r="DK127" t="str">
        <f>""</f>
        <v/>
      </c>
      <c r="DL127" t="str">
        <f>""</f>
        <v/>
      </c>
      <c r="DM127" t="str">
        <f>""</f>
        <v/>
      </c>
      <c r="DN127" t="str">
        <f>""</f>
        <v/>
      </c>
      <c r="DO127" t="str">
        <f>""</f>
        <v/>
      </c>
      <c r="DP127" t="str">
        <f>""</f>
        <v/>
      </c>
      <c r="DQ127" t="str">
        <f>""</f>
        <v/>
      </c>
      <c r="DR127" t="str">
        <f>""</f>
        <v/>
      </c>
      <c r="DS127" t="str">
        <f>""</f>
        <v/>
      </c>
      <c r="DT127" t="str">
        <f>""</f>
        <v/>
      </c>
      <c r="DU127" t="str">
        <f>""</f>
        <v/>
      </c>
    </row>
    <row r="128" spans="1:125" x14ac:dyDescent="0.25">
      <c r="A128" t="str">
        <f>"    Bankinter SA"</f>
        <v xml:space="preserve">    Bankinter SA</v>
      </c>
      <c r="B128" t="str">
        <f>"BKT SM Equity"</f>
        <v>BKT SM Equity</v>
      </c>
      <c r="C128" t="str">
        <f t="shared" si="9"/>
        <v>BS016</v>
      </c>
      <c r="D128" t="str">
        <f t="shared" si="10"/>
        <v>BS_COMM_LOAN</v>
      </c>
      <c r="E128" t="str">
        <f t="shared" si="11"/>
        <v>Dynamic</v>
      </c>
      <c r="F128">
        <f ca="1">IF(AND(ISNUMBER($F$331),$B$208=1),$F$331,HLOOKUP(INDIRECT(ADDRESS(2,COLUMN())),OFFSET($BN$2,0,0,ROW()-1,60),ROW()-1,FALSE))</f>
        <v>3589.136</v>
      </c>
      <c r="G128">
        <f ca="1">IF(AND(ISNUMBER($G$331),$B$208=1),$G$331,HLOOKUP(INDIRECT(ADDRESS(2,COLUMN())),OFFSET($BN$2,0,0,ROW()-1,60),ROW()-1,FALSE))</f>
        <v>3228.1770000000001</v>
      </c>
      <c r="H128">
        <f ca="1">IF(AND(ISNUMBER($H$331),$B$208=1),$H$331,HLOOKUP(INDIRECT(ADDRESS(2,COLUMN())),OFFSET($BN$2,0,0,ROW()-1,60),ROW()-1,FALSE))</f>
        <v>3530.0839999999998</v>
      </c>
      <c r="I128">
        <f ca="1">IF(AND(ISNUMBER($I$331),$B$208=1),$I$331,HLOOKUP(INDIRECT(ADDRESS(2,COLUMN())),OFFSET($BN$2,0,0,ROW()-1,60),ROW()-1,FALSE))</f>
        <v>3169.576</v>
      </c>
      <c r="J128">
        <f ca="1">IF(AND(ISNUMBER($J$331),$B$208=1),$J$331,HLOOKUP(INDIRECT(ADDRESS(2,COLUMN())),OFFSET($BN$2,0,0,ROW()-1,60),ROW()-1,FALSE))</f>
        <v>3434.8649999999998</v>
      </c>
      <c r="K128">
        <f ca="1">IF(AND(ISNUMBER($K$331),$B$208=1),$K$331,HLOOKUP(INDIRECT(ADDRESS(2,COLUMN())),OFFSET($BN$2,0,0,ROW()-1,60),ROW()-1,FALSE))</f>
        <v>3115.5439999999999</v>
      </c>
      <c r="L128">
        <f ca="1">IF(AND(ISNUMBER($L$331),$B$208=1),$L$331,HLOOKUP(INDIRECT(ADDRESS(2,COLUMN())),OFFSET($BN$2,0,0,ROW()-1,60),ROW()-1,FALSE))</f>
        <v>3358.3449999999998</v>
      </c>
      <c r="M128">
        <f ca="1">IF(AND(ISNUMBER($M$331),$B$208=1),$M$331,HLOOKUP(INDIRECT(ADDRESS(2,COLUMN())),OFFSET($BN$2,0,0,ROW()-1,60),ROW()-1,FALSE))</f>
        <v>3138.4430000000002</v>
      </c>
      <c r="N128">
        <f ca="1">IF(AND(ISNUMBER($N$331),$B$208=1),$N$331,HLOOKUP(INDIRECT(ADDRESS(2,COLUMN())),OFFSET($BN$2,0,0,ROW()-1,60),ROW()-1,FALSE))</f>
        <v>3757.3159999999998</v>
      </c>
      <c r="O128">
        <f ca="1">IF(AND(ISNUMBER($O$331),$B$208=1),$O$331,HLOOKUP(INDIRECT(ADDRESS(2,COLUMN())),OFFSET($BN$2,0,0,ROW()-1,60),ROW()-1,FALSE))</f>
        <v>3118.24</v>
      </c>
      <c r="P128">
        <f ca="1">IF(AND(ISNUMBER($P$331),$B$208=1),$P$331,HLOOKUP(INDIRECT(ADDRESS(2,COLUMN())),OFFSET($BN$2,0,0,ROW()-1,60),ROW()-1,FALSE))</f>
        <v>3440.7820000000002</v>
      </c>
      <c r="Q128">
        <f ca="1">IF(AND(ISNUMBER($Q$331),$B$208=1),$Q$331,HLOOKUP(INDIRECT(ADDRESS(2,COLUMN())),OFFSET($BN$2,0,0,ROW()-1,60),ROW()-1,FALSE))</f>
        <v>2961.9690000000001</v>
      </c>
      <c r="R128">
        <f ca="1">IF(AND(ISNUMBER($R$331),$B$208=1),$R$331,HLOOKUP(INDIRECT(ADDRESS(2,COLUMN())),OFFSET($BN$2,0,0,ROW()-1,60),ROW()-1,FALSE))</f>
        <v>3004.6770000000001</v>
      </c>
      <c r="S128">
        <f ca="1">IF(AND(ISNUMBER($S$331),$B$208=1),$S$331,HLOOKUP(INDIRECT(ADDRESS(2,COLUMN())),OFFSET($BN$2,0,0,ROW()-1,60),ROW()-1,FALSE))</f>
        <v>2461.6689999999999</v>
      </c>
      <c r="T128">
        <f ca="1">IF(AND(ISNUMBER($T$331),$B$208=1),$T$331,HLOOKUP(INDIRECT(ADDRESS(2,COLUMN())),OFFSET($BN$2,0,0,ROW()-1,60),ROW()-1,FALSE))</f>
        <v>2654.8139999999999</v>
      </c>
      <c r="U128">
        <f ca="1">IF(AND(ISNUMBER($U$331),$B$208=1),$U$331,HLOOKUP(INDIRECT(ADDRESS(2,COLUMN())),OFFSET($BN$2,0,0,ROW()-1,60),ROW()-1,FALSE))</f>
        <v>2285.9279999999999</v>
      </c>
      <c r="V128">
        <f ca="1">IF(AND(ISNUMBER($V$331),$B$208=1),$V$331,HLOOKUP(INDIRECT(ADDRESS(2,COLUMN())),OFFSET($BN$2,0,0,ROW()-1,60),ROW()-1,FALSE))</f>
        <v>2540.2449999999999</v>
      </c>
      <c r="W128">
        <f ca="1">IF(AND(ISNUMBER($W$331),$B$208=1),$W$331,HLOOKUP(INDIRECT(ADDRESS(2,COLUMN())),OFFSET($BN$2,0,0,ROW()-1,60),ROW()-1,FALSE))</f>
        <v>2203.1999999999998</v>
      </c>
      <c r="X128">
        <f ca="1">IF(AND(ISNUMBER($X$331),$B$208=1),$X$331,HLOOKUP(INDIRECT(ADDRESS(2,COLUMN())),OFFSET($BN$2,0,0,ROW()-1,60),ROW()-1,FALSE))</f>
        <v>2231.502</v>
      </c>
      <c r="Y128">
        <f ca="1">IF(AND(ISNUMBER($Y$331),$B$208=1),$Y$331,HLOOKUP(INDIRECT(ADDRESS(2,COLUMN())),OFFSET($BN$2,0,0,ROW()-1,60),ROW()-1,FALSE))</f>
        <v>2772.3629999999998</v>
      </c>
      <c r="Z128">
        <f ca="1">IF(AND(ISNUMBER($Z$331),$B$208=1),$Z$331,HLOOKUP(INDIRECT(ADDRESS(2,COLUMN())),OFFSET($BN$2,0,0,ROW()-1,60),ROW()-1,FALSE))</f>
        <v>3071.06</v>
      </c>
      <c r="AA128">
        <f ca="1">IF(AND(ISNUMBER($AA$331),$B$208=1),$AA$331,HLOOKUP(INDIRECT(ADDRESS(2,COLUMN())),OFFSET($BN$2,0,0,ROW()-1,60),ROW()-1,FALSE))</f>
        <v>2608.951</v>
      </c>
      <c r="AB128">
        <f ca="1">IF(AND(ISNUMBER($AB$331),$B$208=1),$AB$331,HLOOKUP(INDIRECT(ADDRESS(2,COLUMN())),OFFSET($BN$2,0,0,ROW()-1,60),ROW()-1,FALSE))</f>
        <v>2982.4580000000001</v>
      </c>
      <c r="AC128">
        <f ca="1">IF(AND(ISNUMBER($AC$331),$B$208=1),$AC$331,HLOOKUP(INDIRECT(ADDRESS(2,COLUMN())),OFFSET($BN$2,0,0,ROW()-1,60),ROW()-1,FALSE))</f>
        <v>2557.4690000000001</v>
      </c>
      <c r="AD128">
        <f ca="1">IF(AND(ISNUMBER($AD$331),$B$208=1),$AD$331,HLOOKUP(INDIRECT(ADDRESS(2,COLUMN())),OFFSET($BN$2,0,0,ROW()-1,60),ROW()-1,FALSE))</f>
        <v>2634.3539999999998</v>
      </c>
      <c r="AE128">
        <f ca="1">IF(AND(ISNUMBER($AE$331),$B$208=1),$AE$331,HLOOKUP(INDIRECT(ADDRESS(2,COLUMN())),OFFSET($BN$2,0,0,ROW()-1,60),ROW()-1,FALSE))</f>
        <v>2168.2220000000002</v>
      </c>
      <c r="AF128">
        <f ca="1">IF(AND(ISNUMBER($AF$331),$B$208=1),$AF$331,HLOOKUP(INDIRECT(ADDRESS(2,COLUMN())),OFFSET($BN$2,0,0,ROW()-1,60),ROW()-1,FALSE))</f>
        <v>2300</v>
      </c>
      <c r="AG128">
        <f ca="1">IF(AND(ISNUMBER($AG$331),$B$208=1),$AG$331,HLOOKUP(INDIRECT(ADDRESS(2,COLUMN())),OFFSET($BN$2,0,0,ROW()-1,60),ROW()-1,FALSE))</f>
        <v>2081.14</v>
      </c>
      <c r="AH128">
        <f ca="1">IF(AND(ISNUMBER($AH$331),$B$208=1),$AH$331,HLOOKUP(INDIRECT(ADDRESS(2,COLUMN())),OFFSET($BN$2,0,0,ROW()-1,60),ROW()-1,FALSE))</f>
        <v>2370.75</v>
      </c>
      <c r="AI128">
        <f ca="1">IF(AND(ISNUMBER($AI$331),$B$208=1),$AI$331,HLOOKUP(INDIRECT(ADDRESS(2,COLUMN())),OFFSET($BN$2,0,0,ROW()-1,60),ROW()-1,FALSE))</f>
        <v>1992.4280000000001</v>
      </c>
      <c r="AJ128">
        <f ca="1">IF(AND(ISNUMBER($AJ$331),$B$208=1),$AJ$331,HLOOKUP(INDIRECT(ADDRESS(2,COLUMN())),OFFSET($BN$2,0,0,ROW()-1,60),ROW()-1,FALSE))</f>
        <v>2053.7109999999998</v>
      </c>
      <c r="AK128">
        <f ca="1">IF(AND(ISNUMBER($AK$331),$B$208=1),$AK$331,HLOOKUP(INDIRECT(ADDRESS(2,COLUMN())),OFFSET($BN$2,0,0,ROW()-1,60),ROW()-1,FALSE))</f>
        <v>1765.3209999999999</v>
      </c>
      <c r="AL128">
        <f ca="1">IF(AND(ISNUMBER($AL$331),$B$208=1),$AL$331,HLOOKUP(INDIRECT(ADDRESS(2,COLUMN())),OFFSET($BN$2,0,0,ROW()-1,60),ROW()-1,FALSE))</f>
        <v>1963.758</v>
      </c>
      <c r="AM128">
        <f ca="1">IF(AND(ISNUMBER($AM$331),$B$208=1),$AM$331,HLOOKUP(INDIRECT(ADDRESS(2,COLUMN())),OFFSET($BN$2,0,0,ROW()-1,60),ROW()-1,FALSE))</f>
        <v>1557.453</v>
      </c>
      <c r="AN128">
        <f ca="1">IF(AND(ISNUMBER($AN$331),$B$208=1),$AN$331,HLOOKUP(INDIRECT(ADDRESS(2,COLUMN())),OFFSET($BN$2,0,0,ROW()-1,60),ROW()-1,FALSE))</f>
        <v>1691.3330000000001</v>
      </c>
      <c r="AO128">
        <f ca="1">IF(AND(ISNUMBER($AO$331),$B$208=1),$AO$331,HLOOKUP(INDIRECT(ADDRESS(2,COLUMN())),OFFSET($BN$2,0,0,ROW()-1,60),ROW()-1,FALSE))</f>
        <v>1542.653</v>
      </c>
      <c r="AP128">
        <f ca="1">IF(AND(ISNUMBER($AP$331),$B$208=1),$AP$331,HLOOKUP(INDIRECT(ADDRESS(2,COLUMN())),OFFSET($BN$2,0,0,ROW()-1,60),ROW()-1,FALSE))</f>
        <v>1793.057</v>
      </c>
      <c r="AQ128">
        <f ca="1">IF(AND(ISNUMBER($AQ$331),$B$208=1),$AQ$331,HLOOKUP(INDIRECT(ADDRESS(2,COLUMN())),OFFSET($BN$2,0,0,ROW()-1,60),ROW()-1,FALSE))</f>
        <v>1674.95</v>
      </c>
      <c r="AR128">
        <f ca="1">IF(AND(ISNUMBER($AR$331),$B$208=1),$AR$331,HLOOKUP(INDIRECT(ADDRESS(2,COLUMN())),OFFSET($BN$2,0,0,ROW()-1,60),ROW()-1,FALSE))</f>
        <v>3147.799</v>
      </c>
      <c r="AS128">
        <f ca="1">IF(AND(ISNUMBER($AS$331),$B$208=1),$AS$331,HLOOKUP(INDIRECT(ADDRESS(2,COLUMN())),OFFSET($BN$2,0,0,ROW()-1,60),ROW()-1,FALSE))</f>
        <v>3068.48</v>
      </c>
      <c r="AT128">
        <f ca="1">IF(AND(ISNUMBER($AT$331),$B$208=1),$AT$331,HLOOKUP(INDIRECT(ADDRESS(2,COLUMN())),OFFSET($BN$2,0,0,ROW()-1,60),ROW()-1,FALSE))</f>
        <v>2016.9970000000001</v>
      </c>
      <c r="AU128">
        <f ca="1">IF(AND(ISNUMBER($AU$331),$B$208=1),$AU$331,HLOOKUP(INDIRECT(ADDRESS(2,COLUMN())),OFFSET($BN$2,0,0,ROW()-1,60),ROW()-1,FALSE))</f>
        <v>1912.75</v>
      </c>
      <c r="AV128">
        <f ca="1">IF(AND(ISNUMBER($AV$331),$B$208=1),$AV$331,HLOOKUP(INDIRECT(ADDRESS(2,COLUMN())),OFFSET($BN$2,0,0,ROW()-1,60),ROW()-1,FALSE))</f>
        <v>3431.5830000000001</v>
      </c>
      <c r="AW128">
        <f ca="1">IF(AND(ISNUMBER($AW$331),$B$208=1),$AW$331,HLOOKUP(INDIRECT(ADDRESS(2,COLUMN())),OFFSET($BN$2,0,0,ROW()-1,60),ROW()-1,FALSE))</f>
        <v>2985.6219999999998</v>
      </c>
      <c r="AX128">
        <f ca="1">IF(AND(ISNUMBER($AX$331),$B$208=1),$AX$331,HLOOKUP(INDIRECT(ADDRESS(2,COLUMN())),OFFSET($BN$2,0,0,ROW()-1,60),ROW()-1,FALSE))</f>
        <v>2052.5990000000002</v>
      </c>
      <c r="AY128">
        <f ca="1">IF(AND(ISNUMBER($AY$331),$B$208=1),$AY$331,HLOOKUP(INDIRECT(ADDRESS(2,COLUMN())),OFFSET($BN$2,0,0,ROW()-1,60),ROW()-1,FALSE))</f>
        <v>1855.229</v>
      </c>
      <c r="AZ128">
        <f ca="1">IF(AND(ISNUMBER($AZ$331),$B$208=1),$AZ$331,HLOOKUP(INDIRECT(ADDRESS(2,COLUMN())),OFFSET($BN$2,0,0,ROW()-1,60),ROW()-1,FALSE))</f>
        <v>2030.492</v>
      </c>
      <c r="BA128">
        <f ca="1">IF(AND(ISNUMBER($BA$331),$B$208=1),$BA$331,HLOOKUP(INDIRECT(ADDRESS(2,COLUMN())),OFFSET($BN$2,0,0,ROW()-1,60),ROW()-1,FALSE))</f>
        <v>2068.4969999999998</v>
      </c>
      <c r="BB128">
        <f ca="1">IF(AND(ISNUMBER($BB$331),$B$208=1),$BB$331,HLOOKUP(INDIRECT(ADDRESS(2,COLUMN())),OFFSET($BN$2,0,0,ROW()-1,60),ROW()-1,FALSE))</f>
        <v>2177.5839999999998</v>
      </c>
      <c r="BC128">
        <f ca="1">IF(AND(ISNUMBER($BC$331),$B$208=1),$BC$331,HLOOKUP(INDIRECT(ADDRESS(2,COLUMN())),OFFSET($BN$2,0,0,ROW()-1,60),ROW()-1,FALSE))</f>
        <v>1965.9159999999999</v>
      </c>
      <c r="BD128">
        <f ca="1">IF(AND(ISNUMBER($BD$331),$B$208=1),$BD$331,HLOOKUP(INDIRECT(ADDRESS(2,COLUMN())),OFFSET($BN$2,0,0,ROW()-1,60),ROW()-1,FALSE))</f>
        <v>2875.8710000000001</v>
      </c>
      <c r="BE128">
        <f ca="1">IF(AND(ISNUMBER($BE$331),$B$208=1),$BE$331,HLOOKUP(INDIRECT(ADDRESS(2,COLUMN())),OFFSET($BN$2,0,0,ROW()-1,60),ROW()-1,FALSE))</f>
        <v>2635.39</v>
      </c>
      <c r="BF128">
        <f ca="1">IF(AND(ISNUMBER($BF$331),$B$208=1),$BF$331,HLOOKUP(INDIRECT(ADDRESS(2,COLUMN())),OFFSET($BN$2,0,0,ROW()-1,60),ROW()-1,FALSE))</f>
        <v>31537.585999999999</v>
      </c>
      <c r="BG128">
        <f ca="1">IF(AND(ISNUMBER($BG$331),$B$208=1),$BG$331,HLOOKUP(INDIRECT(ADDRESS(2,COLUMN())),OFFSET($BN$2,0,0,ROW()-1,60),ROW()-1,FALSE))</f>
        <v>2622.7939999999999</v>
      </c>
      <c r="BH128">
        <f ca="1">IF(AND(ISNUMBER($BH$331),$B$208=1),$BH$331,HLOOKUP(INDIRECT(ADDRESS(2,COLUMN())),OFFSET($BN$2,0,0,ROW()-1,60),ROW()-1,FALSE))</f>
        <v>2643.1819999999998</v>
      </c>
      <c r="BI128">
        <f ca="1">IF(AND(ISNUMBER($BI$331),$B$208=1),$BI$331,HLOOKUP(INDIRECT(ADDRESS(2,COLUMN())),OFFSET($BN$2,0,0,ROW()-1,60),ROW()-1,FALSE))</f>
        <v>2598.4879999999998</v>
      </c>
      <c r="BJ128">
        <f ca="1">IF(AND(ISNUMBER($BJ$331),$B$208=1),$BJ$331,HLOOKUP(INDIRECT(ADDRESS(2,COLUMN())),OFFSET($BN$2,0,0,ROW()-1,60),ROW()-1,FALSE))</f>
        <v>1930.5820000000001</v>
      </c>
      <c r="BK128">
        <f ca="1">IF(AND(ISNUMBER($BK$331),$B$208=1),$BK$331,HLOOKUP(INDIRECT(ADDRESS(2,COLUMN())),OFFSET($BN$2,0,0,ROW()-1,60),ROW()-1,FALSE))</f>
        <v>2565.3490000000002</v>
      </c>
      <c r="BL128">
        <f ca="1">IF(AND(ISNUMBER($BL$331),$B$208=1),$BL$331,HLOOKUP(INDIRECT(ADDRESS(2,COLUMN())),OFFSET($BN$2,0,0,ROW()-1,60),ROW()-1,FALSE))</f>
        <v>2591.1640000000002</v>
      </c>
      <c r="BM128">
        <f ca="1">IF(AND(ISNUMBER($BM$331),$B$208=1),$BM$331,HLOOKUP(INDIRECT(ADDRESS(2,COLUMN())),OFFSET($BN$2,0,0,ROW()-1,60),ROW()-1,FALSE))</f>
        <v>1976.432</v>
      </c>
      <c r="BN128">
        <f>3589.136</f>
        <v>3589.136</v>
      </c>
      <c r="BO128">
        <f>3228.177</f>
        <v>3228.1770000000001</v>
      </c>
      <c r="BP128">
        <f>3530.084</f>
        <v>3530.0839999999998</v>
      </c>
      <c r="BQ128">
        <f>3169.576</f>
        <v>3169.576</v>
      </c>
      <c r="BR128">
        <f>3434.865</f>
        <v>3434.8649999999998</v>
      </c>
      <c r="BS128">
        <f>3115.544</f>
        <v>3115.5439999999999</v>
      </c>
      <c r="BT128">
        <f>3358.345</f>
        <v>3358.3449999999998</v>
      </c>
      <c r="BU128">
        <f>3138.443</f>
        <v>3138.4430000000002</v>
      </c>
      <c r="BV128">
        <f>3757.316</f>
        <v>3757.3159999999998</v>
      </c>
      <c r="BW128">
        <f>3118.24</f>
        <v>3118.24</v>
      </c>
      <c r="BX128">
        <f>3440.782</f>
        <v>3440.7820000000002</v>
      </c>
      <c r="BY128">
        <f>2961.969</f>
        <v>2961.9690000000001</v>
      </c>
      <c r="BZ128">
        <f>3004.677</f>
        <v>3004.6770000000001</v>
      </c>
      <c r="CA128">
        <f>2461.669</f>
        <v>2461.6689999999999</v>
      </c>
      <c r="CB128">
        <f>2654.814</f>
        <v>2654.8139999999999</v>
      </c>
      <c r="CC128">
        <f>2285.928</f>
        <v>2285.9279999999999</v>
      </c>
      <c r="CD128">
        <f>2540.245</f>
        <v>2540.2449999999999</v>
      </c>
      <c r="CE128">
        <f>2203.2</f>
        <v>2203.1999999999998</v>
      </c>
      <c r="CF128">
        <f>2231.502</f>
        <v>2231.502</v>
      </c>
      <c r="CG128">
        <f>2772.363</f>
        <v>2772.3629999999998</v>
      </c>
      <c r="CH128">
        <f>3071.06</f>
        <v>3071.06</v>
      </c>
      <c r="CI128">
        <f>2608.951</f>
        <v>2608.951</v>
      </c>
      <c r="CJ128">
        <f>2982.458</f>
        <v>2982.4580000000001</v>
      </c>
      <c r="CK128">
        <f>2557.469</f>
        <v>2557.4690000000001</v>
      </c>
      <c r="CL128">
        <f>2634.354</f>
        <v>2634.3539999999998</v>
      </c>
      <c r="CM128">
        <f>2168.222</f>
        <v>2168.2220000000002</v>
      </c>
      <c r="CN128">
        <f>2300</f>
        <v>2300</v>
      </c>
      <c r="CO128">
        <f>2081.14</f>
        <v>2081.14</v>
      </c>
      <c r="CP128">
        <f>2370.75</f>
        <v>2370.75</v>
      </c>
      <c r="CQ128">
        <f>1992.428</f>
        <v>1992.4280000000001</v>
      </c>
      <c r="CR128">
        <f>2053.711</f>
        <v>2053.7109999999998</v>
      </c>
      <c r="CS128">
        <f>1765.321</f>
        <v>1765.3209999999999</v>
      </c>
      <c r="CT128">
        <f>1963.758</f>
        <v>1963.758</v>
      </c>
      <c r="CU128">
        <f>1557.453</f>
        <v>1557.453</v>
      </c>
      <c r="CV128">
        <f>1691.333</f>
        <v>1691.3330000000001</v>
      </c>
      <c r="CW128">
        <f>1542.653</f>
        <v>1542.653</v>
      </c>
      <c r="CX128">
        <f>1793.057</f>
        <v>1793.057</v>
      </c>
      <c r="CY128">
        <f>1674.95</f>
        <v>1674.95</v>
      </c>
      <c r="CZ128">
        <f>3147.799</f>
        <v>3147.799</v>
      </c>
      <c r="DA128">
        <f>3068.48</f>
        <v>3068.48</v>
      </c>
      <c r="DB128">
        <f>2016.997</f>
        <v>2016.9970000000001</v>
      </c>
      <c r="DC128">
        <f>1912.75</f>
        <v>1912.75</v>
      </c>
      <c r="DD128">
        <f>3431.583</f>
        <v>3431.5830000000001</v>
      </c>
      <c r="DE128">
        <f>2985.622</f>
        <v>2985.6219999999998</v>
      </c>
      <c r="DF128">
        <f>2052.599</f>
        <v>2052.5990000000002</v>
      </c>
      <c r="DG128">
        <f>1855.229</f>
        <v>1855.229</v>
      </c>
      <c r="DH128">
        <f>2030.492</f>
        <v>2030.492</v>
      </c>
      <c r="DI128">
        <f>2068.497</f>
        <v>2068.4969999999998</v>
      </c>
      <c r="DJ128">
        <f>2177.584</f>
        <v>2177.5839999999998</v>
      </c>
      <c r="DK128">
        <f>1965.916</f>
        <v>1965.9159999999999</v>
      </c>
      <c r="DL128">
        <f>2875.871</f>
        <v>2875.8710000000001</v>
      </c>
      <c r="DM128">
        <f>2635.39</f>
        <v>2635.39</v>
      </c>
      <c r="DN128">
        <f>31537.586</f>
        <v>31537.585999999999</v>
      </c>
      <c r="DO128">
        <f>2622.794</f>
        <v>2622.7939999999999</v>
      </c>
      <c r="DP128">
        <f>2643.182</f>
        <v>2643.1819999999998</v>
      </c>
      <c r="DQ128">
        <f>2598.488</f>
        <v>2598.4879999999998</v>
      </c>
      <c r="DR128">
        <f>1930.582</f>
        <v>1930.5820000000001</v>
      </c>
      <c r="DS128">
        <f>2565.349</f>
        <v>2565.3490000000002</v>
      </c>
      <c r="DT128">
        <f>2591.164</f>
        <v>2591.1640000000002</v>
      </c>
      <c r="DU128">
        <f>1976.432</f>
        <v>1976.432</v>
      </c>
    </row>
    <row r="129" spans="1:125" x14ac:dyDescent="0.25">
      <c r="A129" t="str">
        <f>"    CaixaBank SA"</f>
        <v xml:space="preserve">    CaixaBank SA</v>
      </c>
      <c r="B129" t="str">
        <f>"CABK SM Equity"</f>
        <v>CABK SM Equity</v>
      </c>
      <c r="C129" t="str">
        <f t="shared" si="9"/>
        <v>BS016</v>
      </c>
      <c r="D129" t="str">
        <f t="shared" si="10"/>
        <v>BS_COMM_LOAN</v>
      </c>
      <c r="E129" t="str">
        <f t="shared" si="11"/>
        <v>Dynamic</v>
      </c>
      <c r="F129">
        <f ca="1">IF(AND(ISNUMBER($F$332),$B$208=1),$F$332,HLOOKUP(INDIRECT(ADDRESS(2,COLUMN())),OFFSET($BN$2,0,0,ROW()-1,60),ROW()-1,FALSE))</f>
        <v>167513</v>
      </c>
      <c r="G129">
        <f ca="1">IF(AND(ISNUMBER($G$332),$B$208=1),$G$332,HLOOKUP(INDIRECT(ADDRESS(2,COLUMN())),OFFSET($BN$2,0,0,ROW()-1,60),ROW()-1,FALSE))</f>
        <v>162377</v>
      </c>
      <c r="H129">
        <f ca="1">IF(AND(ISNUMBER($H$332),$B$208=1),$H$332,HLOOKUP(INDIRECT(ADDRESS(2,COLUMN())),OFFSET($BN$2,0,0,ROW()-1,60),ROW()-1,FALSE))</f>
        <v>163763</v>
      </c>
      <c r="I129">
        <f ca="1">IF(AND(ISNUMBER($I$332),$B$208=1),$I$332,HLOOKUP(INDIRECT(ADDRESS(2,COLUMN())),OFFSET($BN$2,0,0,ROW()-1,60),ROW()-1,FALSE))</f>
        <v>161779</v>
      </c>
      <c r="J129">
        <f ca="1">IF(AND(ISNUMBER($J$332),$B$208=1),$J$332,HLOOKUP(INDIRECT(ADDRESS(2,COLUMN())),OFFSET($BN$2,0,0,ROW()-1,60),ROW()-1,FALSE))</f>
        <v>160018</v>
      </c>
      <c r="K129">
        <f ca="1">IF(AND(ISNUMBER($K$332),$B$208=1),$K$332,HLOOKUP(INDIRECT(ADDRESS(2,COLUMN())),OFFSET($BN$2,0,0,ROW()-1,60),ROW()-1,FALSE))</f>
        <v>159370</v>
      </c>
      <c r="L129">
        <f ca="1">IF(AND(ISNUMBER($L$332),$B$208=1),$L$332,HLOOKUP(INDIRECT(ADDRESS(2,COLUMN())),OFFSET($BN$2,0,0,ROW()-1,60),ROW()-1,FALSE))</f>
        <v>160971</v>
      </c>
      <c r="M129">
        <f ca="1">IF(AND(ISNUMBER($M$332),$B$208=1),$M$332,HLOOKUP(INDIRECT(ADDRESS(2,COLUMN())),OFFSET($BN$2,0,0,ROW()-1,60),ROW()-1,FALSE))</f>
        <v>159538</v>
      </c>
      <c r="N129">
        <f ca="1">IF(AND(ISNUMBER($N$332),$B$208=1),$N$332,HLOOKUP(INDIRECT(ADDRESS(2,COLUMN())),OFFSET($BN$2,0,0,ROW()-1,60),ROW()-1,FALSE))</f>
        <v>156693</v>
      </c>
      <c r="O129">
        <f ca="1">IF(AND(ISNUMBER($O$332),$B$208=1),$O$332,HLOOKUP(INDIRECT(ADDRESS(2,COLUMN())),OFFSET($BN$2,0,0,ROW()-1,60),ROW()-1,FALSE))</f>
        <v>157129</v>
      </c>
      <c r="P129">
        <f ca="1">IF(AND(ISNUMBER($P$332),$B$208=1),$P$332,HLOOKUP(INDIRECT(ADDRESS(2,COLUMN())),OFFSET($BN$2,0,0,ROW()-1,60),ROW()-1,FALSE))</f>
        <v>154513</v>
      </c>
      <c r="Q129">
        <f ca="1">IF(AND(ISNUMBER($Q$332),$B$208=1),$Q$332,HLOOKUP(INDIRECT(ADDRESS(2,COLUMN())),OFFSET($BN$2,0,0,ROW()-1,60),ROW()-1,FALSE))</f>
        <v>148575</v>
      </c>
      <c r="R129">
        <f ca="1">IF(AND(ISNUMBER($R$332),$B$208=1),$R$332,HLOOKUP(INDIRECT(ADDRESS(2,COLUMN())),OFFSET($BN$2,0,0,ROW()-1,60),ROW()-1,FALSE))</f>
        <v>147419</v>
      </c>
      <c r="S129">
        <f ca="1">IF(AND(ISNUMBER($S$332),$B$208=1),$S$332,HLOOKUP(INDIRECT(ADDRESS(2,COLUMN())),OFFSET($BN$2,0,0,ROW()-1,60),ROW()-1,FALSE))</f>
        <v>144642</v>
      </c>
      <c r="T129">
        <f ca="1">IF(AND(ISNUMBER($T$332),$B$208=1),$T$332,HLOOKUP(INDIRECT(ADDRESS(2,COLUMN())),OFFSET($BN$2,0,0,ROW()-1,60),ROW()-1,FALSE))</f>
        <v>146336</v>
      </c>
      <c r="U129">
        <f ca="1">IF(AND(ISNUMBER($U$332),$B$208=1),$U$332,HLOOKUP(INDIRECT(ADDRESS(2,COLUMN())),OFFSET($BN$2,0,0,ROW()-1,60),ROW()-1,FALSE))</f>
        <v>149359</v>
      </c>
      <c r="V129">
        <f ca="1">IF(AND(ISNUMBER($V$332),$B$208=1),$V$332,HLOOKUP(INDIRECT(ADDRESS(2,COLUMN())),OFFSET($BN$2,0,0,ROW()-1,60),ROW()-1,FALSE))</f>
        <v>106425</v>
      </c>
      <c r="W129">
        <f ca="1">IF(AND(ISNUMBER($W$332),$B$208=1),$W$332,HLOOKUP(INDIRECT(ADDRESS(2,COLUMN())),OFFSET($BN$2,0,0,ROW()-1,60),ROW()-1,FALSE))</f>
        <v>107351</v>
      </c>
      <c r="X129">
        <f ca="1">IF(AND(ISNUMBER($X$332),$B$208=1),$X$332,HLOOKUP(INDIRECT(ADDRESS(2,COLUMN())),OFFSET($BN$2,0,0,ROW()-1,60),ROW()-1,FALSE))</f>
        <v>105870</v>
      </c>
      <c r="Y129">
        <f ca="1">IF(AND(ISNUMBER($Y$332),$B$208=1),$Y$332,HLOOKUP(INDIRECT(ADDRESS(2,COLUMN())),OFFSET($BN$2,0,0,ROW()-1,60),ROW()-1,FALSE))</f>
        <v>94119</v>
      </c>
      <c r="Z129">
        <f ca="1">IF(AND(ISNUMBER($Z$332),$B$208=1),$Z$332,HLOOKUP(INDIRECT(ADDRESS(2,COLUMN())),OFFSET($BN$2,0,0,ROW()-1,60),ROW()-1,FALSE))</f>
        <v>91308</v>
      </c>
      <c r="AA129">
        <f ca="1">IF(AND(ISNUMBER($AA$332),$B$208=1),$AA$332,HLOOKUP(INDIRECT(ADDRESS(2,COLUMN())),OFFSET($BN$2,0,0,ROW()-1,60),ROW()-1,FALSE))</f>
        <v>89749</v>
      </c>
      <c r="AB129">
        <f ca="1">IF(AND(ISNUMBER($AB$332),$B$208=1),$AB$332,HLOOKUP(INDIRECT(ADDRESS(2,COLUMN())),OFFSET($BN$2,0,0,ROW()-1,60),ROW()-1,FALSE))</f>
        <v>89074</v>
      </c>
      <c r="AC129">
        <f ca="1">IF(AND(ISNUMBER($AC$332),$B$208=1),$AC$332,HLOOKUP(INDIRECT(ADDRESS(2,COLUMN())),OFFSET($BN$2,0,0,ROW()-1,60),ROW()-1,FALSE))</f>
        <v>87248</v>
      </c>
      <c r="AD129">
        <f ca="1">IF(AND(ISNUMBER($AD$332),$B$208=1),$AD$332,HLOOKUP(INDIRECT(ADDRESS(2,COLUMN())),OFFSET($BN$2,0,0,ROW()-1,60),ROW()-1,FALSE))</f>
        <v>85817</v>
      </c>
      <c r="AE129">
        <f ca="1">IF(AND(ISNUMBER($AE$332),$B$208=1),$AE$332,HLOOKUP(INDIRECT(ADDRESS(2,COLUMN())),OFFSET($BN$2,0,0,ROW()-1,60),ROW()-1,FALSE))</f>
        <v>83872</v>
      </c>
      <c r="AF129">
        <f ca="1">IF(AND(ISNUMBER($AF$332),$B$208=1),$AF$332,HLOOKUP(INDIRECT(ADDRESS(2,COLUMN())),OFFSET($BN$2,0,0,ROW()-1,60),ROW()-1,FALSE))</f>
        <v>83022</v>
      </c>
      <c r="AG129">
        <f ca="1">IF(AND(ISNUMBER($AG$332),$B$208=1),$AG$332,HLOOKUP(INDIRECT(ADDRESS(2,COLUMN())),OFFSET($BN$2,0,0,ROW()-1,60),ROW()-1,FALSE))</f>
        <v>82296</v>
      </c>
      <c r="AH129">
        <f ca="1">IF(AND(ISNUMBER($AH$332),$B$208=1),$AH$332,HLOOKUP(INDIRECT(ADDRESS(2,COLUMN())),OFFSET($BN$2,0,0,ROW()-1,60),ROW()-1,FALSE))</f>
        <v>83463</v>
      </c>
      <c r="AI129">
        <f ca="1">IF(AND(ISNUMBER($AI$332),$B$208=1),$AI$332,HLOOKUP(INDIRECT(ADDRESS(2,COLUMN())),OFFSET($BN$2,0,0,ROW()-1,60),ROW()-1,FALSE))</f>
        <v>83034</v>
      </c>
      <c r="AJ129">
        <f ca="1">IF(AND(ISNUMBER($AJ$332),$B$208=1),$AJ$332,HLOOKUP(INDIRECT(ADDRESS(2,COLUMN())),OFFSET($BN$2,0,0,ROW()-1,60),ROW()-1,FALSE))</f>
        <v>83424</v>
      </c>
      <c r="AK129">
        <f ca="1">IF(AND(ISNUMBER($AK$332),$B$208=1),$AK$332,HLOOKUP(INDIRECT(ADDRESS(2,COLUMN())),OFFSET($BN$2,0,0,ROW()-1,60),ROW()-1,FALSE))</f>
        <v>83324</v>
      </c>
      <c r="AL129">
        <f ca="1">IF(AND(ISNUMBER($AL$332),$B$208=1),$AL$332,HLOOKUP(INDIRECT(ADDRESS(2,COLUMN())),OFFSET($BN$2,0,0,ROW()-1,60),ROW()-1,FALSE))</f>
        <v>72837</v>
      </c>
      <c r="AM129">
        <f ca="1">IF(AND(ISNUMBER($AM$332),$B$208=1),$AM$332,HLOOKUP(INDIRECT(ADDRESS(2,COLUMN())),OFFSET($BN$2,0,0,ROW()-1,60),ROW()-1,FALSE))</f>
        <v>71824</v>
      </c>
      <c r="AN129">
        <f ca="1">IF(AND(ISNUMBER($AN$332),$B$208=1),$AN$332,HLOOKUP(INDIRECT(ADDRESS(2,COLUMN())),OFFSET($BN$2,0,0,ROW()-1,60),ROW()-1,FALSE))</f>
        <v>71235</v>
      </c>
      <c r="AO129">
        <f ca="1">IF(AND(ISNUMBER($AO$332),$B$208=1),$AO$332,HLOOKUP(INDIRECT(ADDRESS(2,COLUMN())),OFFSET($BN$2,0,0,ROW()-1,60),ROW()-1,FALSE))</f>
        <v>69969</v>
      </c>
      <c r="AP129">
        <f ca="1">IF(AND(ISNUMBER($AP$332),$B$208=1),$AP$332,HLOOKUP(INDIRECT(ADDRESS(2,COLUMN())),OFFSET($BN$2,0,0,ROW()-1,60),ROW()-1,FALSE))</f>
        <v>69681</v>
      </c>
      <c r="AQ129">
        <f ca="1">IF(AND(ISNUMBER($AQ$332),$B$208=1),$AQ$332,HLOOKUP(INDIRECT(ADDRESS(2,COLUMN())),OFFSET($BN$2,0,0,ROW()-1,60),ROW()-1,FALSE))</f>
        <v>70092</v>
      </c>
      <c r="AR129">
        <f ca="1">IF(AND(ISNUMBER($AR$332),$B$208=1),$AR$332,HLOOKUP(INDIRECT(ADDRESS(2,COLUMN())),OFFSET($BN$2,0,0,ROW()-1,60),ROW()-1,FALSE))</f>
        <v>70607</v>
      </c>
      <c r="AS129">
        <f ca="1">IF(AND(ISNUMBER($AS$332),$B$208=1),$AS$332,HLOOKUP(INDIRECT(ADDRESS(2,COLUMN())),OFFSET($BN$2,0,0,ROW()-1,60),ROW()-1,FALSE))</f>
        <v>72843</v>
      </c>
      <c r="AT129">
        <f ca="1">IF(AND(ISNUMBER($AT$332),$B$208=1),$AT$332,HLOOKUP(INDIRECT(ADDRESS(2,COLUMN())),OFFSET($BN$2,0,0,ROW()-1,60),ROW()-1,FALSE))</f>
        <v>70862</v>
      </c>
      <c r="AU129">
        <f ca="1">IF(AND(ISNUMBER($AU$332),$B$208=1),$AU$332,HLOOKUP(INDIRECT(ADDRESS(2,COLUMN())),OFFSET($BN$2,0,0,ROW()-1,60),ROW()-1,FALSE))</f>
        <v>68318</v>
      </c>
      <c r="AV129">
        <f ca="1">IF(AND(ISNUMBER($AV$332),$B$208=1),$AV$332,HLOOKUP(INDIRECT(ADDRESS(2,COLUMN())),OFFSET($BN$2,0,0,ROW()-1,60),ROW()-1,FALSE))</f>
        <v>71506</v>
      </c>
      <c r="AW129">
        <f ca="1">IF(AND(ISNUMBER($AW$332),$B$208=1),$AW$332,HLOOKUP(INDIRECT(ADDRESS(2,COLUMN())),OFFSET($BN$2,0,0,ROW()-1,60),ROW()-1,FALSE))</f>
        <v>74938</v>
      </c>
      <c r="AX129">
        <f ca="1">IF(AND(ISNUMBER($AX$332),$B$208=1),$AX$332,HLOOKUP(INDIRECT(ADDRESS(2,COLUMN())),OFFSET($BN$2,0,0,ROW()-1,60),ROW()-1,FALSE))</f>
        <v>78647</v>
      </c>
      <c r="AY129">
        <f ca="1">IF(AND(ISNUMBER($AY$332),$B$208=1),$AY$332,HLOOKUP(INDIRECT(ADDRESS(2,COLUMN())),OFFSET($BN$2,0,0,ROW()-1,60),ROW()-1,FALSE))</f>
        <v>83287</v>
      </c>
      <c r="AZ129">
        <f ca="1">IF(AND(ISNUMBER($AZ$332),$B$208=1),$AZ$332,HLOOKUP(INDIRECT(ADDRESS(2,COLUMN())),OFFSET($BN$2,0,0,ROW()-1,60),ROW()-1,FALSE))</f>
        <v>85910</v>
      </c>
      <c r="BA129">
        <f ca="1">IF(AND(ISNUMBER($BA$332),$B$208=1),$BA$332,HLOOKUP(INDIRECT(ADDRESS(2,COLUMN())),OFFSET($BN$2,0,0,ROW()-1,60),ROW()-1,FALSE))</f>
        <v>90225</v>
      </c>
      <c r="BB129">
        <f ca="1">IF(AND(ISNUMBER($BB$332),$B$208=1),$BB$332,HLOOKUP(INDIRECT(ADDRESS(2,COLUMN())),OFFSET($BN$2,0,0,ROW()-1,60),ROW()-1,FALSE))</f>
        <v>88975</v>
      </c>
      <c r="BC129">
        <f ca="1">IF(AND(ISNUMBER($BC$332),$B$208=1),$BC$332,HLOOKUP(INDIRECT(ADDRESS(2,COLUMN())),OFFSET($BN$2,0,0,ROW()-1,60),ROW()-1,FALSE))</f>
        <v>94171</v>
      </c>
      <c r="BD129">
        <f ca="1">IF(AND(ISNUMBER($BD$332),$B$208=1),$BD$332,HLOOKUP(INDIRECT(ADDRESS(2,COLUMN())),OFFSET($BN$2,0,0,ROW()-1,60),ROW()-1,FALSE))</f>
        <v>78134</v>
      </c>
      <c r="BE129">
        <f ca="1">IF(AND(ISNUMBER($BE$332),$B$208=1),$BE$332,HLOOKUP(INDIRECT(ADDRESS(2,COLUMN())),OFFSET($BN$2,0,0,ROW()-1,60),ROW()-1,FALSE))</f>
        <v>76693</v>
      </c>
      <c r="BF129">
        <f ca="1">IF(AND(ISNUMBER($BF$332),$B$208=1),$BF$332,HLOOKUP(INDIRECT(ADDRESS(2,COLUMN())),OFFSET($BN$2,0,0,ROW()-1,60),ROW()-1,FALSE))</f>
        <v>77919</v>
      </c>
      <c r="BG129">
        <f ca="1">IF(AND(ISNUMBER($BG$332),$B$208=1),$BG$332,HLOOKUP(INDIRECT(ADDRESS(2,COLUMN())),OFFSET($BN$2,0,0,ROW()-1,60),ROW()-1,FALSE))</f>
        <v>78407</v>
      </c>
      <c r="BH129">
        <f ca="1">IF(AND(ISNUMBER($BH$332),$B$208=1),$BH$332,HLOOKUP(INDIRECT(ADDRESS(2,COLUMN())),OFFSET($BN$2,0,0,ROW()-1,60),ROW()-1,FALSE))</f>
        <v>80808</v>
      </c>
      <c r="BI129">
        <f ca="1">IF(AND(ISNUMBER($BI$332),$B$208=1),$BI$332,HLOOKUP(INDIRECT(ADDRESS(2,COLUMN())),OFFSET($BN$2,0,0,ROW()-1,60),ROW()-1,FALSE))</f>
        <v>25592</v>
      </c>
      <c r="BJ129">
        <f ca="1">IF(AND(ISNUMBER($BJ$332),$B$208=1),$BJ$332,HLOOKUP(INDIRECT(ADDRESS(2,COLUMN())),OFFSET($BN$2,0,0,ROW()-1,60),ROW()-1,FALSE))</f>
        <v>81124</v>
      </c>
      <c r="BK129">
        <f ca="1">IF(AND(ISNUMBER($BK$332),$B$208=1),$BK$332,HLOOKUP(INDIRECT(ADDRESS(2,COLUMN())),OFFSET($BN$2,0,0,ROW()-1,60),ROW()-1,FALSE))</f>
        <v>78022</v>
      </c>
      <c r="BL129">
        <f ca="1">IF(AND(ISNUMBER($BL$332),$B$208=1),$BL$332,HLOOKUP(INDIRECT(ADDRESS(2,COLUMN())),OFFSET($BN$2,0,0,ROW()-1,60),ROW()-1,FALSE))</f>
        <v>78699</v>
      </c>
      <c r="BM129">
        <f ca="1">IF(AND(ISNUMBER($BM$332),$B$208=1),$BM$332,HLOOKUP(INDIRECT(ADDRESS(2,COLUMN())),OFFSET($BN$2,0,0,ROW()-1,60),ROW()-1,FALSE))</f>
        <v>27071</v>
      </c>
      <c r="BN129">
        <f>167513</f>
        <v>167513</v>
      </c>
      <c r="BO129">
        <f>162377</f>
        <v>162377</v>
      </c>
      <c r="BP129">
        <f>163763</f>
        <v>163763</v>
      </c>
      <c r="BQ129">
        <f>161779</f>
        <v>161779</v>
      </c>
      <c r="BR129">
        <f>160018</f>
        <v>160018</v>
      </c>
      <c r="BS129">
        <f>159370</f>
        <v>159370</v>
      </c>
      <c r="BT129">
        <f>160971</f>
        <v>160971</v>
      </c>
      <c r="BU129">
        <f>159538</f>
        <v>159538</v>
      </c>
      <c r="BV129">
        <f>156693</f>
        <v>156693</v>
      </c>
      <c r="BW129">
        <f>157129</f>
        <v>157129</v>
      </c>
      <c r="BX129">
        <f>154513</f>
        <v>154513</v>
      </c>
      <c r="BY129">
        <f>148575</f>
        <v>148575</v>
      </c>
      <c r="BZ129">
        <f>147419</f>
        <v>147419</v>
      </c>
      <c r="CA129">
        <f>144642</f>
        <v>144642</v>
      </c>
      <c r="CB129">
        <f>146336</f>
        <v>146336</v>
      </c>
      <c r="CC129">
        <f>149359</f>
        <v>149359</v>
      </c>
      <c r="CD129">
        <f>106425</f>
        <v>106425</v>
      </c>
      <c r="CE129">
        <f>107351</f>
        <v>107351</v>
      </c>
      <c r="CF129">
        <f>105870</f>
        <v>105870</v>
      </c>
      <c r="CG129">
        <f>94119</f>
        <v>94119</v>
      </c>
      <c r="CH129">
        <f>91308</f>
        <v>91308</v>
      </c>
      <c r="CI129">
        <f>89749</f>
        <v>89749</v>
      </c>
      <c r="CJ129">
        <f>89074</f>
        <v>89074</v>
      </c>
      <c r="CK129">
        <f>87248</f>
        <v>87248</v>
      </c>
      <c r="CL129">
        <f>85817</f>
        <v>85817</v>
      </c>
      <c r="CM129">
        <f>83872</f>
        <v>83872</v>
      </c>
      <c r="CN129">
        <f>83022</f>
        <v>83022</v>
      </c>
      <c r="CO129">
        <f>82296</f>
        <v>82296</v>
      </c>
      <c r="CP129">
        <f>83463</f>
        <v>83463</v>
      </c>
      <c r="CQ129">
        <f>83034</f>
        <v>83034</v>
      </c>
      <c r="CR129">
        <f>83424</f>
        <v>83424</v>
      </c>
      <c r="CS129">
        <f>83324</f>
        <v>83324</v>
      </c>
      <c r="CT129">
        <f>72837</f>
        <v>72837</v>
      </c>
      <c r="CU129">
        <f>71824</f>
        <v>71824</v>
      </c>
      <c r="CV129">
        <f>71235</f>
        <v>71235</v>
      </c>
      <c r="CW129">
        <f>69969</f>
        <v>69969</v>
      </c>
      <c r="CX129">
        <f>69681</f>
        <v>69681</v>
      </c>
      <c r="CY129">
        <f>70092</f>
        <v>70092</v>
      </c>
      <c r="CZ129">
        <f>70607</f>
        <v>70607</v>
      </c>
      <c r="DA129">
        <f>72843</f>
        <v>72843</v>
      </c>
      <c r="DB129">
        <f>70862</f>
        <v>70862</v>
      </c>
      <c r="DC129">
        <f>68318</f>
        <v>68318</v>
      </c>
      <c r="DD129">
        <f>71506</f>
        <v>71506</v>
      </c>
      <c r="DE129">
        <f>74938</f>
        <v>74938</v>
      </c>
      <c r="DF129">
        <f>78647</f>
        <v>78647</v>
      </c>
      <c r="DG129">
        <f>83287</f>
        <v>83287</v>
      </c>
      <c r="DH129">
        <f>85910</f>
        <v>85910</v>
      </c>
      <c r="DI129">
        <f>90225</f>
        <v>90225</v>
      </c>
      <c r="DJ129">
        <f>88975</f>
        <v>88975</v>
      </c>
      <c r="DK129">
        <f>94171</f>
        <v>94171</v>
      </c>
      <c r="DL129">
        <f>78134</f>
        <v>78134</v>
      </c>
      <c r="DM129">
        <f>76693</f>
        <v>76693</v>
      </c>
      <c r="DN129">
        <f>77919</f>
        <v>77919</v>
      </c>
      <c r="DO129">
        <f>78407</f>
        <v>78407</v>
      </c>
      <c r="DP129">
        <f>80808</f>
        <v>80808</v>
      </c>
      <c r="DQ129">
        <f>25592</f>
        <v>25592</v>
      </c>
      <c r="DR129">
        <f>81124</f>
        <v>81124</v>
      </c>
      <c r="DS129">
        <f>78022</f>
        <v>78022</v>
      </c>
      <c r="DT129">
        <f>78699</f>
        <v>78699</v>
      </c>
      <c r="DU129">
        <f>27071</f>
        <v>27071</v>
      </c>
    </row>
    <row r="130" spans="1:125" x14ac:dyDescent="0.25">
      <c r="A130" t="str">
        <f>"    Commerzbank AG"</f>
        <v xml:space="preserve">    Commerzbank AG</v>
      </c>
      <c r="B130" t="str">
        <f>"CBK GR Equity"</f>
        <v>CBK GR Equity</v>
      </c>
      <c r="C130" t="str">
        <f t="shared" si="9"/>
        <v>BS016</v>
      </c>
      <c r="D130" t="str">
        <f t="shared" si="10"/>
        <v>BS_COMM_LOAN</v>
      </c>
      <c r="E130" t="str">
        <f t="shared" si="11"/>
        <v>Dynamic</v>
      </c>
      <c r="F130" t="str">
        <f ca="1">IF(AND(ISNUMBER($F$333),$B$208=1),$F$333,HLOOKUP(INDIRECT(ADDRESS(2,COLUMN())),OFFSET($BN$2,0,0,ROW()-1,60),ROW()-1,FALSE))</f>
        <v/>
      </c>
      <c r="G130" t="str">
        <f ca="1">IF(AND(ISNUMBER($G$333),$B$208=1),$G$333,HLOOKUP(INDIRECT(ADDRESS(2,COLUMN())),OFFSET($BN$2,0,0,ROW()-1,60),ROW()-1,FALSE))</f>
        <v/>
      </c>
      <c r="H130" t="str">
        <f ca="1">IF(AND(ISNUMBER($H$333),$B$208=1),$H$333,HLOOKUP(INDIRECT(ADDRESS(2,COLUMN())),OFFSET($BN$2,0,0,ROW()-1,60),ROW()-1,FALSE))</f>
        <v/>
      </c>
      <c r="I130" t="str">
        <f ca="1">IF(AND(ISNUMBER($I$333),$B$208=1),$I$333,HLOOKUP(INDIRECT(ADDRESS(2,COLUMN())),OFFSET($BN$2,0,0,ROW()-1,60),ROW()-1,FALSE))</f>
        <v/>
      </c>
      <c r="J130">
        <f ca="1">IF(AND(ISNUMBER($J$333),$B$208=1),$J$333,HLOOKUP(INDIRECT(ADDRESS(2,COLUMN())),OFFSET($BN$2,0,0,ROW()-1,60),ROW()-1,FALSE))</f>
        <v>92508</v>
      </c>
      <c r="K130" t="str">
        <f ca="1">IF(AND(ISNUMBER($K$333),$B$208=1),$K$333,HLOOKUP(INDIRECT(ADDRESS(2,COLUMN())),OFFSET($BN$2,0,0,ROW()-1,60),ROW()-1,FALSE))</f>
        <v/>
      </c>
      <c r="L130" t="str">
        <f ca="1">IF(AND(ISNUMBER($L$333),$B$208=1),$L$333,HLOOKUP(INDIRECT(ADDRESS(2,COLUMN())),OFFSET($BN$2,0,0,ROW()-1,60),ROW()-1,FALSE))</f>
        <v/>
      </c>
      <c r="M130" t="str">
        <f ca="1">IF(AND(ISNUMBER($M$333),$B$208=1),$M$333,HLOOKUP(INDIRECT(ADDRESS(2,COLUMN())),OFFSET($BN$2,0,0,ROW()-1,60),ROW()-1,FALSE))</f>
        <v/>
      </c>
      <c r="N130">
        <f ca="1">IF(AND(ISNUMBER($N$333),$B$208=1),$N$333,HLOOKUP(INDIRECT(ADDRESS(2,COLUMN())),OFFSET($BN$2,0,0,ROW()-1,60),ROW()-1,FALSE))</f>
        <v>94269</v>
      </c>
      <c r="O130" t="str">
        <f ca="1">IF(AND(ISNUMBER($O$333),$B$208=1),$O$333,HLOOKUP(INDIRECT(ADDRESS(2,COLUMN())),OFFSET($BN$2,0,0,ROW()-1,60),ROW()-1,FALSE))</f>
        <v/>
      </c>
      <c r="P130" t="str">
        <f ca="1">IF(AND(ISNUMBER($P$333),$B$208=1),$P$333,HLOOKUP(INDIRECT(ADDRESS(2,COLUMN())),OFFSET($BN$2,0,0,ROW()-1,60),ROW()-1,FALSE))</f>
        <v/>
      </c>
      <c r="Q130" t="str">
        <f ca="1">IF(AND(ISNUMBER($Q$333),$B$208=1),$Q$333,HLOOKUP(INDIRECT(ADDRESS(2,COLUMN())),OFFSET($BN$2,0,0,ROW()-1,60),ROW()-1,FALSE))</f>
        <v/>
      </c>
      <c r="R130">
        <f ca="1">IF(AND(ISNUMBER($R$333),$B$208=1),$R$333,HLOOKUP(INDIRECT(ADDRESS(2,COLUMN())),OFFSET($BN$2,0,0,ROW()-1,60),ROW()-1,FALSE))</f>
        <v>92597</v>
      </c>
      <c r="S130" t="str">
        <f ca="1">IF(AND(ISNUMBER($S$333),$B$208=1),$S$333,HLOOKUP(INDIRECT(ADDRESS(2,COLUMN())),OFFSET($BN$2,0,0,ROW()-1,60),ROW()-1,FALSE))</f>
        <v/>
      </c>
      <c r="T130">
        <f ca="1">IF(AND(ISNUMBER($T$333),$B$208=1),$T$333,HLOOKUP(INDIRECT(ADDRESS(2,COLUMN())),OFFSET($BN$2,0,0,ROW()-1,60),ROW()-1,FALSE))</f>
        <v>89749</v>
      </c>
      <c r="U130" t="str">
        <f ca="1">IF(AND(ISNUMBER($U$333),$B$208=1),$U$333,HLOOKUP(INDIRECT(ADDRESS(2,COLUMN())),OFFSET($BN$2,0,0,ROW()-1,60),ROW()-1,FALSE))</f>
        <v/>
      </c>
      <c r="V130">
        <f ca="1">IF(AND(ISNUMBER($V$333),$B$208=1),$V$333,HLOOKUP(INDIRECT(ADDRESS(2,COLUMN())),OFFSET($BN$2,0,0,ROW()-1,60),ROW()-1,FALSE))</f>
        <v>88195</v>
      </c>
      <c r="W130">
        <f ca="1">IF(AND(ISNUMBER($W$333),$B$208=1),$W$333,HLOOKUP(INDIRECT(ADDRESS(2,COLUMN())),OFFSET($BN$2,0,0,ROW()-1,60),ROW()-1,FALSE))</f>
        <v>131876</v>
      </c>
      <c r="X130">
        <f ca="1">IF(AND(ISNUMBER($X$333),$B$208=1),$X$333,HLOOKUP(INDIRECT(ADDRESS(2,COLUMN())),OFFSET($BN$2,0,0,ROW()-1,60),ROW()-1,FALSE))</f>
        <v>102592</v>
      </c>
      <c r="Y130">
        <f ca="1">IF(AND(ISNUMBER($Y$333),$B$208=1),$Y$333,HLOOKUP(INDIRECT(ADDRESS(2,COLUMN())),OFFSET($BN$2,0,0,ROW()-1,60),ROW()-1,FALSE))</f>
        <v>119217</v>
      </c>
      <c r="Z130">
        <f ca="1">IF(AND(ISNUMBER($Z$333),$B$208=1),$Z$333,HLOOKUP(INDIRECT(ADDRESS(2,COLUMN())),OFFSET($BN$2,0,0,ROW()-1,60),ROW()-1,FALSE))</f>
        <v>97431</v>
      </c>
      <c r="AA130">
        <f ca="1">IF(AND(ISNUMBER($AA$333),$B$208=1),$AA$333,HLOOKUP(INDIRECT(ADDRESS(2,COLUMN())),OFFSET($BN$2,0,0,ROW()-1,60),ROW()-1,FALSE))</f>
        <v>137837</v>
      </c>
      <c r="AB130">
        <f ca="1">IF(AND(ISNUMBER($AB$333),$B$208=1),$AB$333,HLOOKUP(INDIRECT(ADDRESS(2,COLUMN())),OFFSET($BN$2,0,0,ROW()-1,60),ROW()-1,FALSE))</f>
        <v>101335</v>
      </c>
      <c r="AC130">
        <f ca="1">IF(AND(ISNUMBER($AC$333),$B$208=1),$AC$333,HLOOKUP(INDIRECT(ADDRESS(2,COLUMN())),OFFSET($BN$2,0,0,ROW()-1,60),ROW()-1,FALSE))</f>
        <v>97305</v>
      </c>
      <c r="AD130">
        <f ca="1">IF(AND(ISNUMBER($AD$333),$B$208=1),$AD$333,HLOOKUP(INDIRECT(ADDRESS(2,COLUMN())),OFFSET($BN$2,0,0,ROW()-1,60),ROW()-1,FALSE))</f>
        <v>92090</v>
      </c>
      <c r="AE130">
        <f ca="1">IF(AND(ISNUMBER($AE$333),$B$208=1),$AE$333,HLOOKUP(INDIRECT(ADDRESS(2,COLUMN())),OFFSET($BN$2,0,0,ROW()-1,60),ROW()-1,FALSE))</f>
        <v>92540</v>
      </c>
      <c r="AF130">
        <f ca="1">IF(AND(ISNUMBER($AF$333),$B$208=1),$AF$333,HLOOKUP(INDIRECT(ADDRESS(2,COLUMN())),OFFSET($BN$2,0,0,ROW()-1,60),ROW()-1,FALSE))</f>
        <v>91307</v>
      </c>
      <c r="AG130">
        <f ca="1">IF(AND(ISNUMBER($AG$333),$B$208=1),$AG$333,HLOOKUP(INDIRECT(ADDRESS(2,COLUMN())),OFFSET($BN$2,0,0,ROW()-1,60),ROW()-1,FALSE))</f>
        <v>88539</v>
      </c>
      <c r="AH130">
        <f ca="1">IF(AND(ISNUMBER($AH$333),$B$208=1),$AH$333,HLOOKUP(INDIRECT(ADDRESS(2,COLUMN())),OFFSET($BN$2,0,0,ROW()-1,60),ROW()-1,FALSE))</f>
        <v>90468</v>
      </c>
      <c r="AI130" t="str">
        <f ca="1">IF(AND(ISNUMBER($AI$333),$B$208=1),$AI$333,HLOOKUP(INDIRECT(ADDRESS(2,COLUMN())),OFFSET($BN$2,0,0,ROW()-1,60),ROW()-1,FALSE))</f>
        <v/>
      </c>
      <c r="AJ130" t="str">
        <f ca="1">IF(AND(ISNUMBER($AJ$333),$B$208=1),$AJ$333,HLOOKUP(INDIRECT(ADDRESS(2,COLUMN())),OFFSET($BN$2,0,0,ROW()-1,60),ROW()-1,FALSE))</f>
        <v/>
      </c>
      <c r="AK130" t="str">
        <f ca="1">IF(AND(ISNUMBER($AK$333),$B$208=1),$AK$333,HLOOKUP(INDIRECT(ADDRESS(2,COLUMN())),OFFSET($BN$2,0,0,ROW()-1,60),ROW()-1,FALSE))</f>
        <v/>
      </c>
      <c r="AL130">
        <f ca="1">IF(AND(ISNUMBER($AL$333),$B$208=1),$AL$333,HLOOKUP(INDIRECT(ADDRESS(2,COLUMN())),OFFSET($BN$2,0,0,ROW()-1,60),ROW()-1,FALSE))</f>
        <v>97590</v>
      </c>
      <c r="AM130" t="str">
        <f ca="1">IF(AND(ISNUMBER($AM$333),$B$208=1),$AM$333,HLOOKUP(INDIRECT(ADDRESS(2,COLUMN())),OFFSET($BN$2,0,0,ROW()-1,60),ROW()-1,FALSE))</f>
        <v/>
      </c>
      <c r="AN130" t="str">
        <f ca="1">IF(AND(ISNUMBER($AN$333),$B$208=1),$AN$333,HLOOKUP(INDIRECT(ADDRESS(2,COLUMN())),OFFSET($BN$2,0,0,ROW()-1,60),ROW()-1,FALSE))</f>
        <v/>
      </c>
      <c r="AO130" t="str">
        <f ca="1">IF(AND(ISNUMBER($AO$333),$B$208=1),$AO$333,HLOOKUP(INDIRECT(ADDRESS(2,COLUMN())),OFFSET($BN$2,0,0,ROW()-1,60),ROW()-1,FALSE))</f>
        <v/>
      </c>
      <c r="AP130">
        <f ca="1">IF(AND(ISNUMBER($AP$333),$B$208=1),$AP$333,HLOOKUP(INDIRECT(ADDRESS(2,COLUMN())),OFFSET($BN$2,0,0,ROW()-1,60),ROW()-1,FALSE))</f>
        <v>61369</v>
      </c>
      <c r="AQ130" t="str">
        <f ca="1">IF(AND(ISNUMBER($AQ$333),$B$208=1),$AQ$333,HLOOKUP(INDIRECT(ADDRESS(2,COLUMN())),OFFSET($BN$2,0,0,ROW()-1,60),ROW()-1,FALSE))</f>
        <v/>
      </c>
      <c r="AR130" t="str">
        <f ca="1">IF(AND(ISNUMBER($AR$333),$B$208=1),$AR$333,HLOOKUP(INDIRECT(ADDRESS(2,COLUMN())),OFFSET($BN$2,0,0,ROW()-1,60),ROW()-1,FALSE))</f>
        <v/>
      </c>
      <c r="AS130" t="str">
        <f ca="1">IF(AND(ISNUMBER($AS$333),$B$208=1),$AS$333,HLOOKUP(INDIRECT(ADDRESS(2,COLUMN())),OFFSET($BN$2,0,0,ROW()-1,60),ROW()-1,FALSE))</f>
        <v/>
      </c>
      <c r="AT130">
        <f ca="1">IF(AND(ISNUMBER($AT$333),$B$208=1),$AT$333,HLOOKUP(INDIRECT(ADDRESS(2,COLUMN())),OFFSET($BN$2,0,0,ROW()-1,60),ROW()-1,FALSE))</f>
        <v>67235</v>
      </c>
      <c r="AU130" t="str">
        <f ca="1">IF(AND(ISNUMBER($AU$333),$B$208=1),$AU$333,HLOOKUP(INDIRECT(ADDRESS(2,COLUMN())),OFFSET($BN$2,0,0,ROW()-1,60),ROW()-1,FALSE))</f>
        <v/>
      </c>
      <c r="AV130" t="str">
        <f ca="1">IF(AND(ISNUMBER($AV$333),$B$208=1),$AV$333,HLOOKUP(INDIRECT(ADDRESS(2,COLUMN())),OFFSET($BN$2,0,0,ROW()-1,60),ROW()-1,FALSE))</f>
        <v/>
      </c>
      <c r="AW130" t="str">
        <f ca="1">IF(AND(ISNUMBER($AW$333),$B$208=1),$AW$333,HLOOKUP(INDIRECT(ADDRESS(2,COLUMN())),OFFSET($BN$2,0,0,ROW()-1,60),ROW()-1,FALSE))</f>
        <v/>
      </c>
      <c r="AX130">
        <f ca="1">IF(AND(ISNUMBER($AX$333),$B$208=1),$AX$333,HLOOKUP(INDIRECT(ADDRESS(2,COLUMN())),OFFSET($BN$2,0,0,ROW()-1,60),ROW()-1,FALSE))</f>
        <v>70217</v>
      </c>
      <c r="AY130" t="str">
        <f ca="1">IF(AND(ISNUMBER($AY$333),$B$208=1),$AY$333,HLOOKUP(INDIRECT(ADDRESS(2,COLUMN())),OFFSET($BN$2,0,0,ROW()-1,60),ROW()-1,FALSE))</f>
        <v/>
      </c>
      <c r="AZ130" t="str">
        <f ca="1">IF(AND(ISNUMBER($AZ$333),$B$208=1),$AZ$333,HLOOKUP(INDIRECT(ADDRESS(2,COLUMN())),OFFSET($BN$2,0,0,ROW()-1,60),ROW()-1,FALSE))</f>
        <v/>
      </c>
      <c r="BA130" t="str">
        <f ca="1">IF(AND(ISNUMBER($BA$333),$B$208=1),$BA$333,HLOOKUP(INDIRECT(ADDRESS(2,COLUMN())),OFFSET($BN$2,0,0,ROW()-1,60),ROW()-1,FALSE))</f>
        <v/>
      </c>
      <c r="BB130">
        <f ca="1">IF(AND(ISNUMBER($BB$333),$B$208=1),$BB$333,HLOOKUP(INDIRECT(ADDRESS(2,COLUMN())),OFFSET($BN$2,0,0,ROW()-1,60),ROW()-1,FALSE))</f>
        <v>87532</v>
      </c>
      <c r="BC130" t="str">
        <f ca="1">IF(AND(ISNUMBER($BC$333),$B$208=1),$BC$333,HLOOKUP(INDIRECT(ADDRESS(2,COLUMN())),OFFSET($BN$2,0,0,ROW()-1,60),ROW()-1,FALSE))</f>
        <v/>
      </c>
      <c r="BD130" t="str">
        <f ca="1">IF(AND(ISNUMBER($BD$333),$B$208=1),$BD$333,HLOOKUP(INDIRECT(ADDRESS(2,COLUMN())),OFFSET($BN$2,0,0,ROW()-1,60),ROW()-1,FALSE))</f>
        <v/>
      </c>
      <c r="BE130" t="str">
        <f ca="1">IF(AND(ISNUMBER($BE$333),$B$208=1),$BE$333,HLOOKUP(INDIRECT(ADDRESS(2,COLUMN())),OFFSET($BN$2,0,0,ROW()-1,60),ROW()-1,FALSE))</f>
        <v/>
      </c>
      <c r="BF130">
        <f ca="1">IF(AND(ISNUMBER($BF$333),$B$208=1),$BF$333,HLOOKUP(INDIRECT(ADDRESS(2,COLUMN())),OFFSET($BN$2,0,0,ROW()-1,60),ROW()-1,FALSE))</f>
        <v>201935</v>
      </c>
      <c r="BG130" t="str">
        <f ca="1">IF(AND(ISNUMBER($BG$333),$B$208=1),$BG$333,HLOOKUP(INDIRECT(ADDRESS(2,COLUMN())),OFFSET($BN$2,0,0,ROW()-1,60),ROW()-1,FALSE))</f>
        <v/>
      </c>
      <c r="BH130" t="str">
        <f ca="1">IF(AND(ISNUMBER($BH$333),$B$208=1),$BH$333,HLOOKUP(INDIRECT(ADDRESS(2,COLUMN())),OFFSET($BN$2,0,0,ROW()-1,60),ROW()-1,FALSE))</f>
        <v/>
      </c>
      <c r="BI130" t="str">
        <f ca="1">IF(AND(ISNUMBER($BI$333),$B$208=1),$BI$333,HLOOKUP(INDIRECT(ADDRESS(2,COLUMN())),OFFSET($BN$2,0,0,ROW()-1,60),ROW()-1,FALSE))</f>
        <v/>
      </c>
      <c r="BJ130" t="str">
        <f ca="1">IF(AND(ISNUMBER($BJ$333),$B$208=1),$BJ$333,HLOOKUP(INDIRECT(ADDRESS(2,COLUMN())),OFFSET($BN$2,0,0,ROW()-1,60),ROW()-1,FALSE))</f>
        <v/>
      </c>
      <c r="BK130" t="str">
        <f ca="1">IF(AND(ISNUMBER($BK$333),$B$208=1),$BK$333,HLOOKUP(INDIRECT(ADDRESS(2,COLUMN())),OFFSET($BN$2,0,0,ROW()-1,60),ROW()-1,FALSE))</f>
        <v/>
      </c>
      <c r="BL130" t="str">
        <f ca="1">IF(AND(ISNUMBER($BL$333),$B$208=1),$BL$333,HLOOKUP(INDIRECT(ADDRESS(2,COLUMN())),OFFSET($BN$2,0,0,ROW()-1,60),ROW()-1,FALSE))</f>
        <v/>
      </c>
      <c r="BM130" t="str">
        <f ca="1">IF(AND(ISNUMBER($BM$333),$B$208=1),$BM$333,HLOOKUP(INDIRECT(ADDRESS(2,COLUMN())),OFFSET($BN$2,0,0,ROW()-1,60),ROW()-1,FALSE))</f>
        <v/>
      </c>
      <c r="BN130" t="str">
        <f>""</f>
        <v/>
      </c>
      <c r="BO130" t="str">
        <f>""</f>
        <v/>
      </c>
      <c r="BP130" t="str">
        <f>""</f>
        <v/>
      </c>
      <c r="BQ130" t="str">
        <f>""</f>
        <v/>
      </c>
      <c r="BR130">
        <f>92508</f>
        <v>92508</v>
      </c>
      <c r="BS130" t="str">
        <f>""</f>
        <v/>
      </c>
      <c r="BT130" t="str">
        <f>""</f>
        <v/>
      </c>
      <c r="BU130" t="str">
        <f>""</f>
        <v/>
      </c>
      <c r="BV130">
        <f>94269</f>
        <v>94269</v>
      </c>
      <c r="BW130" t="str">
        <f>""</f>
        <v/>
      </c>
      <c r="BX130" t="str">
        <f>""</f>
        <v/>
      </c>
      <c r="BY130" t="str">
        <f>""</f>
        <v/>
      </c>
      <c r="BZ130">
        <f>92597</f>
        <v>92597</v>
      </c>
      <c r="CA130" t="str">
        <f>""</f>
        <v/>
      </c>
      <c r="CB130">
        <f>89749</f>
        <v>89749</v>
      </c>
      <c r="CC130" t="str">
        <f>""</f>
        <v/>
      </c>
      <c r="CD130">
        <f>88195</f>
        <v>88195</v>
      </c>
      <c r="CE130">
        <f>131876</f>
        <v>131876</v>
      </c>
      <c r="CF130">
        <f>102592</f>
        <v>102592</v>
      </c>
      <c r="CG130">
        <f>119217</f>
        <v>119217</v>
      </c>
      <c r="CH130">
        <f>97431</f>
        <v>97431</v>
      </c>
      <c r="CI130">
        <f>137837</f>
        <v>137837</v>
      </c>
      <c r="CJ130">
        <f>101335</f>
        <v>101335</v>
      </c>
      <c r="CK130">
        <f>97305</f>
        <v>97305</v>
      </c>
      <c r="CL130">
        <f>92090</f>
        <v>92090</v>
      </c>
      <c r="CM130">
        <f>92540</f>
        <v>92540</v>
      </c>
      <c r="CN130">
        <f>91307</f>
        <v>91307</v>
      </c>
      <c r="CO130">
        <f>88539</f>
        <v>88539</v>
      </c>
      <c r="CP130">
        <f>90468</f>
        <v>90468</v>
      </c>
      <c r="CQ130" t="str">
        <f>""</f>
        <v/>
      </c>
      <c r="CR130" t="str">
        <f>""</f>
        <v/>
      </c>
      <c r="CS130" t="str">
        <f>""</f>
        <v/>
      </c>
      <c r="CT130">
        <f>97590</f>
        <v>97590</v>
      </c>
      <c r="CU130" t="str">
        <f>""</f>
        <v/>
      </c>
      <c r="CV130" t="str">
        <f>""</f>
        <v/>
      </c>
      <c r="CW130" t="str">
        <f>""</f>
        <v/>
      </c>
      <c r="CX130">
        <f>61369</f>
        <v>61369</v>
      </c>
      <c r="CY130" t="str">
        <f>""</f>
        <v/>
      </c>
      <c r="CZ130" t="str">
        <f>""</f>
        <v/>
      </c>
      <c r="DA130" t="str">
        <f>""</f>
        <v/>
      </c>
      <c r="DB130">
        <f>67235</f>
        <v>67235</v>
      </c>
      <c r="DC130" t="str">
        <f>""</f>
        <v/>
      </c>
      <c r="DD130" t="str">
        <f>""</f>
        <v/>
      </c>
      <c r="DE130" t="str">
        <f>""</f>
        <v/>
      </c>
      <c r="DF130">
        <f>70217</f>
        <v>70217</v>
      </c>
      <c r="DG130" t="str">
        <f>""</f>
        <v/>
      </c>
      <c r="DH130" t="str">
        <f>""</f>
        <v/>
      </c>
      <c r="DI130" t="str">
        <f>""</f>
        <v/>
      </c>
      <c r="DJ130">
        <f>87532</f>
        <v>87532</v>
      </c>
      <c r="DK130" t="str">
        <f>""</f>
        <v/>
      </c>
      <c r="DL130" t="str">
        <f>""</f>
        <v/>
      </c>
      <c r="DM130" t="str">
        <f>""</f>
        <v/>
      </c>
      <c r="DN130">
        <f>201935</f>
        <v>201935</v>
      </c>
      <c r="DO130" t="str">
        <f>""</f>
        <v/>
      </c>
      <c r="DP130" t="str">
        <f>""</f>
        <v/>
      </c>
      <c r="DQ130" t="str">
        <f>""</f>
        <v/>
      </c>
      <c r="DR130" t="str">
        <f>""</f>
        <v/>
      </c>
      <c r="DS130" t="str">
        <f>""</f>
        <v/>
      </c>
      <c r="DT130" t="str">
        <f>""</f>
        <v/>
      </c>
      <c r="DU130" t="str">
        <f>""</f>
        <v/>
      </c>
    </row>
    <row r="131" spans="1:125" x14ac:dyDescent="0.25">
      <c r="A131" t="str">
        <f>"    Credit Agricole SA"</f>
        <v xml:space="preserve">    Credit Agricole SA</v>
      </c>
      <c r="B131" t="str">
        <f>"ACA FP Equity"</f>
        <v>ACA FP Equity</v>
      </c>
      <c r="C131" t="str">
        <f t="shared" si="9"/>
        <v>BS016</v>
      </c>
      <c r="D131" t="str">
        <f t="shared" si="10"/>
        <v>BS_COMM_LOAN</v>
      </c>
      <c r="E131" t="str">
        <f t="shared" si="11"/>
        <v>Dynamic</v>
      </c>
      <c r="F131" t="str">
        <f ca="1">IF(AND(ISNUMBER($F$334),$B$208=1),$F$334,HLOOKUP(INDIRECT(ADDRESS(2,COLUMN())),OFFSET($BN$2,0,0,ROW()-1,60),ROW()-1,FALSE))</f>
        <v/>
      </c>
      <c r="G131" t="str">
        <f ca="1">IF(AND(ISNUMBER($G$334),$B$208=1),$G$334,HLOOKUP(INDIRECT(ADDRESS(2,COLUMN())),OFFSET($BN$2,0,0,ROW()-1,60),ROW()-1,FALSE))</f>
        <v/>
      </c>
      <c r="H131" t="str">
        <f ca="1">IF(AND(ISNUMBER($H$334),$B$208=1),$H$334,HLOOKUP(INDIRECT(ADDRESS(2,COLUMN())),OFFSET($BN$2,0,0,ROW()-1,60),ROW()-1,FALSE))</f>
        <v/>
      </c>
      <c r="I131" t="str">
        <f ca="1">IF(AND(ISNUMBER($I$334),$B$208=1),$I$334,HLOOKUP(INDIRECT(ADDRESS(2,COLUMN())),OFFSET($BN$2,0,0,ROW()-1,60),ROW()-1,FALSE))</f>
        <v/>
      </c>
      <c r="J131" t="str">
        <f ca="1">IF(AND(ISNUMBER($J$334),$B$208=1),$J$334,HLOOKUP(INDIRECT(ADDRESS(2,COLUMN())),OFFSET($BN$2,0,0,ROW()-1,60),ROW()-1,FALSE))</f>
        <v/>
      </c>
      <c r="K131" t="str">
        <f ca="1">IF(AND(ISNUMBER($K$334),$B$208=1),$K$334,HLOOKUP(INDIRECT(ADDRESS(2,COLUMN())),OFFSET($BN$2,0,0,ROW()-1,60),ROW()-1,FALSE))</f>
        <v/>
      </c>
      <c r="L131" t="str">
        <f ca="1">IF(AND(ISNUMBER($L$334),$B$208=1),$L$334,HLOOKUP(INDIRECT(ADDRESS(2,COLUMN())),OFFSET($BN$2,0,0,ROW()-1,60),ROW()-1,FALSE))</f>
        <v/>
      </c>
      <c r="M131" t="str">
        <f ca="1">IF(AND(ISNUMBER($M$334),$B$208=1),$M$334,HLOOKUP(INDIRECT(ADDRESS(2,COLUMN())),OFFSET($BN$2,0,0,ROW()-1,60),ROW()-1,FALSE))</f>
        <v/>
      </c>
      <c r="N131" t="str">
        <f ca="1">IF(AND(ISNUMBER($N$334),$B$208=1),$N$334,HLOOKUP(INDIRECT(ADDRESS(2,COLUMN())),OFFSET($BN$2,0,0,ROW()-1,60),ROW()-1,FALSE))</f>
        <v/>
      </c>
      <c r="O131" t="str">
        <f ca="1">IF(AND(ISNUMBER($O$334),$B$208=1),$O$334,HLOOKUP(INDIRECT(ADDRESS(2,COLUMN())),OFFSET($BN$2,0,0,ROW()-1,60),ROW()-1,FALSE))</f>
        <v/>
      </c>
      <c r="P131" t="str">
        <f ca="1">IF(AND(ISNUMBER($P$334),$B$208=1),$P$334,HLOOKUP(INDIRECT(ADDRESS(2,COLUMN())),OFFSET($BN$2,0,0,ROW()-1,60),ROW()-1,FALSE))</f>
        <v/>
      </c>
      <c r="Q131" t="str">
        <f ca="1">IF(AND(ISNUMBER($Q$334),$B$208=1),$Q$334,HLOOKUP(INDIRECT(ADDRESS(2,COLUMN())),OFFSET($BN$2,0,0,ROW()-1,60),ROW()-1,FALSE))</f>
        <v/>
      </c>
      <c r="R131" t="str">
        <f ca="1">IF(AND(ISNUMBER($R$334),$B$208=1),$R$334,HLOOKUP(INDIRECT(ADDRESS(2,COLUMN())),OFFSET($BN$2,0,0,ROW()-1,60),ROW()-1,FALSE))</f>
        <v/>
      </c>
      <c r="S131" t="str">
        <f ca="1">IF(AND(ISNUMBER($S$334),$B$208=1),$S$334,HLOOKUP(INDIRECT(ADDRESS(2,COLUMN())),OFFSET($BN$2,0,0,ROW()-1,60),ROW()-1,FALSE))</f>
        <v/>
      </c>
      <c r="T131" t="str">
        <f ca="1">IF(AND(ISNUMBER($T$334),$B$208=1),$T$334,HLOOKUP(INDIRECT(ADDRESS(2,COLUMN())),OFFSET($BN$2,0,0,ROW()-1,60),ROW()-1,FALSE))</f>
        <v/>
      </c>
      <c r="U131" t="str">
        <f ca="1">IF(AND(ISNUMBER($U$334),$B$208=1),$U$334,HLOOKUP(INDIRECT(ADDRESS(2,COLUMN())),OFFSET($BN$2,0,0,ROW()-1,60),ROW()-1,FALSE))</f>
        <v/>
      </c>
      <c r="V131" t="str">
        <f ca="1">IF(AND(ISNUMBER($V$334),$B$208=1),$V$334,HLOOKUP(INDIRECT(ADDRESS(2,COLUMN())),OFFSET($BN$2,0,0,ROW()-1,60),ROW()-1,FALSE))</f>
        <v/>
      </c>
      <c r="W131" t="str">
        <f ca="1">IF(AND(ISNUMBER($W$334),$B$208=1),$W$334,HLOOKUP(INDIRECT(ADDRESS(2,COLUMN())),OFFSET($BN$2,0,0,ROW()-1,60),ROW()-1,FALSE))</f>
        <v/>
      </c>
      <c r="X131" t="str">
        <f ca="1">IF(AND(ISNUMBER($X$334),$B$208=1),$X$334,HLOOKUP(INDIRECT(ADDRESS(2,COLUMN())),OFFSET($BN$2,0,0,ROW()-1,60),ROW()-1,FALSE))</f>
        <v/>
      </c>
      <c r="Y131" t="str">
        <f ca="1">IF(AND(ISNUMBER($Y$334),$B$208=1),$Y$334,HLOOKUP(INDIRECT(ADDRESS(2,COLUMN())),OFFSET($BN$2,0,0,ROW()-1,60),ROW()-1,FALSE))</f>
        <v/>
      </c>
      <c r="Z131" t="str">
        <f ca="1">IF(AND(ISNUMBER($Z$334),$B$208=1),$Z$334,HLOOKUP(INDIRECT(ADDRESS(2,COLUMN())),OFFSET($BN$2,0,0,ROW()-1,60),ROW()-1,FALSE))</f>
        <v/>
      </c>
      <c r="AA131" t="str">
        <f ca="1">IF(AND(ISNUMBER($AA$334),$B$208=1),$AA$334,HLOOKUP(INDIRECT(ADDRESS(2,COLUMN())),OFFSET($BN$2,0,0,ROW()-1,60),ROW()-1,FALSE))</f>
        <v/>
      </c>
      <c r="AB131" t="str">
        <f ca="1">IF(AND(ISNUMBER($AB$334),$B$208=1),$AB$334,HLOOKUP(INDIRECT(ADDRESS(2,COLUMN())),OFFSET($BN$2,0,0,ROW()-1,60),ROW()-1,FALSE))</f>
        <v/>
      </c>
      <c r="AC131" t="str">
        <f ca="1">IF(AND(ISNUMBER($AC$334),$B$208=1),$AC$334,HLOOKUP(INDIRECT(ADDRESS(2,COLUMN())),OFFSET($BN$2,0,0,ROW()-1,60),ROW()-1,FALSE))</f>
        <v/>
      </c>
      <c r="AD131" t="str">
        <f ca="1">IF(AND(ISNUMBER($AD$334),$B$208=1),$AD$334,HLOOKUP(INDIRECT(ADDRESS(2,COLUMN())),OFFSET($BN$2,0,0,ROW()-1,60),ROW()-1,FALSE))</f>
        <v/>
      </c>
      <c r="AE131" t="str">
        <f ca="1">IF(AND(ISNUMBER($AE$334),$B$208=1),$AE$334,HLOOKUP(INDIRECT(ADDRESS(2,COLUMN())),OFFSET($BN$2,0,0,ROW()-1,60),ROW()-1,FALSE))</f>
        <v/>
      </c>
      <c r="AF131" t="str">
        <f ca="1">IF(AND(ISNUMBER($AF$334),$B$208=1),$AF$334,HLOOKUP(INDIRECT(ADDRESS(2,COLUMN())),OFFSET($BN$2,0,0,ROW()-1,60),ROW()-1,FALSE))</f>
        <v/>
      </c>
      <c r="AG131" t="str">
        <f ca="1">IF(AND(ISNUMBER($AG$334),$B$208=1),$AG$334,HLOOKUP(INDIRECT(ADDRESS(2,COLUMN())),OFFSET($BN$2,0,0,ROW()-1,60),ROW()-1,FALSE))</f>
        <v/>
      </c>
      <c r="AH131" t="str">
        <f ca="1">IF(AND(ISNUMBER($AH$334),$B$208=1),$AH$334,HLOOKUP(INDIRECT(ADDRESS(2,COLUMN())),OFFSET($BN$2,0,0,ROW()-1,60),ROW()-1,FALSE))</f>
        <v/>
      </c>
      <c r="AI131" t="str">
        <f ca="1">IF(AND(ISNUMBER($AI$334),$B$208=1),$AI$334,HLOOKUP(INDIRECT(ADDRESS(2,COLUMN())),OFFSET($BN$2,0,0,ROW()-1,60),ROW()-1,FALSE))</f>
        <v/>
      </c>
      <c r="AJ131" t="str">
        <f ca="1">IF(AND(ISNUMBER($AJ$334),$B$208=1),$AJ$334,HLOOKUP(INDIRECT(ADDRESS(2,COLUMN())),OFFSET($BN$2,0,0,ROW()-1,60),ROW()-1,FALSE))</f>
        <v/>
      </c>
      <c r="AK131" t="str">
        <f ca="1">IF(AND(ISNUMBER($AK$334),$B$208=1),$AK$334,HLOOKUP(INDIRECT(ADDRESS(2,COLUMN())),OFFSET($BN$2,0,0,ROW()-1,60),ROW()-1,FALSE))</f>
        <v/>
      </c>
      <c r="AL131" t="str">
        <f ca="1">IF(AND(ISNUMBER($AL$334),$B$208=1),$AL$334,HLOOKUP(INDIRECT(ADDRESS(2,COLUMN())),OFFSET($BN$2,0,0,ROW()-1,60),ROW()-1,FALSE))</f>
        <v/>
      </c>
      <c r="AM131" t="str">
        <f ca="1">IF(AND(ISNUMBER($AM$334),$B$208=1),$AM$334,HLOOKUP(INDIRECT(ADDRESS(2,COLUMN())),OFFSET($BN$2,0,0,ROW()-1,60),ROW()-1,FALSE))</f>
        <v/>
      </c>
      <c r="AN131" t="str">
        <f ca="1">IF(AND(ISNUMBER($AN$334),$B$208=1),$AN$334,HLOOKUP(INDIRECT(ADDRESS(2,COLUMN())),OFFSET($BN$2,0,0,ROW()-1,60),ROW()-1,FALSE))</f>
        <v/>
      </c>
      <c r="AO131" t="str">
        <f ca="1">IF(AND(ISNUMBER($AO$334),$B$208=1),$AO$334,HLOOKUP(INDIRECT(ADDRESS(2,COLUMN())),OFFSET($BN$2,0,0,ROW()-1,60),ROW()-1,FALSE))</f>
        <v/>
      </c>
      <c r="AP131" t="str">
        <f ca="1">IF(AND(ISNUMBER($AP$334),$B$208=1),$AP$334,HLOOKUP(INDIRECT(ADDRESS(2,COLUMN())),OFFSET($BN$2,0,0,ROW()-1,60),ROW()-1,FALSE))</f>
        <v/>
      </c>
      <c r="AQ131" t="str">
        <f ca="1">IF(AND(ISNUMBER($AQ$334),$B$208=1),$AQ$334,HLOOKUP(INDIRECT(ADDRESS(2,COLUMN())),OFFSET($BN$2,0,0,ROW()-1,60),ROW()-1,FALSE))</f>
        <v/>
      </c>
      <c r="AR131" t="str">
        <f ca="1">IF(AND(ISNUMBER($AR$334),$B$208=1),$AR$334,HLOOKUP(INDIRECT(ADDRESS(2,COLUMN())),OFFSET($BN$2,0,0,ROW()-1,60),ROW()-1,FALSE))</f>
        <v/>
      </c>
      <c r="AS131" t="str">
        <f ca="1">IF(AND(ISNUMBER($AS$334),$B$208=1),$AS$334,HLOOKUP(INDIRECT(ADDRESS(2,COLUMN())),OFFSET($BN$2,0,0,ROW()-1,60),ROW()-1,FALSE))</f>
        <v/>
      </c>
      <c r="AT131" t="str">
        <f ca="1">IF(AND(ISNUMBER($AT$334),$B$208=1),$AT$334,HLOOKUP(INDIRECT(ADDRESS(2,COLUMN())),OFFSET($BN$2,0,0,ROW()-1,60),ROW()-1,FALSE))</f>
        <v/>
      </c>
      <c r="AU131" t="str">
        <f ca="1">IF(AND(ISNUMBER($AU$334),$B$208=1),$AU$334,HLOOKUP(INDIRECT(ADDRESS(2,COLUMN())),OFFSET($BN$2,0,0,ROW()-1,60),ROW()-1,FALSE))</f>
        <v/>
      </c>
      <c r="AV131" t="str">
        <f ca="1">IF(AND(ISNUMBER($AV$334),$B$208=1),$AV$334,HLOOKUP(INDIRECT(ADDRESS(2,COLUMN())),OFFSET($BN$2,0,0,ROW()-1,60),ROW()-1,FALSE))</f>
        <v/>
      </c>
      <c r="AW131" t="str">
        <f ca="1">IF(AND(ISNUMBER($AW$334),$B$208=1),$AW$334,HLOOKUP(INDIRECT(ADDRESS(2,COLUMN())),OFFSET($BN$2,0,0,ROW()-1,60),ROW()-1,FALSE))</f>
        <v/>
      </c>
      <c r="AX131" t="str">
        <f ca="1">IF(AND(ISNUMBER($AX$334),$B$208=1),$AX$334,HLOOKUP(INDIRECT(ADDRESS(2,COLUMN())),OFFSET($BN$2,0,0,ROW()-1,60),ROW()-1,FALSE))</f>
        <v/>
      </c>
      <c r="AY131" t="str">
        <f ca="1">IF(AND(ISNUMBER($AY$334),$B$208=1),$AY$334,HLOOKUP(INDIRECT(ADDRESS(2,COLUMN())),OFFSET($BN$2,0,0,ROW()-1,60),ROW()-1,FALSE))</f>
        <v/>
      </c>
      <c r="AZ131" t="str">
        <f ca="1">IF(AND(ISNUMBER($AZ$334),$B$208=1),$AZ$334,HLOOKUP(INDIRECT(ADDRESS(2,COLUMN())),OFFSET($BN$2,0,0,ROW()-1,60),ROW()-1,FALSE))</f>
        <v/>
      </c>
      <c r="BA131" t="str">
        <f ca="1">IF(AND(ISNUMBER($BA$334),$B$208=1),$BA$334,HLOOKUP(INDIRECT(ADDRESS(2,COLUMN())),OFFSET($BN$2,0,0,ROW()-1,60),ROW()-1,FALSE))</f>
        <v/>
      </c>
      <c r="BB131" t="str">
        <f ca="1">IF(AND(ISNUMBER($BB$334),$B$208=1),$BB$334,HLOOKUP(INDIRECT(ADDRESS(2,COLUMN())),OFFSET($BN$2,0,0,ROW()-1,60),ROW()-1,FALSE))</f>
        <v/>
      </c>
      <c r="BC131" t="str">
        <f ca="1">IF(AND(ISNUMBER($BC$334),$B$208=1),$BC$334,HLOOKUP(INDIRECT(ADDRESS(2,COLUMN())),OFFSET($BN$2,0,0,ROW()-1,60),ROW()-1,FALSE))</f>
        <v/>
      </c>
      <c r="BD131" t="str">
        <f ca="1">IF(AND(ISNUMBER($BD$334),$B$208=1),$BD$334,HLOOKUP(INDIRECT(ADDRESS(2,COLUMN())),OFFSET($BN$2,0,0,ROW()-1,60),ROW()-1,FALSE))</f>
        <v/>
      </c>
      <c r="BE131" t="str">
        <f ca="1">IF(AND(ISNUMBER($BE$334),$B$208=1),$BE$334,HLOOKUP(INDIRECT(ADDRESS(2,COLUMN())),OFFSET($BN$2,0,0,ROW()-1,60),ROW()-1,FALSE))</f>
        <v/>
      </c>
      <c r="BF131" t="str">
        <f ca="1">IF(AND(ISNUMBER($BF$334),$B$208=1),$BF$334,HLOOKUP(INDIRECT(ADDRESS(2,COLUMN())),OFFSET($BN$2,0,0,ROW()-1,60),ROW()-1,FALSE))</f>
        <v/>
      </c>
      <c r="BG131" t="str">
        <f ca="1">IF(AND(ISNUMBER($BG$334),$B$208=1),$BG$334,HLOOKUP(INDIRECT(ADDRESS(2,COLUMN())),OFFSET($BN$2,0,0,ROW()-1,60),ROW()-1,FALSE))</f>
        <v/>
      </c>
      <c r="BH131" t="str">
        <f ca="1">IF(AND(ISNUMBER($BH$334),$B$208=1),$BH$334,HLOOKUP(INDIRECT(ADDRESS(2,COLUMN())),OFFSET($BN$2,0,0,ROW()-1,60),ROW()-1,FALSE))</f>
        <v/>
      </c>
      <c r="BI131" t="str">
        <f ca="1">IF(AND(ISNUMBER($BI$334),$B$208=1),$BI$334,HLOOKUP(INDIRECT(ADDRESS(2,COLUMN())),OFFSET($BN$2,0,0,ROW()-1,60),ROW()-1,FALSE))</f>
        <v/>
      </c>
      <c r="BJ131" t="str">
        <f ca="1">IF(AND(ISNUMBER($BJ$334),$B$208=1),$BJ$334,HLOOKUP(INDIRECT(ADDRESS(2,COLUMN())),OFFSET($BN$2,0,0,ROW()-1,60),ROW()-1,FALSE))</f>
        <v/>
      </c>
      <c r="BK131" t="str">
        <f ca="1">IF(AND(ISNUMBER($BK$334),$B$208=1),$BK$334,HLOOKUP(INDIRECT(ADDRESS(2,COLUMN())),OFFSET($BN$2,0,0,ROW()-1,60),ROW()-1,FALSE))</f>
        <v/>
      </c>
      <c r="BL131" t="str">
        <f ca="1">IF(AND(ISNUMBER($BL$334),$B$208=1),$BL$334,HLOOKUP(INDIRECT(ADDRESS(2,COLUMN())),OFFSET($BN$2,0,0,ROW()-1,60),ROW()-1,FALSE))</f>
        <v/>
      </c>
      <c r="BM131" t="str">
        <f ca="1">IF(AND(ISNUMBER($BM$334),$B$208=1),$BM$334,HLOOKUP(INDIRECT(ADDRESS(2,COLUMN())),OFFSET($BN$2,0,0,ROW()-1,60),ROW()-1,FALSE))</f>
        <v/>
      </c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  <c r="BT131" t="str">
        <f>""</f>
        <v/>
      </c>
      <c r="BU131" t="str">
        <f>""</f>
        <v/>
      </c>
      <c r="BV131" t="str">
        <f>""</f>
        <v/>
      </c>
      <c r="BW131" t="str">
        <f>""</f>
        <v/>
      </c>
      <c r="BX131" t="str">
        <f>""</f>
        <v/>
      </c>
      <c r="BY131" t="str">
        <f>""</f>
        <v/>
      </c>
      <c r="BZ131" t="str">
        <f>""</f>
        <v/>
      </c>
      <c r="CA131" t="str">
        <f>""</f>
        <v/>
      </c>
      <c r="CB131" t="str">
        <f>""</f>
        <v/>
      </c>
      <c r="CC131" t="str">
        <f>""</f>
        <v/>
      </c>
      <c r="CD131" t="str">
        <f>""</f>
        <v/>
      </c>
      <c r="CE131" t="str">
        <f>""</f>
        <v/>
      </c>
      <c r="CF131" t="str">
        <f>""</f>
        <v/>
      </c>
      <c r="CG131" t="str">
        <f>""</f>
        <v/>
      </c>
      <c r="CH131" t="str">
        <f>""</f>
        <v/>
      </c>
      <c r="CI131" t="str">
        <f>""</f>
        <v/>
      </c>
      <c r="CJ131" t="str">
        <f>""</f>
        <v/>
      </c>
      <c r="CK131" t="str">
        <f>""</f>
        <v/>
      </c>
      <c r="CL131" t="str">
        <f>""</f>
        <v/>
      </c>
      <c r="CM131" t="str">
        <f>""</f>
        <v/>
      </c>
      <c r="CN131" t="str">
        <f>""</f>
        <v/>
      </c>
      <c r="CO131" t="str">
        <f>""</f>
        <v/>
      </c>
      <c r="CP131" t="str">
        <f>""</f>
        <v/>
      </c>
      <c r="CQ131" t="str">
        <f>""</f>
        <v/>
      </c>
      <c r="CR131" t="str">
        <f>""</f>
        <v/>
      </c>
      <c r="CS131" t="str">
        <f>""</f>
        <v/>
      </c>
      <c r="CT131" t="str">
        <f>""</f>
        <v/>
      </c>
      <c r="CU131" t="str">
        <f>""</f>
        <v/>
      </c>
      <c r="CV131" t="str">
        <f>""</f>
        <v/>
      </c>
      <c r="CW131" t="str">
        <f>""</f>
        <v/>
      </c>
      <c r="CX131" t="str">
        <f>""</f>
        <v/>
      </c>
      <c r="CY131" t="str">
        <f>""</f>
        <v/>
      </c>
      <c r="CZ131" t="str">
        <f>""</f>
        <v/>
      </c>
      <c r="DA131" t="str">
        <f>""</f>
        <v/>
      </c>
      <c r="DB131" t="str">
        <f>""</f>
        <v/>
      </c>
      <c r="DC131" t="str">
        <f>""</f>
        <v/>
      </c>
      <c r="DD131" t="str">
        <f>""</f>
        <v/>
      </c>
      <c r="DE131" t="str">
        <f>""</f>
        <v/>
      </c>
      <c r="DF131" t="str">
        <f>""</f>
        <v/>
      </c>
      <c r="DG131" t="str">
        <f>""</f>
        <v/>
      </c>
      <c r="DH131" t="str">
        <f>""</f>
        <v/>
      </c>
      <c r="DI131" t="str">
        <f>""</f>
        <v/>
      </c>
      <c r="DJ131" t="str">
        <f>""</f>
        <v/>
      </c>
      <c r="DK131" t="str">
        <f>""</f>
        <v/>
      </c>
      <c r="DL131" t="str">
        <f>""</f>
        <v/>
      </c>
      <c r="DM131" t="str">
        <f>""</f>
        <v/>
      </c>
      <c r="DN131" t="str">
        <f>""</f>
        <v/>
      </c>
      <c r="DO131" t="str">
        <f>""</f>
        <v/>
      </c>
      <c r="DP131" t="str">
        <f>""</f>
        <v/>
      </c>
      <c r="DQ131" t="str">
        <f>""</f>
        <v/>
      </c>
      <c r="DR131" t="str">
        <f>""</f>
        <v/>
      </c>
      <c r="DS131" t="str">
        <f>""</f>
        <v/>
      </c>
      <c r="DT131" t="str">
        <f>""</f>
        <v/>
      </c>
      <c r="DU131" t="str">
        <f>""</f>
        <v/>
      </c>
    </row>
    <row r="132" spans="1:125" x14ac:dyDescent="0.25">
      <c r="A132" t="str">
        <f>"    Deutsche Bank AG"</f>
        <v xml:space="preserve">    Deutsche Bank AG</v>
      </c>
      <c r="B132" t="str">
        <f>"DBK GR Equity"</f>
        <v>DBK GR Equity</v>
      </c>
      <c r="C132" t="str">
        <f t="shared" si="9"/>
        <v>BS016</v>
      </c>
      <c r="D132" t="str">
        <f t="shared" si="10"/>
        <v>BS_COMM_LOAN</v>
      </c>
      <c r="E132" t="str">
        <f t="shared" si="11"/>
        <v>Dynamic</v>
      </c>
      <c r="F132">
        <f ca="1">IF(AND(ISNUMBER($F$335),$B$208=1),$F$335,HLOOKUP(INDIRECT(ADDRESS(2,COLUMN())),OFFSET($BN$2,0,0,ROW()-1,60),ROW()-1,FALSE))</f>
        <v>279326</v>
      </c>
      <c r="G132" t="str">
        <f ca="1">IF(AND(ISNUMBER($G$335),$B$208=1),$G$335,HLOOKUP(INDIRECT(ADDRESS(2,COLUMN())),OFFSET($BN$2,0,0,ROW()-1,60),ROW()-1,FALSE))</f>
        <v/>
      </c>
      <c r="H132" t="str">
        <f ca="1">IF(AND(ISNUMBER($H$335),$B$208=1),$H$335,HLOOKUP(INDIRECT(ADDRESS(2,COLUMN())),OFFSET($BN$2,0,0,ROW()-1,60),ROW()-1,FALSE))</f>
        <v/>
      </c>
      <c r="I132" t="str">
        <f ca="1">IF(AND(ISNUMBER($I$335),$B$208=1),$I$335,HLOOKUP(INDIRECT(ADDRESS(2,COLUMN())),OFFSET($BN$2,0,0,ROW()-1,60),ROW()-1,FALSE))</f>
        <v/>
      </c>
      <c r="J132">
        <f ca="1">IF(AND(ISNUMBER($J$335),$B$208=1),$J$335,HLOOKUP(INDIRECT(ADDRESS(2,COLUMN())),OFFSET($BN$2,0,0,ROW()-1,60),ROW()-1,FALSE))</f>
        <v>26458</v>
      </c>
      <c r="K132" t="str">
        <f ca="1">IF(AND(ISNUMBER($K$335),$B$208=1),$K$335,HLOOKUP(INDIRECT(ADDRESS(2,COLUMN())),OFFSET($BN$2,0,0,ROW()-1,60),ROW()-1,FALSE))</f>
        <v/>
      </c>
      <c r="L132" t="str">
        <f ca="1">IF(AND(ISNUMBER($L$335),$B$208=1),$L$335,HLOOKUP(INDIRECT(ADDRESS(2,COLUMN())),OFFSET($BN$2,0,0,ROW()-1,60),ROW()-1,FALSE))</f>
        <v/>
      </c>
      <c r="M132" t="str">
        <f ca="1">IF(AND(ISNUMBER($M$335),$B$208=1),$M$335,HLOOKUP(INDIRECT(ADDRESS(2,COLUMN())),OFFSET($BN$2,0,0,ROW()-1,60),ROW()-1,FALSE))</f>
        <v/>
      </c>
      <c r="N132">
        <f ca="1">IF(AND(ISNUMBER($N$335),$B$208=1),$N$335,HLOOKUP(INDIRECT(ADDRESS(2,COLUMN())),OFFSET($BN$2,0,0,ROW()-1,60),ROW()-1,FALSE))</f>
        <v>187960</v>
      </c>
      <c r="O132" t="str">
        <f ca="1">IF(AND(ISNUMBER($O$335),$B$208=1),$O$335,HLOOKUP(INDIRECT(ADDRESS(2,COLUMN())),OFFSET($BN$2,0,0,ROW()-1,60),ROW()-1,FALSE))</f>
        <v/>
      </c>
      <c r="P132" t="str">
        <f ca="1">IF(AND(ISNUMBER($P$335),$B$208=1),$P$335,HLOOKUP(INDIRECT(ADDRESS(2,COLUMN())),OFFSET($BN$2,0,0,ROW()-1,60),ROW()-1,FALSE))</f>
        <v/>
      </c>
      <c r="Q132" t="str">
        <f ca="1">IF(AND(ISNUMBER($Q$335),$B$208=1),$Q$335,HLOOKUP(INDIRECT(ADDRESS(2,COLUMN())),OFFSET($BN$2,0,0,ROW()-1,60),ROW()-1,FALSE))</f>
        <v/>
      </c>
      <c r="R132">
        <f ca="1">IF(AND(ISNUMBER($R$335),$B$208=1),$R$335,HLOOKUP(INDIRECT(ADDRESS(2,COLUMN())),OFFSET($BN$2,0,0,ROW()-1,60),ROW()-1,FALSE))</f>
        <v>258729</v>
      </c>
      <c r="S132" t="str">
        <f ca="1">IF(AND(ISNUMBER($S$335),$B$208=1),$S$335,HLOOKUP(INDIRECT(ADDRESS(2,COLUMN())),OFFSET($BN$2,0,0,ROW()-1,60),ROW()-1,FALSE))</f>
        <v/>
      </c>
      <c r="T132" t="str">
        <f ca="1">IF(AND(ISNUMBER($T$335),$B$208=1),$T$335,HLOOKUP(INDIRECT(ADDRESS(2,COLUMN())),OFFSET($BN$2,0,0,ROW()-1,60),ROW()-1,FALSE))</f>
        <v/>
      </c>
      <c r="U132" t="str">
        <f ca="1">IF(AND(ISNUMBER($U$335),$B$208=1),$U$335,HLOOKUP(INDIRECT(ADDRESS(2,COLUMN())),OFFSET($BN$2,0,0,ROW()-1,60),ROW()-1,FALSE))</f>
        <v/>
      </c>
      <c r="V132">
        <f ca="1">IF(AND(ISNUMBER($V$335),$B$208=1),$V$335,HLOOKUP(INDIRECT(ADDRESS(2,COLUMN())),OFFSET($BN$2,0,0,ROW()-1,60),ROW()-1,FALSE))</f>
        <v>235892</v>
      </c>
      <c r="W132" t="str">
        <f ca="1">IF(AND(ISNUMBER($W$335),$B$208=1),$W$335,HLOOKUP(INDIRECT(ADDRESS(2,COLUMN())),OFFSET($BN$2,0,0,ROW()-1,60),ROW()-1,FALSE))</f>
        <v/>
      </c>
      <c r="X132" t="str">
        <f ca="1">IF(AND(ISNUMBER($X$335),$B$208=1),$X$335,HLOOKUP(INDIRECT(ADDRESS(2,COLUMN())),OFFSET($BN$2,0,0,ROW()-1,60),ROW()-1,FALSE))</f>
        <v/>
      </c>
      <c r="Y132" t="str">
        <f ca="1">IF(AND(ISNUMBER($Y$335),$B$208=1),$Y$335,HLOOKUP(INDIRECT(ADDRESS(2,COLUMN())),OFFSET($BN$2,0,0,ROW()-1,60),ROW()-1,FALSE))</f>
        <v/>
      </c>
      <c r="Z132">
        <f ca="1">IF(AND(ISNUMBER($Z$335),$B$208=1),$Z$335,HLOOKUP(INDIRECT(ADDRESS(2,COLUMN())),OFFSET($BN$2,0,0,ROW()-1,60),ROW()-1,FALSE))</f>
        <v>251720</v>
      </c>
      <c r="AA132" t="str">
        <f ca="1">IF(AND(ISNUMBER($AA$335),$B$208=1),$AA$335,HLOOKUP(INDIRECT(ADDRESS(2,COLUMN())),OFFSET($BN$2,0,0,ROW()-1,60),ROW()-1,FALSE))</f>
        <v/>
      </c>
      <c r="AB132" t="str">
        <f ca="1">IF(AND(ISNUMBER($AB$335),$B$208=1),$AB$335,HLOOKUP(INDIRECT(ADDRESS(2,COLUMN())),OFFSET($BN$2,0,0,ROW()-1,60),ROW()-1,FALSE))</f>
        <v/>
      </c>
      <c r="AC132" t="str">
        <f ca="1">IF(AND(ISNUMBER($AC$335),$B$208=1),$AC$335,HLOOKUP(INDIRECT(ADDRESS(2,COLUMN())),OFFSET($BN$2,0,0,ROW()-1,60),ROW()-1,FALSE))</f>
        <v/>
      </c>
      <c r="AD132">
        <f ca="1">IF(AND(ISNUMBER($AD$335),$B$208=1),$AD$335,HLOOKUP(INDIRECT(ADDRESS(2,COLUMN())),OFFSET($BN$2,0,0,ROW()-1,60),ROW()-1,FALSE))</f>
        <v>240009</v>
      </c>
      <c r="AE132" t="str">
        <f ca="1">IF(AND(ISNUMBER($AE$335),$B$208=1),$AE$335,HLOOKUP(INDIRECT(ADDRESS(2,COLUMN())),OFFSET($BN$2,0,0,ROW()-1,60),ROW()-1,FALSE))</f>
        <v/>
      </c>
      <c r="AF132" t="str">
        <f ca="1">IF(AND(ISNUMBER($AF$335),$B$208=1),$AF$335,HLOOKUP(INDIRECT(ADDRESS(2,COLUMN())),OFFSET($BN$2,0,0,ROW()-1,60),ROW()-1,FALSE))</f>
        <v/>
      </c>
      <c r="AG132" t="str">
        <f ca="1">IF(AND(ISNUMBER($AG$335),$B$208=1),$AG$335,HLOOKUP(INDIRECT(ADDRESS(2,COLUMN())),OFFSET($BN$2,0,0,ROW()-1,60),ROW()-1,FALSE))</f>
        <v/>
      </c>
      <c r="AH132">
        <f ca="1">IF(AND(ISNUMBER($AH$335),$B$208=1),$AH$335,HLOOKUP(INDIRECT(ADDRESS(2,COLUMN())),OFFSET($BN$2,0,0,ROW()-1,60),ROW()-1,FALSE))</f>
        <v>141892</v>
      </c>
      <c r="AI132" t="str">
        <f ca="1">IF(AND(ISNUMBER($AI$335),$B$208=1),$AI$335,HLOOKUP(INDIRECT(ADDRESS(2,COLUMN())),OFFSET($BN$2,0,0,ROW()-1,60),ROW()-1,FALSE))</f>
        <v/>
      </c>
      <c r="AJ132" t="str">
        <f ca="1">IF(AND(ISNUMBER($AJ$335),$B$208=1),$AJ$335,HLOOKUP(INDIRECT(ADDRESS(2,COLUMN())),OFFSET($BN$2,0,0,ROW()-1,60),ROW()-1,FALSE))</f>
        <v/>
      </c>
      <c r="AK132" t="str">
        <f ca="1">IF(AND(ISNUMBER($AK$335),$B$208=1),$AK$335,HLOOKUP(INDIRECT(ADDRESS(2,COLUMN())),OFFSET($BN$2,0,0,ROW()-1,60),ROW()-1,FALSE))</f>
        <v/>
      </c>
      <c r="AL132">
        <f ca="1">IF(AND(ISNUMBER($AL$335),$B$208=1),$AL$335,HLOOKUP(INDIRECT(ADDRESS(2,COLUMN())),OFFSET($BN$2,0,0,ROW()-1,60),ROW()-1,FALSE))</f>
        <v>138761</v>
      </c>
      <c r="AM132" t="str">
        <f ca="1">IF(AND(ISNUMBER($AM$335),$B$208=1),$AM$335,HLOOKUP(INDIRECT(ADDRESS(2,COLUMN())),OFFSET($BN$2,0,0,ROW()-1,60),ROW()-1,FALSE))</f>
        <v/>
      </c>
      <c r="AN132" t="str">
        <f ca="1">IF(AND(ISNUMBER($AN$335),$B$208=1),$AN$335,HLOOKUP(INDIRECT(ADDRESS(2,COLUMN())),OFFSET($BN$2,0,0,ROW()-1,60),ROW()-1,FALSE))</f>
        <v/>
      </c>
      <c r="AO132" t="str">
        <f ca="1">IF(AND(ISNUMBER($AO$335),$B$208=1),$AO$335,HLOOKUP(INDIRECT(ADDRESS(2,COLUMN())),OFFSET($BN$2,0,0,ROW()-1,60),ROW()-1,FALSE))</f>
        <v/>
      </c>
      <c r="AP132">
        <f ca="1">IF(AND(ISNUMBER($AP$335),$B$208=1),$AP$335,HLOOKUP(INDIRECT(ADDRESS(2,COLUMN())),OFFSET($BN$2,0,0,ROW()-1,60),ROW()-1,FALSE))</f>
        <v>161152</v>
      </c>
      <c r="AQ132" t="str">
        <f ca="1">IF(AND(ISNUMBER($AQ$335),$B$208=1),$AQ$335,HLOOKUP(INDIRECT(ADDRESS(2,COLUMN())),OFFSET($BN$2,0,0,ROW()-1,60),ROW()-1,FALSE))</f>
        <v/>
      </c>
      <c r="AR132" t="str">
        <f ca="1">IF(AND(ISNUMBER($AR$335),$B$208=1),$AR$335,HLOOKUP(INDIRECT(ADDRESS(2,COLUMN())),OFFSET($BN$2,0,0,ROW()-1,60),ROW()-1,FALSE))</f>
        <v/>
      </c>
      <c r="AS132" t="str">
        <f ca="1">IF(AND(ISNUMBER($AS$335),$B$208=1),$AS$335,HLOOKUP(INDIRECT(ADDRESS(2,COLUMN())),OFFSET($BN$2,0,0,ROW()-1,60),ROW()-1,FALSE))</f>
        <v/>
      </c>
      <c r="AT132">
        <f ca="1">IF(AND(ISNUMBER($AT$335),$B$208=1),$AT$335,HLOOKUP(INDIRECT(ADDRESS(2,COLUMN())),OFFSET($BN$2,0,0,ROW()-1,60),ROW()-1,FALSE))</f>
        <v>118118</v>
      </c>
      <c r="AU132" t="str">
        <f ca="1">IF(AND(ISNUMBER($AU$335),$B$208=1),$AU$335,HLOOKUP(INDIRECT(ADDRESS(2,COLUMN())),OFFSET($BN$2,0,0,ROW()-1,60),ROW()-1,FALSE))</f>
        <v/>
      </c>
      <c r="AV132" t="str">
        <f ca="1">IF(AND(ISNUMBER($AV$335),$B$208=1),$AV$335,HLOOKUP(INDIRECT(ADDRESS(2,COLUMN())),OFFSET($BN$2,0,0,ROW()-1,60),ROW()-1,FALSE))</f>
        <v/>
      </c>
      <c r="AW132" t="str">
        <f ca="1">IF(AND(ISNUMBER($AW$335),$B$208=1),$AW$335,HLOOKUP(INDIRECT(ADDRESS(2,COLUMN())),OFFSET($BN$2,0,0,ROW()-1,60),ROW()-1,FALSE))</f>
        <v/>
      </c>
      <c r="AX132">
        <f ca="1">IF(AND(ISNUMBER($AX$335),$B$208=1),$AX$335,HLOOKUP(INDIRECT(ADDRESS(2,COLUMN())),OFFSET($BN$2,0,0,ROW()-1,60),ROW()-1,FALSE))</f>
        <v>110958</v>
      </c>
      <c r="AY132" t="str">
        <f ca="1">IF(AND(ISNUMBER($AY$335),$B$208=1),$AY$335,HLOOKUP(INDIRECT(ADDRESS(2,COLUMN())),OFFSET($BN$2,0,0,ROW()-1,60),ROW()-1,FALSE))</f>
        <v/>
      </c>
      <c r="AZ132" t="str">
        <f ca="1">IF(AND(ISNUMBER($AZ$335),$B$208=1),$AZ$335,HLOOKUP(INDIRECT(ADDRESS(2,COLUMN())),OFFSET($BN$2,0,0,ROW()-1,60),ROW()-1,FALSE))</f>
        <v/>
      </c>
      <c r="BA132" t="str">
        <f ca="1">IF(AND(ISNUMBER($BA$335),$B$208=1),$BA$335,HLOOKUP(INDIRECT(ADDRESS(2,COLUMN())),OFFSET($BN$2,0,0,ROW()-1,60),ROW()-1,FALSE))</f>
        <v/>
      </c>
      <c r="BB132">
        <f ca="1">IF(AND(ISNUMBER($BB$335),$B$208=1),$BB$335,HLOOKUP(INDIRECT(ADDRESS(2,COLUMN())),OFFSET($BN$2,0,0,ROW()-1,60),ROW()-1,FALSE))</f>
        <v>128762</v>
      </c>
      <c r="BC132" t="str">
        <f ca="1">IF(AND(ISNUMBER($BC$335),$B$208=1),$BC$335,HLOOKUP(INDIRECT(ADDRESS(2,COLUMN())),OFFSET($BN$2,0,0,ROW()-1,60),ROW()-1,FALSE))</f>
        <v/>
      </c>
      <c r="BD132" t="str">
        <f ca="1">IF(AND(ISNUMBER($BD$335),$B$208=1),$BD$335,HLOOKUP(INDIRECT(ADDRESS(2,COLUMN())),OFFSET($BN$2,0,0,ROW()-1,60),ROW()-1,FALSE))</f>
        <v/>
      </c>
      <c r="BE132" t="str">
        <f ca="1">IF(AND(ISNUMBER($BE$335),$B$208=1),$BE$335,HLOOKUP(INDIRECT(ADDRESS(2,COLUMN())),OFFSET($BN$2,0,0,ROW()-1,60),ROW()-1,FALSE))</f>
        <v/>
      </c>
      <c r="BF132">
        <f ca="1">IF(AND(ISNUMBER($BF$335),$B$208=1),$BF$335,HLOOKUP(INDIRECT(ADDRESS(2,COLUMN())),OFFSET($BN$2,0,0,ROW()-1,60),ROW()-1,FALSE))</f>
        <v>135662</v>
      </c>
      <c r="BG132" t="str">
        <f ca="1">IF(AND(ISNUMBER($BG$335),$B$208=1),$BG$335,HLOOKUP(INDIRECT(ADDRESS(2,COLUMN())),OFFSET($BN$2,0,0,ROW()-1,60),ROW()-1,FALSE))</f>
        <v/>
      </c>
      <c r="BH132" t="str">
        <f ca="1">IF(AND(ISNUMBER($BH$335),$B$208=1),$BH$335,HLOOKUP(INDIRECT(ADDRESS(2,COLUMN())),OFFSET($BN$2,0,0,ROW()-1,60),ROW()-1,FALSE))</f>
        <v/>
      </c>
      <c r="BI132" t="str">
        <f ca="1">IF(AND(ISNUMBER($BI$335),$B$208=1),$BI$335,HLOOKUP(INDIRECT(ADDRESS(2,COLUMN())),OFFSET($BN$2,0,0,ROW()-1,60),ROW()-1,FALSE))</f>
        <v/>
      </c>
      <c r="BJ132">
        <f ca="1">IF(AND(ISNUMBER($BJ$335),$B$208=1),$BJ$335,HLOOKUP(INDIRECT(ADDRESS(2,COLUMN())),OFFSET($BN$2,0,0,ROW()-1,60),ROW()-1,FALSE))</f>
        <v>141416</v>
      </c>
      <c r="BK132" t="str">
        <f ca="1">IF(AND(ISNUMBER($BK$335),$B$208=1),$BK$335,HLOOKUP(INDIRECT(ADDRESS(2,COLUMN())),OFFSET($BN$2,0,0,ROW()-1,60),ROW()-1,FALSE))</f>
        <v/>
      </c>
      <c r="BL132" t="str">
        <f ca="1">IF(AND(ISNUMBER($BL$335),$B$208=1),$BL$335,HLOOKUP(INDIRECT(ADDRESS(2,COLUMN())),OFFSET($BN$2,0,0,ROW()-1,60),ROW()-1,FALSE))</f>
        <v/>
      </c>
      <c r="BM132" t="str">
        <f ca="1">IF(AND(ISNUMBER($BM$335),$B$208=1),$BM$335,HLOOKUP(INDIRECT(ADDRESS(2,COLUMN())),OFFSET($BN$2,0,0,ROW()-1,60),ROW()-1,FALSE))</f>
        <v/>
      </c>
      <c r="BN132">
        <f>279326</f>
        <v>279326</v>
      </c>
      <c r="BO132" t="str">
        <f>""</f>
        <v/>
      </c>
      <c r="BP132" t="str">
        <f>""</f>
        <v/>
      </c>
      <c r="BQ132" t="str">
        <f>""</f>
        <v/>
      </c>
      <c r="BR132">
        <f>26458</f>
        <v>26458</v>
      </c>
      <c r="BS132" t="str">
        <f>""</f>
        <v/>
      </c>
      <c r="BT132" t="str">
        <f>""</f>
        <v/>
      </c>
      <c r="BU132" t="str">
        <f>""</f>
        <v/>
      </c>
      <c r="BV132">
        <f>187960</f>
        <v>187960</v>
      </c>
      <c r="BW132" t="str">
        <f>""</f>
        <v/>
      </c>
      <c r="BX132" t="str">
        <f>""</f>
        <v/>
      </c>
      <c r="BY132" t="str">
        <f>""</f>
        <v/>
      </c>
      <c r="BZ132">
        <f>258729</f>
        <v>258729</v>
      </c>
      <c r="CA132" t="str">
        <f>""</f>
        <v/>
      </c>
      <c r="CB132" t="str">
        <f>""</f>
        <v/>
      </c>
      <c r="CC132" t="str">
        <f>""</f>
        <v/>
      </c>
      <c r="CD132">
        <f>235892</f>
        <v>235892</v>
      </c>
      <c r="CE132" t="str">
        <f>""</f>
        <v/>
      </c>
      <c r="CF132" t="str">
        <f>""</f>
        <v/>
      </c>
      <c r="CG132" t="str">
        <f>""</f>
        <v/>
      </c>
      <c r="CH132">
        <f>251720</f>
        <v>251720</v>
      </c>
      <c r="CI132" t="str">
        <f>""</f>
        <v/>
      </c>
      <c r="CJ132" t="str">
        <f>""</f>
        <v/>
      </c>
      <c r="CK132" t="str">
        <f>""</f>
        <v/>
      </c>
      <c r="CL132">
        <f>240009</f>
        <v>240009</v>
      </c>
      <c r="CM132" t="str">
        <f>""</f>
        <v/>
      </c>
      <c r="CN132" t="str">
        <f>""</f>
        <v/>
      </c>
      <c r="CO132" t="str">
        <f>""</f>
        <v/>
      </c>
      <c r="CP132">
        <f>141892</f>
        <v>141892</v>
      </c>
      <c r="CQ132" t="str">
        <f>""</f>
        <v/>
      </c>
      <c r="CR132" t="str">
        <f>""</f>
        <v/>
      </c>
      <c r="CS132" t="str">
        <f>""</f>
        <v/>
      </c>
      <c r="CT132">
        <f>138761</f>
        <v>138761</v>
      </c>
      <c r="CU132" t="str">
        <f>""</f>
        <v/>
      </c>
      <c r="CV132" t="str">
        <f>""</f>
        <v/>
      </c>
      <c r="CW132" t="str">
        <f>""</f>
        <v/>
      </c>
      <c r="CX132">
        <f>161152</f>
        <v>161152</v>
      </c>
      <c r="CY132" t="str">
        <f>""</f>
        <v/>
      </c>
      <c r="CZ132" t="str">
        <f>""</f>
        <v/>
      </c>
      <c r="DA132" t="str">
        <f>""</f>
        <v/>
      </c>
      <c r="DB132">
        <f>118118</f>
        <v>118118</v>
      </c>
      <c r="DC132" t="str">
        <f>""</f>
        <v/>
      </c>
      <c r="DD132" t="str">
        <f>""</f>
        <v/>
      </c>
      <c r="DE132" t="str">
        <f>""</f>
        <v/>
      </c>
      <c r="DF132">
        <f>110958</f>
        <v>110958</v>
      </c>
      <c r="DG132" t="str">
        <f>""</f>
        <v/>
      </c>
      <c r="DH132" t="str">
        <f>""</f>
        <v/>
      </c>
      <c r="DI132" t="str">
        <f>""</f>
        <v/>
      </c>
      <c r="DJ132">
        <f>128762</f>
        <v>128762</v>
      </c>
      <c r="DK132" t="str">
        <f>""</f>
        <v/>
      </c>
      <c r="DL132" t="str">
        <f>""</f>
        <v/>
      </c>
      <c r="DM132" t="str">
        <f>""</f>
        <v/>
      </c>
      <c r="DN132">
        <f>135662</f>
        <v>135662</v>
      </c>
      <c r="DO132" t="str">
        <f>""</f>
        <v/>
      </c>
      <c r="DP132" t="str">
        <f>""</f>
        <v/>
      </c>
      <c r="DQ132" t="str">
        <f>""</f>
        <v/>
      </c>
      <c r="DR132">
        <f>141416</f>
        <v>141416</v>
      </c>
      <c r="DS132" t="str">
        <f>""</f>
        <v/>
      </c>
      <c r="DT132" t="str">
        <f>""</f>
        <v/>
      </c>
      <c r="DU132" t="str">
        <f>""</f>
        <v/>
      </c>
    </row>
    <row r="133" spans="1:125" x14ac:dyDescent="0.25">
      <c r="A133" t="str">
        <f>"    DNB Bank ASA"</f>
        <v xml:space="preserve">    DNB Bank ASA</v>
      </c>
      <c r="B133" t="str">
        <f>"DNB NO Equity"</f>
        <v>DNB NO Equity</v>
      </c>
      <c r="C133" t="str">
        <f t="shared" si="9"/>
        <v>BS016</v>
      </c>
      <c r="D133" t="str">
        <f t="shared" si="10"/>
        <v>BS_COMM_LOAN</v>
      </c>
      <c r="E133" t="str">
        <f t="shared" si="11"/>
        <v>Dynamic</v>
      </c>
      <c r="F133">
        <f ca="1">IF(AND(ISNUMBER($F$336),$B$208=1),$F$336,HLOOKUP(INDIRECT(ADDRESS(2,COLUMN())),OFFSET($BN$2,0,0,ROW()-1,60),ROW()-1,FALSE))</f>
        <v>101625.05130000001</v>
      </c>
      <c r="G133">
        <f ca="1">IF(AND(ISNUMBER($G$336),$B$208=1),$G$336,HLOOKUP(INDIRECT(ADDRESS(2,COLUMN())),OFFSET($BN$2,0,0,ROW()-1,60),ROW()-1,FALSE))</f>
        <v>87778.483179999996</v>
      </c>
      <c r="H133">
        <f ca="1">IF(AND(ISNUMBER($H$336),$B$208=1),$H$336,HLOOKUP(INDIRECT(ADDRESS(2,COLUMN())),OFFSET($BN$2,0,0,ROW()-1,60),ROW()-1,FALSE))</f>
        <v>85724.537349999999</v>
      </c>
      <c r="I133">
        <f ca="1">IF(AND(ISNUMBER($I$336),$B$208=1),$I$336,HLOOKUP(INDIRECT(ADDRESS(2,COLUMN())),OFFSET($BN$2,0,0,ROW()-1,60),ROW()-1,FALSE))</f>
        <v>83900.048779999997</v>
      </c>
      <c r="J133">
        <f ca="1">IF(AND(ISNUMBER($J$336),$B$208=1),$J$336,HLOOKUP(INDIRECT(ADDRESS(2,COLUMN())),OFFSET($BN$2,0,0,ROW()-1,60),ROW()-1,FALSE))</f>
        <v>85661.949179999996</v>
      </c>
      <c r="K133">
        <f ca="1">IF(AND(ISNUMBER($K$336),$B$208=1),$K$336,HLOOKUP(INDIRECT(ADDRESS(2,COLUMN())),OFFSET($BN$2,0,0,ROW()-1,60),ROW()-1,FALSE))</f>
        <v>86167.869600000005</v>
      </c>
      <c r="L133">
        <f ca="1">IF(AND(ISNUMBER($L$336),$B$208=1),$L$336,HLOOKUP(INDIRECT(ADDRESS(2,COLUMN())),OFFSET($BN$2,0,0,ROW()-1,60),ROW()-1,FALSE))</f>
        <v>83849.383170000001</v>
      </c>
      <c r="M133">
        <f ca="1">IF(AND(ISNUMBER($M$336),$B$208=1),$M$336,HLOOKUP(INDIRECT(ADDRESS(2,COLUMN())),OFFSET($BN$2,0,0,ROW()-1,60),ROW()-1,FALSE))</f>
        <v>84955.735939999999</v>
      </c>
      <c r="N133">
        <f ca="1">IF(AND(ISNUMBER($N$336),$B$208=1),$N$336,HLOOKUP(INDIRECT(ADDRESS(2,COLUMN())),OFFSET($BN$2,0,0,ROW()-1,60),ROW()-1,FALSE))</f>
        <v>87788.229290000003</v>
      </c>
      <c r="O133">
        <f ca="1">IF(AND(ISNUMBER($O$336),$B$208=1),$O$336,HLOOKUP(INDIRECT(ADDRESS(2,COLUMN())),OFFSET($BN$2,0,0,ROW()-1,60),ROW()-1,FALSE))</f>
        <v>82661.970419999998</v>
      </c>
      <c r="P133">
        <f ca="1">IF(AND(ISNUMBER($P$336),$B$208=1),$P$336,HLOOKUP(INDIRECT(ADDRESS(2,COLUMN())),OFFSET($BN$2,0,0,ROW()-1,60),ROW()-1,FALSE))</f>
        <v>90299.980899999995</v>
      </c>
      <c r="Q133">
        <f ca="1">IF(AND(ISNUMBER($Q$336),$B$208=1),$Q$336,HLOOKUP(INDIRECT(ADDRESS(2,COLUMN())),OFFSET($BN$2,0,0,ROW()-1,60),ROW()-1,FALSE))</f>
        <v>86272.804029999999</v>
      </c>
      <c r="R133">
        <f ca="1">IF(AND(ISNUMBER($R$336),$B$208=1),$R$336,HLOOKUP(INDIRECT(ADDRESS(2,COLUMN())),OFFSET($BN$2,0,0,ROW()-1,60),ROW()-1,FALSE))</f>
        <v>83876.49987</v>
      </c>
      <c r="S133">
        <f ca="1">IF(AND(ISNUMBER($S$336),$B$208=1),$S$336,HLOOKUP(INDIRECT(ADDRESS(2,COLUMN())),OFFSET($BN$2,0,0,ROW()-1,60),ROW()-1,FALSE))</f>
        <v>81226.027319999994</v>
      </c>
      <c r="T133">
        <f ca="1">IF(AND(ISNUMBER($T$336),$B$208=1),$T$336,HLOOKUP(INDIRECT(ADDRESS(2,COLUMN())),OFFSET($BN$2,0,0,ROW()-1,60),ROW()-1,FALSE))</f>
        <v>80053.634099999996</v>
      </c>
      <c r="U133">
        <f ca="1">IF(AND(ISNUMBER($U$336),$B$208=1),$U$336,HLOOKUP(INDIRECT(ADDRESS(2,COLUMN())),OFFSET($BN$2,0,0,ROW()-1,60),ROW()-1,FALSE))</f>
        <v>80463.408989999996</v>
      </c>
      <c r="V133">
        <f ca="1">IF(AND(ISNUMBER($V$336),$B$208=1),$V$336,HLOOKUP(INDIRECT(ADDRESS(2,COLUMN())),OFFSET($BN$2,0,0,ROW()-1,60),ROW()-1,FALSE))</f>
        <v>77839.075549999994</v>
      </c>
      <c r="W133">
        <f ca="1">IF(AND(ISNUMBER($W$336),$B$208=1),$W$336,HLOOKUP(INDIRECT(ADDRESS(2,COLUMN())),OFFSET($BN$2,0,0,ROW()-1,60),ROW()-1,FALSE))</f>
        <v>76257.783819999997</v>
      </c>
      <c r="X133">
        <f ca="1">IF(AND(ISNUMBER($X$336),$B$208=1),$X$336,HLOOKUP(INDIRECT(ADDRESS(2,COLUMN())),OFFSET($BN$2,0,0,ROW()-1,60),ROW()-1,FALSE))</f>
        <v>78077.658169999995</v>
      </c>
      <c r="Y133">
        <f ca="1">IF(AND(ISNUMBER($Y$336),$B$208=1),$Y$336,HLOOKUP(INDIRECT(ADDRESS(2,COLUMN())),OFFSET($BN$2,0,0,ROW()-1,60),ROW()-1,FALSE))</f>
        <v>77337.628299999997</v>
      </c>
      <c r="Z133">
        <f ca="1">IF(AND(ISNUMBER($Z$336),$B$208=1),$Z$336,HLOOKUP(INDIRECT(ADDRESS(2,COLUMN())),OFFSET($BN$2,0,0,ROW()-1,60),ROW()-1,FALSE))</f>
        <v>76411.538820000002</v>
      </c>
      <c r="AA133">
        <f ca="1">IF(AND(ISNUMBER($AA$336),$B$208=1),$AA$336,HLOOKUP(INDIRECT(ADDRESS(2,COLUMN())),OFFSET($BN$2,0,0,ROW()-1,60),ROW()-1,FALSE))</f>
        <v>76591.147410000005</v>
      </c>
      <c r="AB133">
        <f ca="1">IF(AND(ISNUMBER($AB$336),$B$208=1),$AB$336,HLOOKUP(INDIRECT(ADDRESS(2,COLUMN())),OFFSET($BN$2,0,0,ROW()-1,60),ROW()-1,FALSE))</f>
        <v>82905.275510000007</v>
      </c>
      <c r="AC133">
        <f ca="1">IF(AND(ISNUMBER($AC$336),$B$208=1),$AC$336,HLOOKUP(INDIRECT(ADDRESS(2,COLUMN())),OFFSET($BN$2,0,0,ROW()-1,60),ROW()-1,FALSE))</f>
        <v>82151.868390000003</v>
      </c>
      <c r="AD133">
        <f ca="1">IF(AND(ISNUMBER($AD$336),$B$208=1),$AD$336,HLOOKUP(INDIRECT(ADDRESS(2,COLUMN())),OFFSET($BN$2,0,0,ROW()-1,60),ROW()-1,FALSE))</f>
        <v>76998.118090000004</v>
      </c>
      <c r="AE133">
        <f ca="1">IF(AND(ISNUMBER($AE$336),$B$208=1),$AE$336,HLOOKUP(INDIRECT(ADDRESS(2,COLUMN())),OFFSET($BN$2,0,0,ROW()-1,60),ROW()-1,FALSE))</f>
        <v>68086.491219999996</v>
      </c>
      <c r="AF133">
        <f ca="1">IF(AND(ISNUMBER($AF$336),$B$208=1),$AF$336,HLOOKUP(INDIRECT(ADDRESS(2,COLUMN())),OFFSET($BN$2,0,0,ROW()-1,60),ROW()-1,FALSE))</f>
        <v>75145.138229999997</v>
      </c>
      <c r="AG133">
        <f ca="1">IF(AND(ISNUMBER($AG$336),$B$208=1),$AG$336,HLOOKUP(INDIRECT(ADDRESS(2,COLUMN())),OFFSET($BN$2,0,0,ROW()-1,60),ROW()-1,FALSE))</f>
        <v>72514.213029999999</v>
      </c>
      <c r="AH133">
        <f ca="1">IF(AND(ISNUMBER($AH$336),$B$208=1),$AH$336,HLOOKUP(INDIRECT(ADDRESS(2,COLUMN())),OFFSET($BN$2,0,0,ROW()-1,60),ROW()-1,FALSE))</f>
        <v>72582.332569999999</v>
      </c>
      <c r="AI133" t="str">
        <f ca="1">IF(AND(ISNUMBER($AI$336),$B$208=1),$AI$336,HLOOKUP(INDIRECT(ADDRESS(2,COLUMN())),OFFSET($BN$2,0,0,ROW()-1,60),ROW()-1,FALSE))</f>
        <v/>
      </c>
      <c r="AJ133" t="str">
        <f ca="1">IF(AND(ISNUMBER($AJ$336),$B$208=1),$AJ$336,HLOOKUP(INDIRECT(ADDRESS(2,COLUMN())),OFFSET($BN$2,0,0,ROW()-1,60),ROW()-1,FALSE))</f>
        <v/>
      </c>
      <c r="AK133" t="str">
        <f ca="1">IF(AND(ISNUMBER($AK$336),$B$208=1),$AK$336,HLOOKUP(INDIRECT(ADDRESS(2,COLUMN())),OFFSET($BN$2,0,0,ROW()-1,60),ROW()-1,FALSE))</f>
        <v/>
      </c>
      <c r="AL133">
        <f ca="1">IF(AND(ISNUMBER($AL$336),$B$208=1),$AL$336,HLOOKUP(INDIRECT(ADDRESS(2,COLUMN())),OFFSET($BN$2,0,0,ROW()-1,60),ROW()-1,FALSE))</f>
        <v>80142.303509999998</v>
      </c>
      <c r="AM133" t="str">
        <f ca="1">IF(AND(ISNUMBER($AM$336),$B$208=1),$AM$336,HLOOKUP(INDIRECT(ADDRESS(2,COLUMN())),OFFSET($BN$2,0,0,ROW()-1,60),ROW()-1,FALSE))</f>
        <v/>
      </c>
      <c r="AN133" t="str">
        <f ca="1">IF(AND(ISNUMBER($AN$336),$B$208=1),$AN$336,HLOOKUP(INDIRECT(ADDRESS(2,COLUMN())),OFFSET($BN$2,0,0,ROW()-1,60),ROW()-1,FALSE))</f>
        <v/>
      </c>
      <c r="AO133" t="str">
        <f ca="1">IF(AND(ISNUMBER($AO$336),$B$208=1),$AO$336,HLOOKUP(INDIRECT(ADDRESS(2,COLUMN())),OFFSET($BN$2,0,0,ROW()-1,60),ROW()-1,FALSE))</f>
        <v/>
      </c>
      <c r="AP133">
        <f ca="1">IF(AND(ISNUMBER($AP$336),$B$208=1),$AP$336,HLOOKUP(INDIRECT(ADDRESS(2,COLUMN())),OFFSET($BN$2,0,0,ROW()-1,60),ROW()-1,FALSE))</f>
        <v>80951.240529999995</v>
      </c>
      <c r="AQ133" t="str">
        <f ca="1">IF(AND(ISNUMBER($AQ$336),$B$208=1),$AQ$336,HLOOKUP(INDIRECT(ADDRESS(2,COLUMN())),OFFSET($BN$2,0,0,ROW()-1,60),ROW()-1,FALSE))</f>
        <v/>
      </c>
      <c r="AR133" t="str">
        <f ca="1">IF(AND(ISNUMBER($AR$336),$B$208=1),$AR$336,HLOOKUP(INDIRECT(ADDRESS(2,COLUMN())),OFFSET($BN$2,0,0,ROW()-1,60),ROW()-1,FALSE))</f>
        <v/>
      </c>
      <c r="AS133" t="str">
        <f ca="1">IF(AND(ISNUMBER($AS$336),$B$208=1),$AS$336,HLOOKUP(INDIRECT(ADDRESS(2,COLUMN())),OFFSET($BN$2,0,0,ROW()-1,60),ROW()-1,FALSE))</f>
        <v/>
      </c>
      <c r="AT133">
        <f ca="1">IF(AND(ISNUMBER($AT$336),$B$208=1),$AT$336,HLOOKUP(INDIRECT(ADDRESS(2,COLUMN())),OFFSET($BN$2,0,0,ROW()-1,60),ROW()-1,FALSE))</f>
        <v>79160.642879999999</v>
      </c>
      <c r="AU133" t="str">
        <f ca="1">IF(AND(ISNUMBER($AU$336),$B$208=1),$AU$336,HLOOKUP(INDIRECT(ADDRESS(2,COLUMN())),OFFSET($BN$2,0,0,ROW()-1,60),ROW()-1,FALSE))</f>
        <v/>
      </c>
      <c r="AV133" t="str">
        <f ca="1">IF(AND(ISNUMBER($AV$336),$B$208=1),$AV$336,HLOOKUP(INDIRECT(ADDRESS(2,COLUMN())),OFFSET($BN$2,0,0,ROW()-1,60),ROW()-1,FALSE))</f>
        <v/>
      </c>
      <c r="AW133" t="str">
        <f ca="1">IF(AND(ISNUMBER($AW$336),$B$208=1),$AW$336,HLOOKUP(INDIRECT(ADDRESS(2,COLUMN())),OFFSET($BN$2,0,0,ROW()-1,60),ROW()-1,FALSE))</f>
        <v/>
      </c>
      <c r="AX133" t="str">
        <f ca="1">IF(AND(ISNUMBER($AX$336),$B$208=1),$AX$336,HLOOKUP(INDIRECT(ADDRESS(2,COLUMN())),OFFSET($BN$2,0,0,ROW()-1,60),ROW()-1,FALSE))</f>
        <v/>
      </c>
      <c r="AY133" t="str">
        <f ca="1">IF(AND(ISNUMBER($AY$336),$B$208=1),$AY$336,HLOOKUP(INDIRECT(ADDRESS(2,COLUMN())),OFFSET($BN$2,0,0,ROW()-1,60),ROW()-1,FALSE))</f>
        <v/>
      </c>
      <c r="AZ133" t="str">
        <f ca="1">IF(AND(ISNUMBER($AZ$336),$B$208=1),$AZ$336,HLOOKUP(INDIRECT(ADDRESS(2,COLUMN())),OFFSET($BN$2,0,0,ROW()-1,60),ROW()-1,FALSE))</f>
        <v/>
      </c>
      <c r="BA133" t="str">
        <f ca="1">IF(AND(ISNUMBER($BA$336),$B$208=1),$BA$336,HLOOKUP(INDIRECT(ADDRESS(2,COLUMN())),OFFSET($BN$2,0,0,ROW()-1,60),ROW()-1,FALSE))</f>
        <v/>
      </c>
      <c r="BB133" t="str">
        <f ca="1">IF(AND(ISNUMBER($BB$336),$B$208=1),$BB$336,HLOOKUP(INDIRECT(ADDRESS(2,COLUMN())),OFFSET($BN$2,0,0,ROW()-1,60),ROW()-1,FALSE))</f>
        <v/>
      </c>
      <c r="BC133" t="str">
        <f ca="1">IF(AND(ISNUMBER($BC$336),$B$208=1),$BC$336,HLOOKUP(INDIRECT(ADDRESS(2,COLUMN())),OFFSET($BN$2,0,0,ROW()-1,60),ROW()-1,FALSE))</f>
        <v/>
      </c>
      <c r="BD133" t="str">
        <f ca="1">IF(AND(ISNUMBER($BD$336),$B$208=1),$BD$336,HLOOKUP(INDIRECT(ADDRESS(2,COLUMN())),OFFSET($BN$2,0,0,ROW()-1,60),ROW()-1,FALSE))</f>
        <v/>
      </c>
      <c r="BE133" t="str">
        <f ca="1">IF(AND(ISNUMBER($BE$336),$B$208=1),$BE$336,HLOOKUP(INDIRECT(ADDRESS(2,COLUMN())),OFFSET($BN$2,0,0,ROW()-1,60),ROW()-1,FALSE))</f>
        <v/>
      </c>
      <c r="BF133" t="str">
        <f ca="1">IF(AND(ISNUMBER($BF$336),$B$208=1),$BF$336,HLOOKUP(INDIRECT(ADDRESS(2,COLUMN())),OFFSET($BN$2,0,0,ROW()-1,60),ROW()-1,FALSE))</f>
        <v/>
      </c>
      <c r="BG133" t="str">
        <f ca="1">IF(AND(ISNUMBER($BG$336),$B$208=1),$BG$336,HLOOKUP(INDIRECT(ADDRESS(2,COLUMN())),OFFSET($BN$2,0,0,ROW()-1,60),ROW()-1,FALSE))</f>
        <v/>
      </c>
      <c r="BH133" t="str">
        <f ca="1">IF(AND(ISNUMBER($BH$336),$B$208=1),$BH$336,HLOOKUP(INDIRECT(ADDRESS(2,COLUMN())),OFFSET($BN$2,0,0,ROW()-1,60),ROW()-1,FALSE))</f>
        <v/>
      </c>
      <c r="BI133" t="str">
        <f ca="1">IF(AND(ISNUMBER($BI$336),$B$208=1),$BI$336,HLOOKUP(INDIRECT(ADDRESS(2,COLUMN())),OFFSET($BN$2,0,0,ROW()-1,60),ROW()-1,FALSE))</f>
        <v/>
      </c>
      <c r="BJ133" t="str">
        <f ca="1">IF(AND(ISNUMBER($BJ$336),$B$208=1),$BJ$336,HLOOKUP(INDIRECT(ADDRESS(2,COLUMN())),OFFSET($BN$2,0,0,ROW()-1,60),ROW()-1,FALSE))</f>
        <v/>
      </c>
      <c r="BK133" t="str">
        <f ca="1">IF(AND(ISNUMBER($BK$336),$B$208=1),$BK$336,HLOOKUP(INDIRECT(ADDRESS(2,COLUMN())),OFFSET($BN$2,0,0,ROW()-1,60),ROW()-1,FALSE))</f>
        <v/>
      </c>
      <c r="BL133" t="str">
        <f ca="1">IF(AND(ISNUMBER($BL$336),$B$208=1),$BL$336,HLOOKUP(INDIRECT(ADDRESS(2,COLUMN())),OFFSET($BN$2,0,0,ROW()-1,60),ROW()-1,FALSE))</f>
        <v/>
      </c>
      <c r="BM133" t="str">
        <f ca="1">IF(AND(ISNUMBER($BM$336),$B$208=1),$BM$336,HLOOKUP(INDIRECT(ADDRESS(2,COLUMN())),OFFSET($BN$2,0,0,ROW()-1,60),ROW()-1,FALSE))</f>
        <v/>
      </c>
      <c r="BN133">
        <f>101625.0513</f>
        <v>101625.05130000001</v>
      </c>
      <c r="BO133">
        <f>87778.48318</f>
        <v>87778.483179999996</v>
      </c>
      <c r="BP133">
        <f>85724.53735</f>
        <v>85724.537349999999</v>
      </c>
      <c r="BQ133">
        <f>83900.04878</f>
        <v>83900.048779999997</v>
      </c>
      <c r="BR133">
        <f>85661.94918</f>
        <v>85661.949179999996</v>
      </c>
      <c r="BS133">
        <f>86167.8696</f>
        <v>86167.869600000005</v>
      </c>
      <c r="BT133">
        <f>83849.38317</f>
        <v>83849.383170000001</v>
      </c>
      <c r="BU133">
        <f>84955.73594</f>
        <v>84955.735939999999</v>
      </c>
      <c r="BV133">
        <f>87788.22929</f>
        <v>87788.229290000003</v>
      </c>
      <c r="BW133">
        <f>82661.97042</f>
        <v>82661.970419999998</v>
      </c>
      <c r="BX133">
        <f>90299.9809</f>
        <v>90299.980899999995</v>
      </c>
      <c r="BY133">
        <f>86272.80403</f>
        <v>86272.804029999999</v>
      </c>
      <c r="BZ133">
        <f>83876.49987</f>
        <v>83876.49987</v>
      </c>
      <c r="CA133">
        <f>81226.02732</f>
        <v>81226.027319999994</v>
      </c>
      <c r="CB133">
        <f>80053.6341</f>
        <v>80053.634099999996</v>
      </c>
      <c r="CC133">
        <f>80463.40899</f>
        <v>80463.408989999996</v>
      </c>
      <c r="CD133">
        <f>77839.07555</f>
        <v>77839.075549999994</v>
      </c>
      <c r="CE133">
        <f>76257.78382</f>
        <v>76257.783819999997</v>
      </c>
      <c r="CF133">
        <f>78077.65817</f>
        <v>78077.658169999995</v>
      </c>
      <c r="CG133">
        <f>77337.6283</f>
        <v>77337.628299999997</v>
      </c>
      <c r="CH133">
        <f>76411.53882</f>
        <v>76411.538820000002</v>
      </c>
      <c r="CI133">
        <f>76591.14741</f>
        <v>76591.147410000005</v>
      </c>
      <c r="CJ133">
        <f>82905.27551</f>
        <v>82905.275510000007</v>
      </c>
      <c r="CK133">
        <f>82151.86839</f>
        <v>82151.868390000003</v>
      </c>
      <c r="CL133">
        <f>76998.11809</f>
        <v>76998.118090000004</v>
      </c>
      <c r="CM133">
        <f>68086.49122</f>
        <v>68086.491219999996</v>
      </c>
      <c r="CN133">
        <f>75145.13823</f>
        <v>75145.138229999997</v>
      </c>
      <c r="CO133">
        <f>72514.21303</f>
        <v>72514.213029999999</v>
      </c>
      <c r="CP133">
        <f>72582.33257</f>
        <v>72582.332569999999</v>
      </c>
      <c r="CQ133" t="str">
        <f>""</f>
        <v/>
      </c>
      <c r="CR133" t="str">
        <f>""</f>
        <v/>
      </c>
      <c r="CS133" t="str">
        <f>""</f>
        <v/>
      </c>
      <c r="CT133">
        <f>80142.30351</f>
        <v>80142.303509999998</v>
      </c>
      <c r="CU133" t="str">
        <f>""</f>
        <v/>
      </c>
      <c r="CV133" t="str">
        <f>""</f>
        <v/>
      </c>
      <c r="CW133" t="str">
        <f>""</f>
        <v/>
      </c>
      <c r="CX133">
        <f>80951.24053</f>
        <v>80951.240529999995</v>
      </c>
      <c r="CY133" t="str">
        <f>""</f>
        <v/>
      </c>
      <c r="CZ133" t="str">
        <f>""</f>
        <v/>
      </c>
      <c r="DA133" t="str">
        <f>""</f>
        <v/>
      </c>
      <c r="DB133">
        <f>79160.64288</f>
        <v>79160.642879999999</v>
      </c>
      <c r="DC133" t="str">
        <f>""</f>
        <v/>
      </c>
      <c r="DD133" t="str">
        <f>""</f>
        <v/>
      </c>
      <c r="DE133" t="str">
        <f>""</f>
        <v/>
      </c>
      <c r="DF133" t="str">
        <f>""</f>
        <v/>
      </c>
      <c r="DG133" t="str">
        <f>""</f>
        <v/>
      </c>
      <c r="DH133" t="str">
        <f>""</f>
        <v/>
      </c>
      <c r="DI133" t="str">
        <f>""</f>
        <v/>
      </c>
      <c r="DJ133" t="str">
        <f>""</f>
        <v/>
      </c>
      <c r="DK133" t="str">
        <f>""</f>
        <v/>
      </c>
      <c r="DL133" t="str">
        <f>""</f>
        <v/>
      </c>
      <c r="DM133" t="str">
        <f>""</f>
        <v/>
      </c>
      <c r="DN133" t="str">
        <f>""</f>
        <v/>
      </c>
      <c r="DO133" t="str">
        <f>""</f>
        <v/>
      </c>
      <c r="DP133" t="str">
        <f>""</f>
        <v/>
      </c>
      <c r="DQ133" t="str">
        <f>""</f>
        <v/>
      </c>
      <c r="DR133" t="str">
        <f>""</f>
        <v/>
      </c>
      <c r="DS133" t="str">
        <f>""</f>
        <v/>
      </c>
      <c r="DT133" t="str">
        <f>""</f>
        <v/>
      </c>
      <c r="DU133" t="str">
        <f>""</f>
        <v/>
      </c>
    </row>
    <row r="134" spans="1:125" x14ac:dyDescent="0.25">
      <c r="A134" t="str">
        <f>"    Danske Bank A/S"</f>
        <v xml:space="preserve">    Danske Bank A/S</v>
      </c>
      <c r="B134" t="str">
        <f>"DANSKE DC Equity"</f>
        <v>DANSKE DC Equity</v>
      </c>
      <c r="C134" t="str">
        <f t="shared" si="9"/>
        <v>BS016</v>
      </c>
      <c r="D134" t="str">
        <f t="shared" si="10"/>
        <v>BS_COMM_LOAN</v>
      </c>
      <c r="E134" t="str">
        <f t="shared" si="11"/>
        <v>Dynamic</v>
      </c>
      <c r="F134" t="str">
        <f ca="1">IF(AND(ISNUMBER($F$337),$B$208=1),$F$337,HLOOKUP(INDIRECT(ADDRESS(2,COLUMN())),OFFSET($BN$2,0,0,ROW()-1,60),ROW()-1,FALSE))</f>
        <v/>
      </c>
      <c r="G134" t="str">
        <f ca="1">IF(AND(ISNUMBER($G$337),$B$208=1),$G$337,HLOOKUP(INDIRECT(ADDRESS(2,COLUMN())),OFFSET($BN$2,0,0,ROW()-1,60),ROW()-1,FALSE))</f>
        <v/>
      </c>
      <c r="H134" t="str">
        <f ca="1">IF(AND(ISNUMBER($H$337),$B$208=1),$H$337,HLOOKUP(INDIRECT(ADDRESS(2,COLUMN())),OFFSET($BN$2,0,0,ROW()-1,60),ROW()-1,FALSE))</f>
        <v/>
      </c>
      <c r="I134" t="str">
        <f ca="1">IF(AND(ISNUMBER($I$337),$B$208=1),$I$337,HLOOKUP(INDIRECT(ADDRESS(2,COLUMN())),OFFSET($BN$2,0,0,ROW()-1,60),ROW()-1,FALSE))</f>
        <v/>
      </c>
      <c r="J134" t="str">
        <f ca="1">IF(AND(ISNUMBER($J$337),$B$208=1),$J$337,HLOOKUP(INDIRECT(ADDRESS(2,COLUMN())),OFFSET($BN$2,0,0,ROW()-1,60),ROW()-1,FALSE))</f>
        <v/>
      </c>
      <c r="K134" t="str">
        <f ca="1">IF(AND(ISNUMBER($K$337),$B$208=1),$K$337,HLOOKUP(INDIRECT(ADDRESS(2,COLUMN())),OFFSET($BN$2,0,0,ROW()-1,60),ROW()-1,FALSE))</f>
        <v/>
      </c>
      <c r="L134" t="str">
        <f ca="1">IF(AND(ISNUMBER($L$337),$B$208=1),$L$337,HLOOKUP(INDIRECT(ADDRESS(2,COLUMN())),OFFSET($BN$2,0,0,ROW()-1,60),ROW()-1,FALSE))</f>
        <v/>
      </c>
      <c r="M134" t="str">
        <f ca="1">IF(AND(ISNUMBER($M$337),$B$208=1),$M$337,HLOOKUP(INDIRECT(ADDRESS(2,COLUMN())),OFFSET($BN$2,0,0,ROW()-1,60),ROW()-1,FALSE))</f>
        <v/>
      </c>
      <c r="N134" t="str">
        <f ca="1">IF(AND(ISNUMBER($N$337),$B$208=1),$N$337,HLOOKUP(INDIRECT(ADDRESS(2,COLUMN())),OFFSET($BN$2,0,0,ROW()-1,60),ROW()-1,FALSE))</f>
        <v/>
      </c>
      <c r="O134" t="str">
        <f ca="1">IF(AND(ISNUMBER($O$337),$B$208=1),$O$337,HLOOKUP(INDIRECT(ADDRESS(2,COLUMN())),OFFSET($BN$2,0,0,ROW()-1,60),ROW()-1,FALSE))</f>
        <v/>
      </c>
      <c r="P134" t="str">
        <f ca="1">IF(AND(ISNUMBER($P$337),$B$208=1),$P$337,HLOOKUP(INDIRECT(ADDRESS(2,COLUMN())),OFFSET($BN$2,0,0,ROW()-1,60),ROW()-1,FALSE))</f>
        <v/>
      </c>
      <c r="Q134" t="str">
        <f ca="1">IF(AND(ISNUMBER($Q$337),$B$208=1),$Q$337,HLOOKUP(INDIRECT(ADDRESS(2,COLUMN())),OFFSET($BN$2,0,0,ROW()-1,60),ROW()-1,FALSE))</f>
        <v/>
      </c>
      <c r="R134" t="str">
        <f ca="1">IF(AND(ISNUMBER($R$337),$B$208=1),$R$337,HLOOKUP(INDIRECT(ADDRESS(2,COLUMN())),OFFSET($BN$2,0,0,ROW()-1,60),ROW()-1,FALSE))</f>
        <v/>
      </c>
      <c r="S134" t="str">
        <f ca="1">IF(AND(ISNUMBER($S$337),$B$208=1),$S$337,HLOOKUP(INDIRECT(ADDRESS(2,COLUMN())),OFFSET($BN$2,0,0,ROW()-1,60),ROW()-1,FALSE))</f>
        <v/>
      </c>
      <c r="T134" t="str">
        <f ca="1">IF(AND(ISNUMBER($T$337),$B$208=1),$T$337,HLOOKUP(INDIRECT(ADDRESS(2,COLUMN())),OFFSET($BN$2,0,0,ROW()-1,60),ROW()-1,FALSE))</f>
        <v/>
      </c>
      <c r="U134" t="str">
        <f ca="1">IF(AND(ISNUMBER($U$337),$B$208=1),$U$337,HLOOKUP(INDIRECT(ADDRESS(2,COLUMN())),OFFSET($BN$2,0,0,ROW()-1,60),ROW()-1,FALSE))</f>
        <v/>
      </c>
      <c r="V134" t="str">
        <f ca="1">IF(AND(ISNUMBER($V$337),$B$208=1),$V$337,HLOOKUP(INDIRECT(ADDRESS(2,COLUMN())),OFFSET($BN$2,0,0,ROW()-1,60),ROW()-1,FALSE))</f>
        <v/>
      </c>
      <c r="W134" t="str">
        <f ca="1">IF(AND(ISNUMBER($W$337),$B$208=1),$W$337,HLOOKUP(INDIRECT(ADDRESS(2,COLUMN())),OFFSET($BN$2,0,0,ROW()-1,60),ROW()-1,FALSE))</f>
        <v/>
      </c>
      <c r="X134" t="str">
        <f ca="1">IF(AND(ISNUMBER($X$337),$B$208=1),$X$337,HLOOKUP(INDIRECT(ADDRESS(2,COLUMN())),OFFSET($BN$2,0,0,ROW()-1,60),ROW()-1,FALSE))</f>
        <v/>
      </c>
      <c r="Y134" t="str">
        <f ca="1">IF(AND(ISNUMBER($Y$337),$B$208=1),$Y$337,HLOOKUP(INDIRECT(ADDRESS(2,COLUMN())),OFFSET($BN$2,0,0,ROW()-1,60),ROW()-1,FALSE))</f>
        <v/>
      </c>
      <c r="Z134" t="str">
        <f ca="1">IF(AND(ISNUMBER($Z$337),$B$208=1),$Z$337,HLOOKUP(INDIRECT(ADDRESS(2,COLUMN())),OFFSET($BN$2,0,0,ROW()-1,60),ROW()-1,FALSE))</f>
        <v/>
      </c>
      <c r="AA134" t="str">
        <f ca="1">IF(AND(ISNUMBER($AA$337),$B$208=1),$AA$337,HLOOKUP(INDIRECT(ADDRESS(2,COLUMN())),OFFSET($BN$2,0,0,ROW()-1,60),ROW()-1,FALSE))</f>
        <v/>
      </c>
      <c r="AB134" t="str">
        <f ca="1">IF(AND(ISNUMBER($AB$337),$B$208=1),$AB$337,HLOOKUP(INDIRECT(ADDRESS(2,COLUMN())),OFFSET($BN$2,0,0,ROW()-1,60),ROW()-1,FALSE))</f>
        <v/>
      </c>
      <c r="AC134" t="str">
        <f ca="1">IF(AND(ISNUMBER($AC$337),$B$208=1),$AC$337,HLOOKUP(INDIRECT(ADDRESS(2,COLUMN())),OFFSET($BN$2,0,0,ROW()-1,60),ROW()-1,FALSE))</f>
        <v/>
      </c>
      <c r="AD134" t="str">
        <f ca="1">IF(AND(ISNUMBER($AD$337),$B$208=1),$AD$337,HLOOKUP(INDIRECT(ADDRESS(2,COLUMN())),OFFSET($BN$2,0,0,ROW()-1,60),ROW()-1,FALSE))</f>
        <v/>
      </c>
      <c r="AE134" t="str">
        <f ca="1">IF(AND(ISNUMBER($AE$337),$B$208=1),$AE$337,HLOOKUP(INDIRECT(ADDRESS(2,COLUMN())),OFFSET($BN$2,0,0,ROW()-1,60),ROW()-1,FALSE))</f>
        <v/>
      </c>
      <c r="AF134" t="str">
        <f ca="1">IF(AND(ISNUMBER($AF$337),$B$208=1),$AF$337,HLOOKUP(INDIRECT(ADDRESS(2,COLUMN())),OFFSET($BN$2,0,0,ROW()-1,60),ROW()-1,FALSE))</f>
        <v/>
      </c>
      <c r="AG134" t="str">
        <f ca="1">IF(AND(ISNUMBER($AG$337),$B$208=1),$AG$337,HLOOKUP(INDIRECT(ADDRESS(2,COLUMN())),OFFSET($BN$2,0,0,ROW()-1,60),ROW()-1,FALSE))</f>
        <v/>
      </c>
      <c r="AH134" t="str">
        <f ca="1">IF(AND(ISNUMBER($AH$337),$B$208=1),$AH$337,HLOOKUP(INDIRECT(ADDRESS(2,COLUMN())),OFFSET($BN$2,0,0,ROW()-1,60),ROW()-1,FALSE))</f>
        <v/>
      </c>
      <c r="AI134" t="str">
        <f ca="1">IF(AND(ISNUMBER($AI$337),$B$208=1),$AI$337,HLOOKUP(INDIRECT(ADDRESS(2,COLUMN())),OFFSET($BN$2,0,0,ROW()-1,60),ROW()-1,FALSE))</f>
        <v/>
      </c>
      <c r="AJ134" t="str">
        <f ca="1">IF(AND(ISNUMBER($AJ$337),$B$208=1),$AJ$337,HLOOKUP(INDIRECT(ADDRESS(2,COLUMN())),OFFSET($BN$2,0,0,ROW()-1,60),ROW()-1,FALSE))</f>
        <v/>
      </c>
      <c r="AK134" t="str">
        <f ca="1">IF(AND(ISNUMBER($AK$337),$B$208=1),$AK$337,HLOOKUP(INDIRECT(ADDRESS(2,COLUMN())),OFFSET($BN$2,0,0,ROW()-1,60),ROW()-1,FALSE))</f>
        <v/>
      </c>
      <c r="AL134" t="str">
        <f ca="1">IF(AND(ISNUMBER($AL$337),$B$208=1),$AL$337,HLOOKUP(INDIRECT(ADDRESS(2,COLUMN())),OFFSET($BN$2,0,0,ROW()-1,60),ROW()-1,FALSE))</f>
        <v/>
      </c>
      <c r="AM134" t="str">
        <f ca="1">IF(AND(ISNUMBER($AM$337),$B$208=1),$AM$337,HLOOKUP(INDIRECT(ADDRESS(2,COLUMN())),OFFSET($BN$2,0,0,ROW()-1,60),ROW()-1,FALSE))</f>
        <v/>
      </c>
      <c r="AN134" t="str">
        <f ca="1">IF(AND(ISNUMBER($AN$337),$B$208=1),$AN$337,HLOOKUP(INDIRECT(ADDRESS(2,COLUMN())),OFFSET($BN$2,0,0,ROW()-1,60),ROW()-1,FALSE))</f>
        <v/>
      </c>
      <c r="AO134" t="str">
        <f ca="1">IF(AND(ISNUMBER($AO$337),$B$208=1),$AO$337,HLOOKUP(INDIRECT(ADDRESS(2,COLUMN())),OFFSET($BN$2,0,0,ROW()-1,60),ROW()-1,FALSE))</f>
        <v/>
      </c>
      <c r="AP134" t="str">
        <f ca="1">IF(AND(ISNUMBER($AP$337),$B$208=1),$AP$337,HLOOKUP(INDIRECT(ADDRESS(2,COLUMN())),OFFSET($BN$2,0,0,ROW()-1,60),ROW()-1,FALSE))</f>
        <v/>
      </c>
      <c r="AQ134" t="str">
        <f ca="1">IF(AND(ISNUMBER($AQ$337),$B$208=1),$AQ$337,HLOOKUP(INDIRECT(ADDRESS(2,COLUMN())),OFFSET($BN$2,0,0,ROW()-1,60),ROW()-1,FALSE))</f>
        <v/>
      </c>
      <c r="AR134" t="str">
        <f ca="1">IF(AND(ISNUMBER($AR$337),$B$208=1),$AR$337,HLOOKUP(INDIRECT(ADDRESS(2,COLUMN())),OFFSET($BN$2,0,0,ROW()-1,60),ROW()-1,FALSE))</f>
        <v/>
      </c>
      <c r="AS134" t="str">
        <f ca="1">IF(AND(ISNUMBER($AS$337),$B$208=1),$AS$337,HLOOKUP(INDIRECT(ADDRESS(2,COLUMN())),OFFSET($BN$2,0,0,ROW()-1,60),ROW()-1,FALSE))</f>
        <v/>
      </c>
      <c r="AT134" t="str">
        <f ca="1">IF(AND(ISNUMBER($AT$337),$B$208=1),$AT$337,HLOOKUP(INDIRECT(ADDRESS(2,COLUMN())),OFFSET($BN$2,0,0,ROW()-1,60),ROW()-1,FALSE))</f>
        <v/>
      </c>
      <c r="AU134" t="str">
        <f ca="1">IF(AND(ISNUMBER($AU$337),$B$208=1),$AU$337,HLOOKUP(INDIRECT(ADDRESS(2,COLUMN())),OFFSET($BN$2,0,0,ROW()-1,60),ROW()-1,FALSE))</f>
        <v/>
      </c>
      <c r="AV134" t="str">
        <f ca="1">IF(AND(ISNUMBER($AV$337),$B$208=1),$AV$337,HLOOKUP(INDIRECT(ADDRESS(2,COLUMN())),OFFSET($BN$2,0,0,ROW()-1,60),ROW()-1,FALSE))</f>
        <v/>
      </c>
      <c r="AW134" t="str">
        <f ca="1">IF(AND(ISNUMBER($AW$337),$B$208=1),$AW$337,HLOOKUP(INDIRECT(ADDRESS(2,COLUMN())),OFFSET($BN$2,0,0,ROW()-1,60),ROW()-1,FALSE))</f>
        <v/>
      </c>
      <c r="AX134" t="str">
        <f ca="1">IF(AND(ISNUMBER($AX$337),$B$208=1),$AX$337,HLOOKUP(INDIRECT(ADDRESS(2,COLUMN())),OFFSET($BN$2,0,0,ROW()-1,60),ROW()-1,FALSE))</f>
        <v/>
      </c>
      <c r="AY134" t="str">
        <f ca="1">IF(AND(ISNUMBER($AY$337),$B$208=1),$AY$337,HLOOKUP(INDIRECT(ADDRESS(2,COLUMN())),OFFSET($BN$2,0,0,ROW()-1,60),ROW()-1,FALSE))</f>
        <v/>
      </c>
      <c r="AZ134" t="str">
        <f ca="1">IF(AND(ISNUMBER($AZ$337),$B$208=1),$AZ$337,HLOOKUP(INDIRECT(ADDRESS(2,COLUMN())),OFFSET($BN$2,0,0,ROW()-1,60),ROW()-1,FALSE))</f>
        <v/>
      </c>
      <c r="BA134" t="str">
        <f ca="1">IF(AND(ISNUMBER($BA$337),$B$208=1),$BA$337,HLOOKUP(INDIRECT(ADDRESS(2,COLUMN())),OFFSET($BN$2,0,0,ROW()-1,60),ROW()-1,FALSE))</f>
        <v/>
      </c>
      <c r="BB134" t="str">
        <f ca="1">IF(AND(ISNUMBER($BB$337),$B$208=1),$BB$337,HLOOKUP(INDIRECT(ADDRESS(2,COLUMN())),OFFSET($BN$2,0,0,ROW()-1,60),ROW()-1,FALSE))</f>
        <v/>
      </c>
      <c r="BC134" t="str">
        <f ca="1">IF(AND(ISNUMBER($BC$337),$B$208=1),$BC$337,HLOOKUP(INDIRECT(ADDRESS(2,COLUMN())),OFFSET($BN$2,0,0,ROW()-1,60),ROW()-1,FALSE))</f>
        <v/>
      </c>
      <c r="BD134" t="str">
        <f ca="1">IF(AND(ISNUMBER($BD$337),$B$208=1),$BD$337,HLOOKUP(INDIRECT(ADDRESS(2,COLUMN())),OFFSET($BN$2,0,0,ROW()-1,60),ROW()-1,FALSE))</f>
        <v/>
      </c>
      <c r="BE134" t="str">
        <f ca="1">IF(AND(ISNUMBER($BE$337),$B$208=1),$BE$337,HLOOKUP(INDIRECT(ADDRESS(2,COLUMN())),OFFSET($BN$2,0,0,ROW()-1,60),ROW()-1,FALSE))</f>
        <v/>
      </c>
      <c r="BF134" t="str">
        <f ca="1">IF(AND(ISNUMBER($BF$337),$B$208=1),$BF$337,HLOOKUP(INDIRECT(ADDRESS(2,COLUMN())),OFFSET($BN$2,0,0,ROW()-1,60),ROW()-1,FALSE))</f>
        <v/>
      </c>
      <c r="BG134" t="str">
        <f ca="1">IF(AND(ISNUMBER($BG$337),$B$208=1),$BG$337,HLOOKUP(INDIRECT(ADDRESS(2,COLUMN())),OFFSET($BN$2,0,0,ROW()-1,60),ROW()-1,FALSE))</f>
        <v/>
      </c>
      <c r="BH134" t="str">
        <f ca="1">IF(AND(ISNUMBER($BH$337),$B$208=1),$BH$337,HLOOKUP(INDIRECT(ADDRESS(2,COLUMN())),OFFSET($BN$2,0,0,ROW()-1,60),ROW()-1,FALSE))</f>
        <v/>
      </c>
      <c r="BI134" t="str">
        <f ca="1">IF(AND(ISNUMBER($BI$337),$B$208=1),$BI$337,HLOOKUP(INDIRECT(ADDRESS(2,COLUMN())),OFFSET($BN$2,0,0,ROW()-1,60),ROW()-1,FALSE))</f>
        <v/>
      </c>
      <c r="BJ134" t="str">
        <f ca="1">IF(AND(ISNUMBER($BJ$337),$B$208=1),$BJ$337,HLOOKUP(INDIRECT(ADDRESS(2,COLUMN())),OFFSET($BN$2,0,0,ROW()-1,60),ROW()-1,FALSE))</f>
        <v/>
      </c>
      <c r="BK134" t="str">
        <f ca="1">IF(AND(ISNUMBER($BK$337),$B$208=1),$BK$337,HLOOKUP(INDIRECT(ADDRESS(2,COLUMN())),OFFSET($BN$2,0,0,ROW()-1,60),ROW()-1,FALSE))</f>
        <v/>
      </c>
      <c r="BL134" t="str">
        <f ca="1">IF(AND(ISNUMBER($BL$337),$B$208=1),$BL$337,HLOOKUP(INDIRECT(ADDRESS(2,COLUMN())),OFFSET($BN$2,0,0,ROW()-1,60),ROW()-1,FALSE))</f>
        <v/>
      </c>
      <c r="BM134" t="str">
        <f ca="1">IF(AND(ISNUMBER($BM$337),$B$208=1),$BM$337,HLOOKUP(INDIRECT(ADDRESS(2,COLUMN())),OFFSET($BN$2,0,0,ROW()-1,60),ROW()-1,FALSE))</f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  <c r="BT134" t="str">
        <f>""</f>
        <v/>
      </c>
      <c r="BU134" t="str">
        <f>""</f>
        <v/>
      </c>
      <c r="BV134" t="str">
        <f>""</f>
        <v/>
      </c>
      <c r="BW134" t="str">
        <f>""</f>
        <v/>
      </c>
      <c r="BX134" t="str">
        <f>""</f>
        <v/>
      </c>
      <c r="BY134" t="str">
        <f>""</f>
        <v/>
      </c>
      <c r="BZ134" t="str">
        <f>""</f>
        <v/>
      </c>
      <c r="CA134" t="str">
        <f>""</f>
        <v/>
      </c>
      <c r="CB134" t="str">
        <f>""</f>
        <v/>
      </c>
      <c r="CC134" t="str">
        <f>""</f>
        <v/>
      </c>
      <c r="CD134" t="str">
        <f>""</f>
        <v/>
      </c>
      <c r="CE134" t="str">
        <f>""</f>
        <v/>
      </c>
      <c r="CF134" t="str">
        <f>""</f>
        <v/>
      </c>
      <c r="CG134" t="str">
        <f>""</f>
        <v/>
      </c>
      <c r="CH134" t="str">
        <f>""</f>
        <v/>
      </c>
      <c r="CI134" t="str">
        <f>""</f>
        <v/>
      </c>
      <c r="CJ134" t="str">
        <f>""</f>
        <v/>
      </c>
      <c r="CK134" t="str">
        <f>""</f>
        <v/>
      </c>
      <c r="CL134" t="str">
        <f>""</f>
        <v/>
      </c>
      <c r="CM134" t="str">
        <f>""</f>
        <v/>
      </c>
      <c r="CN134" t="str">
        <f>""</f>
        <v/>
      </c>
      <c r="CO134" t="str">
        <f>""</f>
        <v/>
      </c>
      <c r="CP134" t="str">
        <f>""</f>
        <v/>
      </c>
      <c r="CQ134" t="str">
        <f>""</f>
        <v/>
      </c>
      <c r="CR134" t="str">
        <f>""</f>
        <v/>
      </c>
      <c r="CS134" t="str">
        <f>""</f>
        <v/>
      </c>
      <c r="CT134" t="str">
        <f>""</f>
        <v/>
      </c>
      <c r="CU134" t="str">
        <f>""</f>
        <v/>
      </c>
      <c r="CV134" t="str">
        <f>""</f>
        <v/>
      </c>
      <c r="CW134" t="str">
        <f>""</f>
        <v/>
      </c>
      <c r="CX134" t="str">
        <f>""</f>
        <v/>
      </c>
      <c r="CY134" t="str">
        <f>""</f>
        <v/>
      </c>
      <c r="CZ134" t="str">
        <f>""</f>
        <v/>
      </c>
      <c r="DA134" t="str">
        <f>""</f>
        <v/>
      </c>
      <c r="DB134" t="str">
        <f>""</f>
        <v/>
      </c>
      <c r="DC134" t="str">
        <f>""</f>
        <v/>
      </c>
      <c r="DD134" t="str">
        <f>""</f>
        <v/>
      </c>
      <c r="DE134" t="str">
        <f>""</f>
        <v/>
      </c>
      <c r="DF134" t="str">
        <f>""</f>
        <v/>
      </c>
      <c r="DG134" t="str">
        <f>""</f>
        <v/>
      </c>
      <c r="DH134" t="str">
        <f>""</f>
        <v/>
      </c>
      <c r="DI134" t="str">
        <f>""</f>
        <v/>
      </c>
      <c r="DJ134" t="str">
        <f>""</f>
        <v/>
      </c>
      <c r="DK134" t="str">
        <f>""</f>
        <v/>
      </c>
      <c r="DL134" t="str">
        <f>""</f>
        <v/>
      </c>
      <c r="DM134" t="str">
        <f>""</f>
        <v/>
      </c>
      <c r="DN134" t="str">
        <f>""</f>
        <v/>
      </c>
      <c r="DO134" t="str">
        <f>""</f>
        <v/>
      </c>
      <c r="DP134" t="str">
        <f>""</f>
        <v/>
      </c>
      <c r="DQ134" t="str">
        <f>""</f>
        <v/>
      </c>
      <c r="DR134" t="str">
        <f>""</f>
        <v/>
      </c>
      <c r="DS134" t="str">
        <f>""</f>
        <v/>
      </c>
      <c r="DT134" t="str">
        <f>""</f>
        <v/>
      </c>
      <c r="DU134" t="str">
        <f>""</f>
        <v/>
      </c>
    </row>
    <row r="135" spans="1:125" x14ac:dyDescent="0.25">
      <c r="A135" t="str">
        <f>"    Erste Group Bank AG"</f>
        <v xml:space="preserve">    Erste Group Bank AG</v>
      </c>
      <c r="B135" t="str">
        <f>"EBS AV Equity"</f>
        <v>EBS AV Equity</v>
      </c>
      <c r="C135" t="str">
        <f t="shared" si="9"/>
        <v>BS016</v>
      </c>
      <c r="D135" t="str">
        <f t="shared" si="10"/>
        <v>BS_COMM_LOAN</v>
      </c>
      <c r="E135" t="str">
        <f t="shared" si="11"/>
        <v>Dynamic</v>
      </c>
      <c r="F135" t="str">
        <f ca="1">IF(AND(ISNUMBER($F$338),$B$208=1),$F$338,HLOOKUP(INDIRECT(ADDRESS(2,COLUMN())),OFFSET($BN$2,0,0,ROW()-1,60),ROW()-1,FALSE))</f>
        <v/>
      </c>
      <c r="G135">
        <f ca="1">IF(AND(ISNUMBER($G$338),$B$208=1),$G$338,HLOOKUP(INDIRECT(ADDRESS(2,COLUMN())),OFFSET($BN$2,0,0,ROW()-1,60),ROW()-1,FALSE))</f>
        <v>204790</v>
      </c>
      <c r="H135">
        <f ca="1">IF(AND(ISNUMBER($H$338),$B$208=1),$H$338,HLOOKUP(INDIRECT(ADDRESS(2,COLUMN())),OFFSET($BN$2,0,0,ROW()-1,60),ROW()-1,FALSE))</f>
        <v>202471</v>
      </c>
      <c r="I135">
        <f ca="1">IF(AND(ISNUMBER($I$338),$B$208=1),$I$338,HLOOKUP(INDIRECT(ADDRESS(2,COLUMN())),OFFSET($BN$2,0,0,ROW()-1,60),ROW()-1,FALSE))</f>
        <v>199570.00700000001</v>
      </c>
      <c r="J135">
        <f ca="1">IF(AND(ISNUMBER($J$338),$B$208=1),$J$338,HLOOKUP(INDIRECT(ADDRESS(2,COLUMN())),OFFSET($BN$2,0,0,ROW()-1,60),ROW()-1,FALSE))</f>
        <v>199241</v>
      </c>
      <c r="K135">
        <f ca="1">IF(AND(ISNUMBER($K$338),$B$208=1),$K$338,HLOOKUP(INDIRECT(ADDRESS(2,COLUMN())),OFFSET($BN$2,0,0,ROW()-1,60),ROW()-1,FALSE))</f>
        <v>197824.859</v>
      </c>
      <c r="L135">
        <f ca="1">IF(AND(ISNUMBER($L$338),$B$208=1),$L$338,HLOOKUP(INDIRECT(ADDRESS(2,COLUMN())),OFFSET($BN$2,0,0,ROW()-1,60),ROW()-1,FALSE))</f>
        <v>96471</v>
      </c>
      <c r="M135">
        <f ca="1">IF(AND(ISNUMBER($M$338),$B$208=1),$M$338,HLOOKUP(INDIRECT(ADDRESS(2,COLUMN())),OFFSET($BN$2,0,0,ROW()-1,60),ROW()-1,FALSE))</f>
        <v>194755.35200000001</v>
      </c>
      <c r="N135">
        <f ca="1">IF(AND(ISNUMBER($N$338),$B$208=1),$N$338,HLOOKUP(INDIRECT(ADDRESS(2,COLUMN())),OFFSET($BN$2,0,0,ROW()-1,60),ROW()-1,FALSE))</f>
        <v>194312.8</v>
      </c>
      <c r="O135">
        <f ca="1">IF(AND(ISNUMBER($O$338),$B$208=1),$O$338,HLOOKUP(INDIRECT(ADDRESS(2,COLUMN())),OFFSET($BN$2,0,0,ROW()-1,60),ROW()-1,FALSE))</f>
        <v>93206</v>
      </c>
      <c r="P135">
        <f ca="1">IF(AND(ISNUMBER($P$338),$B$208=1),$P$338,HLOOKUP(INDIRECT(ADDRESS(2,COLUMN())),OFFSET($BN$2,0,0,ROW()-1,60),ROW()-1,FALSE))</f>
        <v>88108</v>
      </c>
      <c r="Q135">
        <f ca="1">IF(AND(ISNUMBER($Q$338),$B$208=1),$Q$338,HLOOKUP(INDIRECT(ADDRESS(2,COLUMN())),OFFSET($BN$2,0,0,ROW()-1,60),ROW()-1,FALSE))</f>
        <v>84722.323000000004</v>
      </c>
      <c r="R135">
        <f ca="1">IF(AND(ISNUMBER($R$338),$B$208=1),$R$338,HLOOKUP(INDIRECT(ADDRESS(2,COLUMN())),OFFSET($BN$2,0,0,ROW()-1,60),ROW()-1,FALSE))</f>
        <v>173099.1</v>
      </c>
      <c r="S135">
        <f ca="1">IF(AND(ISNUMBER($S$338),$B$208=1),$S$338,HLOOKUP(INDIRECT(ADDRESS(2,COLUMN())),OFFSET($BN$2,0,0,ROW()-1,60),ROW()-1,FALSE))</f>
        <v>79517</v>
      </c>
      <c r="T135">
        <f ca="1">IF(AND(ISNUMBER($T$338),$B$208=1),$T$338,HLOOKUP(INDIRECT(ADDRESS(2,COLUMN())),OFFSET($BN$2,0,0,ROW()-1,60),ROW()-1,FALSE))</f>
        <v>77386</v>
      </c>
      <c r="U135">
        <f ca="1">IF(AND(ISNUMBER($U$338),$B$208=1),$U$338,HLOOKUP(INDIRECT(ADDRESS(2,COLUMN())),OFFSET($BN$2,0,0,ROW()-1,60),ROW()-1,FALSE))</f>
        <v>76089</v>
      </c>
      <c r="V135">
        <f ca="1">IF(AND(ISNUMBER($V$338),$B$208=1),$V$338,HLOOKUP(INDIRECT(ADDRESS(2,COLUMN())),OFFSET($BN$2,0,0,ROW()-1,60),ROW()-1,FALSE))</f>
        <v>159895.29999999999</v>
      </c>
      <c r="W135">
        <f ca="1">IF(AND(ISNUMBER($W$338),$B$208=1),$W$338,HLOOKUP(INDIRECT(ADDRESS(2,COLUMN())),OFFSET($BN$2,0,0,ROW()-1,60),ROW()-1,FALSE))</f>
        <v>74802</v>
      </c>
      <c r="X135">
        <f ca="1">IF(AND(ISNUMBER($X$338),$B$208=1),$X$338,HLOOKUP(INDIRECT(ADDRESS(2,COLUMN())),OFFSET($BN$2,0,0,ROW()-1,60),ROW()-1,FALSE))</f>
        <v>72799</v>
      </c>
      <c r="Y135">
        <f ca="1">IF(AND(ISNUMBER($Y$338),$B$208=1),$Y$338,HLOOKUP(INDIRECT(ADDRESS(2,COLUMN())),OFFSET($BN$2,0,0,ROW()-1,60),ROW()-1,FALSE))</f>
        <v>73390</v>
      </c>
      <c r="Z135">
        <f ca="1">IF(AND(ISNUMBER($Z$338),$B$208=1),$Z$338,HLOOKUP(INDIRECT(ADDRESS(2,COLUMN())),OFFSET($BN$2,0,0,ROW()-1,60),ROW()-1,FALSE))</f>
        <v>71386</v>
      </c>
      <c r="AA135">
        <f ca="1">IF(AND(ISNUMBER($AA$338),$B$208=1),$AA$338,HLOOKUP(INDIRECT(ADDRESS(2,COLUMN())),OFFSET($BN$2,0,0,ROW()-1,60),ROW()-1,FALSE))</f>
        <v>70994</v>
      </c>
      <c r="AB135">
        <f ca="1">IF(AND(ISNUMBER($AB$338),$B$208=1),$AB$338,HLOOKUP(INDIRECT(ADDRESS(2,COLUMN())),OFFSET($BN$2,0,0,ROW()-1,60),ROW()-1,FALSE))</f>
        <v>69601</v>
      </c>
      <c r="AC135">
        <f ca="1">IF(AND(ISNUMBER($AC$338),$B$208=1),$AC$338,HLOOKUP(INDIRECT(ADDRESS(2,COLUMN())),OFFSET($BN$2,0,0,ROW()-1,60),ROW()-1,FALSE))</f>
        <v>67981</v>
      </c>
      <c r="AD135">
        <f ca="1">IF(AND(ISNUMBER($AD$338),$B$208=1),$AD$338,HLOOKUP(INDIRECT(ADDRESS(2,COLUMN())),OFFSET($BN$2,0,0,ROW()-1,60),ROW()-1,FALSE))</f>
        <v>65562</v>
      </c>
      <c r="AE135">
        <f ca="1">IF(AND(ISNUMBER($AE$338),$B$208=1),$AE$338,HLOOKUP(INDIRECT(ADDRESS(2,COLUMN())),OFFSET($BN$2,0,0,ROW()-1,60),ROW()-1,FALSE))</f>
        <v>66216</v>
      </c>
      <c r="AF135">
        <f ca="1">IF(AND(ISNUMBER($AF$338),$B$208=1),$AF$338,HLOOKUP(INDIRECT(ADDRESS(2,COLUMN())),OFFSET($BN$2,0,0,ROW()-1,60),ROW()-1,FALSE))</f>
        <v>64727</v>
      </c>
      <c r="AG135">
        <f ca="1">IF(AND(ISNUMBER($AG$338),$B$208=1),$AG$338,HLOOKUP(INDIRECT(ADDRESS(2,COLUMN())),OFFSET($BN$2,0,0,ROW()-1,60),ROW()-1,FALSE))</f>
        <v>63799</v>
      </c>
      <c r="AH135">
        <f ca="1">IF(AND(ISNUMBER($AH$338),$B$208=1),$AH$338,HLOOKUP(INDIRECT(ADDRESS(2,COLUMN())),OFFSET($BN$2,0,0,ROW()-1,60),ROW()-1,FALSE))</f>
        <v>66292</v>
      </c>
      <c r="AI135">
        <f ca="1">IF(AND(ISNUMBER($AI$338),$B$208=1),$AI$338,HLOOKUP(INDIRECT(ADDRESS(2,COLUMN())),OFFSET($BN$2,0,0,ROW()-1,60),ROW()-1,FALSE))</f>
        <v>66015</v>
      </c>
      <c r="AJ135">
        <f ca="1">IF(AND(ISNUMBER($AJ$338),$B$208=1),$AJ$338,HLOOKUP(INDIRECT(ADDRESS(2,COLUMN())),OFFSET($BN$2,0,0,ROW()-1,60),ROW()-1,FALSE))</f>
        <v>64383</v>
      </c>
      <c r="AK135">
        <f ca="1">IF(AND(ISNUMBER($AK$338),$B$208=1),$AK$338,HLOOKUP(INDIRECT(ADDRESS(2,COLUMN())),OFFSET($BN$2,0,0,ROW()-1,60),ROW()-1,FALSE))</f>
        <v>63478</v>
      </c>
      <c r="AL135">
        <f ca="1">IF(AND(ISNUMBER($AL$338),$B$208=1),$AL$338,HLOOKUP(INDIRECT(ADDRESS(2,COLUMN())),OFFSET($BN$2,0,0,ROW()-1,60),ROW()-1,FALSE))</f>
        <v>61916</v>
      </c>
      <c r="AM135">
        <f ca="1">IF(AND(ISNUMBER($AM$338),$B$208=1),$AM$338,HLOOKUP(INDIRECT(ADDRESS(2,COLUMN())),OFFSET($BN$2,0,0,ROW()-1,60),ROW()-1,FALSE))</f>
        <v>61179</v>
      </c>
      <c r="AN135">
        <f ca="1">IF(AND(ISNUMBER($AN$338),$B$208=1),$AN$338,HLOOKUP(INDIRECT(ADDRESS(2,COLUMN())),OFFSET($BN$2,0,0,ROW()-1,60),ROW()-1,FALSE))</f>
        <v>60698</v>
      </c>
      <c r="AO135" t="str">
        <f ca="1">IF(AND(ISNUMBER($AO$338),$B$208=1),$AO$338,HLOOKUP(INDIRECT(ADDRESS(2,COLUMN())),OFFSET($BN$2,0,0,ROW()-1,60),ROW()-1,FALSE))</f>
        <v/>
      </c>
      <c r="AP135">
        <f ca="1">IF(AND(ISNUMBER($AP$338),$B$208=1),$AP$338,HLOOKUP(INDIRECT(ADDRESS(2,COLUMN())),OFFSET($BN$2,0,0,ROW()-1,60),ROW()-1,FALSE))</f>
        <v>61142</v>
      </c>
      <c r="AQ135" t="str">
        <f ca="1">IF(AND(ISNUMBER($AQ$338),$B$208=1),$AQ$338,HLOOKUP(INDIRECT(ADDRESS(2,COLUMN())),OFFSET($BN$2,0,0,ROW()-1,60),ROW()-1,FALSE))</f>
        <v/>
      </c>
      <c r="AR135" t="str">
        <f ca="1">IF(AND(ISNUMBER($AR$338),$B$208=1),$AR$338,HLOOKUP(INDIRECT(ADDRESS(2,COLUMN())),OFFSET($BN$2,0,0,ROW()-1,60),ROW()-1,FALSE))</f>
        <v/>
      </c>
      <c r="AS135" t="str">
        <f ca="1">IF(AND(ISNUMBER($AS$338),$B$208=1),$AS$338,HLOOKUP(INDIRECT(ADDRESS(2,COLUMN())),OFFSET($BN$2,0,0,ROW()-1,60),ROW()-1,FALSE))</f>
        <v/>
      </c>
      <c r="AT135" t="str">
        <f ca="1">IF(AND(ISNUMBER($AT$338),$B$208=1),$AT$338,HLOOKUP(INDIRECT(ADDRESS(2,COLUMN())),OFFSET($BN$2,0,0,ROW()-1,60),ROW()-1,FALSE))</f>
        <v/>
      </c>
      <c r="AU135" t="str">
        <f ca="1">IF(AND(ISNUMBER($AU$338),$B$208=1),$AU$338,HLOOKUP(INDIRECT(ADDRESS(2,COLUMN())),OFFSET($BN$2,0,0,ROW()-1,60),ROW()-1,FALSE))</f>
        <v/>
      </c>
      <c r="AV135" t="str">
        <f ca="1">IF(AND(ISNUMBER($AV$338),$B$208=1),$AV$338,HLOOKUP(INDIRECT(ADDRESS(2,COLUMN())),OFFSET($BN$2,0,0,ROW()-1,60),ROW()-1,FALSE))</f>
        <v/>
      </c>
      <c r="AW135" t="str">
        <f ca="1">IF(AND(ISNUMBER($AW$338),$B$208=1),$AW$338,HLOOKUP(INDIRECT(ADDRESS(2,COLUMN())),OFFSET($BN$2,0,0,ROW()-1,60),ROW()-1,FALSE))</f>
        <v/>
      </c>
      <c r="AX135" t="str">
        <f ca="1">IF(AND(ISNUMBER($AX$338),$B$208=1),$AX$338,HLOOKUP(INDIRECT(ADDRESS(2,COLUMN())),OFFSET($BN$2,0,0,ROW()-1,60),ROW()-1,FALSE))</f>
        <v/>
      </c>
      <c r="AY135">
        <f ca="1">IF(AND(ISNUMBER($AY$338),$B$208=1),$AY$338,HLOOKUP(INDIRECT(ADDRESS(2,COLUMN())),OFFSET($BN$2,0,0,ROW()-1,60),ROW()-1,FALSE))</f>
        <v>66398</v>
      </c>
      <c r="AZ135">
        <f ca="1">IF(AND(ISNUMBER($AZ$338),$B$208=1),$AZ$338,HLOOKUP(INDIRECT(ADDRESS(2,COLUMN())),OFFSET($BN$2,0,0,ROW()-1,60),ROW()-1,FALSE))</f>
        <v>67173</v>
      </c>
      <c r="BA135">
        <f ca="1">IF(AND(ISNUMBER($BA$338),$B$208=1),$BA$338,HLOOKUP(INDIRECT(ADDRESS(2,COLUMN())),OFFSET($BN$2,0,0,ROW()-1,60),ROW()-1,FALSE))</f>
        <v>68961</v>
      </c>
      <c r="BB135">
        <f ca="1">IF(AND(ISNUMBER($BB$338),$B$208=1),$BB$338,HLOOKUP(INDIRECT(ADDRESS(2,COLUMN())),OFFSET($BN$2,0,0,ROW()-1,60),ROW()-1,FALSE))</f>
        <v>69855</v>
      </c>
      <c r="BC135">
        <f ca="1">IF(AND(ISNUMBER($BC$338),$B$208=1),$BC$338,HLOOKUP(INDIRECT(ADDRESS(2,COLUMN())),OFFSET($BN$2,0,0,ROW()-1,60),ROW()-1,FALSE))</f>
        <v>71204</v>
      </c>
      <c r="BD135">
        <f ca="1">IF(AND(ISNUMBER($BD$338),$B$208=1),$BD$338,HLOOKUP(INDIRECT(ADDRESS(2,COLUMN())),OFFSET($BN$2,0,0,ROW()-1,60),ROW()-1,FALSE))</f>
        <v>71908</v>
      </c>
      <c r="BE135">
        <f ca="1">IF(AND(ISNUMBER($BE$338),$B$208=1),$BE$338,HLOOKUP(INDIRECT(ADDRESS(2,COLUMN())),OFFSET($BN$2,0,0,ROW()-1,60),ROW()-1,FALSE))</f>
        <v>72081</v>
      </c>
      <c r="BF135">
        <f ca="1">IF(AND(ISNUMBER($BF$338),$B$208=1),$BF$338,HLOOKUP(INDIRECT(ADDRESS(2,COLUMN())),OFFSET($BN$2,0,0,ROW()-1,60),ROW()-1,FALSE))</f>
        <v>71854</v>
      </c>
      <c r="BG135">
        <f ca="1">IF(AND(ISNUMBER($BG$338),$B$208=1),$BG$338,HLOOKUP(INDIRECT(ADDRESS(2,COLUMN())),OFFSET($BN$2,0,0,ROW()-1,60),ROW()-1,FALSE))</f>
        <v>72237</v>
      </c>
      <c r="BH135">
        <f ca="1">IF(AND(ISNUMBER($BH$338),$B$208=1),$BH$338,HLOOKUP(INDIRECT(ADDRESS(2,COLUMN())),OFFSET($BN$2,0,0,ROW()-1,60),ROW()-1,FALSE))</f>
        <v>71022</v>
      </c>
      <c r="BI135">
        <f ca="1">IF(AND(ISNUMBER($BI$338),$B$208=1),$BI$338,HLOOKUP(INDIRECT(ADDRESS(2,COLUMN())),OFFSET($BN$2,0,0,ROW()-1,60),ROW()-1,FALSE))</f>
        <v>70755</v>
      </c>
      <c r="BJ135">
        <f ca="1">IF(AND(ISNUMBER($BJ$338),$B$208=1),$BJ$338,HLOOKUP(INDIRECT(ADDRESS(2,COLUMN())),OFFSET($BN$2,0,0,ROW()-1,60),ROW()-1,FALSE))</f>
        <v>70518</v>
      </c>
      <c r="BK135">
        <f ca="1">IF(AND(ISNUMBER($BK$338),$B$208=1),$BK$338,HLOOKUP(INDIRECT(ADDRESS(2,COLUMN())),OFFSET($BN$2,0,0,ROW()-1,60),ROW()-1,FALSE))</f>
        <v>69956</v>
      </c>
      <c r="BL135">
        <f ca="1">IF(AND(ISNUMBER($BL$338),$B$208=1),$BL$338,HLOOKUP(INDIRECT(ADDRESS(2,COLUMN())),OFFSET($BN$2,0,0,ROW()-1,60),ROW()-1,FALSE))</f>
        <v>69949</v>
      </c>
      <c r="BM135" t="str">
        <f ca="1">IF(AND(ISNUMBER($BM$338),$B$208=1),$BM$338,HLOOKUP(INDIRECT(ADDRESS(2,COLUMN())),OFFSET($BN$2,0,0,ROW()-1,60),ROW()-1,FALSE))</f>
        <v/>
      </c>
      <c r="BN135" t="str">
        <f>""</f>
        <v/>
      </c>
      <c r="BO135">
        <f>204790</f>
        <v>204790</v>
      </c>
      <c r="BP135">
        <f>202471</f>
        <v>202471</v>
      </c>
      <c r="BQ135">
        <f>199570.007</f>
        <v>199570.00700000001</v>
      </c>
      <c r="BR135">
        <f>199241</f>
        <v>199241</v>
      </c>
      <c r="BS135">
        <f>197824.859</f>
        <v>197824.859</v>
      </c>
      <c r="BT135">
        <f>96471</f>
        <v>96471</v>
      </c>
      <c r="BU135">
        <f>194755.352</f>
        <v>194755.35200000001</v>
      </c>
      <c r="BV135">
        <f>194312.8</f>
        <v>194312.8</v>
      </c>
      <c r="BW135">
        <f>93206</f>
        <v>93206</v>
      </c>
      <c r="BX135">
        <f>88108</f>
        <v>88108</v>
      </c>
      <c r="BY135">
        <f>84722.323</f>
        <v>84722.323000000004</v>
      </c>
      <c r="BZ135">
        <f>173099.1</f>
        <v>173099.1</v>
      </c>
      <c r="CA135">
        <f>79517</f>
        <v>79517</v>
      </c>
      <c r="CB135">
        <f>77386</f>
        <v>77386</v>
      </c>
      <c r="CC135">
        <f>76089</f>
        <v>76089</v>
      </c>
      <c r="CD135">
        <f>159895.3</f>
        <v>159895.29999999999</v>
      </c>
      <c r="CE135">
        <f>74802</f>
        <v>74802</v>
      </c>
      <c r="CF135">
        <f>72799</f>
        <v>72799</v>
      </c>
      <c r="CG135">
        <f>73390</f>
        <v>73390</v>
      </c>
      <c r="CH135">
        <f>71386</f>
        <v>71386</v>
      </c>
      <c r="CI135">
        <f>70994</f>
        <v>70994</v>
      </c>
      <c r="CJ135">
        <f>69601</f>
        <v>69601</v>
      </c>
      <c r="CK135">
        <f>67981</f>
        <v>67981</v>
      </c>
      <c r="CL135">
        <f>65562</f>
        <v>65562</v>
      </c>
      <c r="CM135">
        <f>66216</f>
        <v>66216</v>
      </c>
      <c r="CN135">
        <f>64727</f>
        <v>64727</v>
      </c>
      <c r="CO135">
        <f>63799</f>
        <v>63799</v>
      </c>
      <c r="CP135">
        <f>66292</f>
        <v>66292</v>
      </c>
      <c r="CQ135">
        <f>66015</f>
        <v>66015</v>
      </c>
      <c r="CR135">
        <f>64383</f>
        <v>64383</v>
      </c>
      <c r="CS135">
        <f>63478</f>
        <v>63478</v>
      </c>
      <c r="CT135">
        <f>61916</f>
        <v>61916</v>
      </c>
      <c r="CU135">
        <f>61179</f>
        <v>61179</v>
      </c>
      <c r="CV135">
        <f>60698</f>
        <v>60698</v>
      </c>
      <c r="CW135" t="str">
        <f>""</f>
        <v/>
      </c>
      <c r="CX135">
        <f>61142</f>
        <v>61142</v>
      </c>
      <c r="CY135" t="str">
        <f>""</f>
        <v/>
      </c>
      <c r="CZ135" t="str">
        <f>""</f>
        <v/>
      </c>
      <c r="DA135" t="str">
        <f>""</f>
        <v/>
      </c>
      <c r="DB135" t="str">
        <f>""</f>
        <v/>
      </c>
      <c r="DC135" t="str">
        <f>""</f>
        <v/>
      </c>
      <c r="DD135" t="str">
        <f>""</f>
        <v/>
      </c>
      <c r="DE135" t="str">
        <f>""</f>
        <v/>
      </c>
      <c r="DF135" t="str">
        <f>""</f>
        <v/>
      </c>
      <c r="DG135">
        <f>66398</f>
        <v>66398</v>
      </c>
      <c r="DH135">
        <f>67173</f>
        <v>67173</v>
      </c>
      <c r="DI135">
        <f>68961</f>
        <v>68961</v>
      </c>
      <c r="DJ135">
        <f>69855</f>
        <v>69855</v>
      </c>
      <c r="DK135">
        <f>71204</f>
        <v>71204</v>
      </c>
      <c r="DL135">
        <f>71908</f>
        <v>71908</v>
      </c>
      <c r="DM135">
        <f>72081</f>
        <v>72081</v>
      </c>
      <c r="DN135">
        <f>71854</f>
        <v>71854</v>
      </c>
      <c r="DO135">
        <f>72237</f>
        <v>72237</v>
      </c>
      <c r="DP135">
        <f>71022</f>
        <v>71022</v>
      </c>
      <c r="DQ135">
        <f>70755</f>
        <v>70755</v>
      </c>
      <c r="DR135">
        <f>70518</f>
        <v>70518</v>
      </c>
      <c r="DS135">
        <f>69956</f>
        <v>69956</v>
      </c>
      <c r="DT135">
        <f>69949</f>
        <v>69949</v>
      </c>
      <c r="DU135" t="str">
        <f>""</f>
        <v/>
      </c>
    </row>
    <row r="136" spans="1:125" x14ac:dyDescent="0.25">
      <c r="A136" t="str">
        <f>"    FinecoBank Banca Fineco SpA"</f>
        <v xml:space="preserve">    FinecoBank Banca Fineco SpA</v>
      </c>
      <c r="B136" t="str">
        <f>"FBK IM Equity"</f>
        <v>FBK IM Equity</v>
      </c>
      <c r="C136" t="str">
        <f t="shared" si="9"/>
        <v>BS016</v>
      </c>
      <c r="D136" t="str">
        <f t="shared" si="10"/>
        <v>BS_COMM_LOAN</v>
      </c>
      <c r="E136" t="str">
        <f t="shared" si="11"/>
        <v>Dynamic</v>
      </c>
      <c r="F136" t="str">
        <f ca="1">IF(AND(ISNUMBER($F$339),$B$208=1),$F$339,HLOOKUP(INDIRECT(ADDRESS(2,COLUMN())),OFFSET($BN$2,0,0,ROW()-1,60),ROW()-1,FALSE))</f>
        <v/>
      </c>
      <c r="G136" t="str">
        <f ca="1">IF(AND(ISNUMBER($G$339),$B$208=1),$G$339,HLOOKUP(INDIRECT(ADDRESS(2,COLUMN())),OFFSET($BN$2,0,0,ROW()-1,60),ROW()-1,FALSE))</f>
        <v/>
      </c>
      <c r="H136" t="str">
        <f ca="1">IF(AND(ISNUMBER($H$339),$B$208=1),$H$339,HLOOKUP(INDIRECT(ADDRESS(2,COLUMN())),OFFSET($BN$2,0,0,ROW()-1,60),ROW()-1,FALSE))</f>
        <v/>
      </c>
      <c r="I136" t="str">
        <f ca="1">IF(AND(ISNUMBER($I$339),$B$208=1),$I$339,HLOOKUP(INDIRECT(ADDRESS(2,COLUMN())),OFFSET($BN$2,0,0,ROW()-1,60),ROW()-1,FALSE))</f>
        <v/>
      </c>
      <c r="J136" t="str">
        <f ca="1">IF(AND(ISNUMBER($J$339),$B$208=1),$J$339,HLOOKUP(INDIRECT(ADDRESS(2,COLUMN())),OFFSET($BN$2,0,0,ROW()-1,60),ROW()-1,FALSE))</f>
        <v/>
      </c>
      <c r="K136" t="str">
        <f ca="1">IF(AND(ISNUMBER($K$339),$B$208=1),$K$339,HLOOKUP(INDIRECT(ADDRESS(2,COLUMN())),OFFSET($BN$2,0,0,ROW()-1,60),ROW()-1,FALSE))</f>
        <v/>
      </c>
      <c r="L136" t="str">
        <f ca="1">IF(AND(ISNUMBER($L$339),$B$208=1),$L$339,HLOOKUP(INDIRECT(ADDRESS(2,COLUMN())),OFFSET($BN$2,0,0,ROW()-1,60),ROW()-1,FALSE))</f>
        <v/>
      </c>
      <c r="M136" t="str">
        <f ca="1">IF(AND(ISNUMBER($M$339),$B$208=1),$M$339,HLOOKUP(INDIRECT(ADDRESS(2,COLUMN())),OFFSET($BN$2,0,0,ROW()-1,60),ROW()-1,FALSE))</f>
        <v/>
      </c>
      <c r="N136" t="str">
        <f ca="1">IF(AND(ISNUMBER($N$339),$B$208=1),$N$339,HLOOKUP(INDIRECT(ADDRESS(2,COLUMN())),OFFSET($BN$2,0,0,ROW()-1,60),ROW()-1,FALSE))</f>
        <v/>
      </c>
      <c r="O136" t="str">
        <f ca="1">IF(AND(ISNUMBER($O$339),$B$208=1),$O$339,HLOOKUP(INDIRECT(ADDRESS(2,COLUMN())),OFFSET($BN$2,0,0,ROW()-1,60),ROW()-1,FALSE))</f>
        <v/>
      </c>
      <c r="P136" t="str">
        <f ca="1">IF(AND(ISNUMBER($P$339),$B$208=1),$P$339,HLOOKUP(INDIRECT(ADDRESS(2,COLUMN())),OFFSET($BN$2,0,0,ROW()-1,60),ROW()-1,FALSE))</f>
        <v/>
      </c>
      <c r="Q136" t="str">
        <f ca="1">IF(AND(ISNUMBER($Q$339),$B$208=1),$Q$339,HLOOKUP(INDIRECT(ADDRESS(2,COLUMN())),OFFSET($BN$2,0,0,ROW()-1,60),ROW()-1,FALSE))</f>
        <v/>
      </c>
      <c r="R136" t="str">
        <f ca="1">IF(AND(ISNUMBER($R$339),$B$208=1),$R$339,HLOOKUP(INDIRECT(ADDRESS(2,COLUMN())),OFFSET($BN$2,0,0,ROW()-1,60),ROW()-1,FALSE))</f>
        <v/>
      </c>
      <c r="S136" t="str">
        <f ca="1">IF(AND(ISNUMBER($S$339),$B$208=1),$S$339,HLOOKUP(INDIRECT(ADDRESS(2,COLUMN())),OFFSET($BN$2,0,0,ROW()-1,60),ROW()-1,FALSE))</f>
        <v/>
      </c>
      <c r="T136" t="str">
        <f ca="1">IF(AND(ISNUMBER($T$339),$B$208=1),$T$339,HLOOKUP(INDIRECT(ADDRESS(2,COLUMN())),OFFSET($BN$2,0,0,ROW()-1,60),ROW()-1,FALSE))</f>
        <v/>
      </c>
      <c r="U136" t="str">
        <f ca="1">IF(AND(ISNUMBER($U$339),$B$208=1),$U$339,HLOOKUP(INDIRECT(ADDRESS(2,COLUMN())),OFFSET($BN$2,0,0,ROW()-1,60),ROW()-1,FALSE))</f>
        <v/>
      </c>
      <c r="V136" t="str">
        <f ca="1">IF(AND(ISNUMBER($V$339),$B$208=1),$V$339,HLOOKUP(INDIRECT(ADDRESS(2,COLUMN())),OFFSET($BN$2,0,0,ROW()-1,60),ROW()-1,FALSE))</f>
        <v/>
      </c>
      <c r="W136" t="str">
        <f ca="1">IF(AND(ISNUMBER($W$339),$B$208=1),$W$339,HLOOKUP(INDIRECT(ADDRESS(2,COLUMN())),OFFSET($BN$2,0,0,ROW()-1,60),ROW()-1,FALSE))</f>
        <v/>
      </c>
      <c r="X136" t="str">
        <f ca="1">IF(AND(ISNUMBER($X$339),$B$208=1),$X$339,HLOOKUP(INDIRECT(ADDRESS(2,COLUMN())),OFFSET($BN$2,0,0,ROW()-1,60),ROW()-1,FALSE))</f>
        <v/>
      </c>
      <c r="Y136" t="str">
        <f ca="1">IF(AND(ISNUMBER($Y$339),$B$208=1),$Y$339,HLOOKUP(INDIRECT(ADDRESS(2,COLUMN())),OFFSET($BN$2,0,0,ROW()-1,60),ROW()-1,FALSE))</f>
        <v/>
      </c>
      <c r="Z136" t="str">
        <f ca="1">IF(AND(ISNUMBER($Z$339),$B$208=1),$Z$339,HLOOKUP(INDIRECT(ADDRESS(2,COLUMN())),OFFSET($BN$2,0,0,ROW()-1,60),ROW()-1,FALSE))</f>
        <v/>
      </c>
      <c r="AA136" t="str">
        <f ca="1">IF(AND(ISNUMBER($AA$339),$B$208=1),$AA$339,HLOOKUP(INDIRECT(ADDRESS(2,COLUMN())),OFFSET($BN$2,0,0,ROW()-1,60),ROW()-1,FALSE))</f>
        <v/>
      </c>
      <c r="AB136" t="str">
        <f ca="1">IF(AND(ISNUMBER($AB$339),$B$208=1),$AB$339,HLOOKUP(INDIRECT(ADDRESS(2,COLUMN())),OFFSET($BN$2,0,0,ROW()-1,60),ROW()-1,FALSE))</f>
        <v/>
      </c>
      <c r="AC136" t="str">
        <f ca="1">IF(AND(ISNUMBER($AC$339),$B$208=1),$AC$339,HLOOKUP(INDIRECT(ADDRESS(2,COLUMN())),OFFSET($BN$2,0,0,ROW()-1,60),ROW()-1,FALSE))</f>
        <v/>
      </c>
      <c r="AD136" t="str">
        <f ca="1">IF(AND(ISNUMBER($AD$339),$B$208=1),$AD$339,HLOOKUP(INDIRECT(ADDRESS(2,COLUMN())),OFFSET($BN$2,0,0,ROW()-1,60),ROW()-1,FALSE))</f>
        <v/>
      </c>
      <c r="AE136" t="str">
        <f ca="1">IF(AND(ISNUMBER($AE$339),$B$208=1),$AE$339,HLOOKUP(INDIRECT(ADDRESS(2,COLUMN())),OFFSET($BN$2,0,0,ROW()-1,60),ROW()-1,FALSE))</f>
        <v/>
      </c>
      <c r="AF136" t="str">
        <f ca="1">IF(AND(ISNUMBER($AF$339),$B$208=1),$AF$339,HLOOKUP(INDIRECT(ADDRESS(2,COLUMN())),OFFSET($BN$2,0,0,ROW()-1,60),ROW()-1,FALSE))</f>
        <v/>
      </c>
      <c r="AG136" t="str">
        <f ca="1">IF(AND(ISNUMBER($AG$339),$B$208=1),$AG$339,HLOOKUP(INDIRECT(ADDRESS(2,COLUMN())),OFFSET($BN$2,0,0,ROW()-1,60),ROW()-1,FALSE))</f>
        <v/>
      </c>
      <c r="AH136" t="str">
        <f ca="1">IF(AND(ISNUMBER($AH$339),$B$208=1),$AH$339,HLOOKUP(INDIRECT(ADDRESS(2,COLUMN())),OFFSET($BN$2,0,0,ROW()-1,60),ROW()-1,FALSE))</f>
        <v/>
      </c>
      <c r="AI136" t="str">
        <f ca="1">IF(AND(ISNUMBER($AI$339),$B$208=1),$AI$339,HLOOKUP(INDIRECT(ADDRESS(2,COLUMN())),OFFSET($BN$2,0,0,ROW()-1,60),ROW()-1,FALSE))</f>
        <v/>
      </c>
      <c r="AJ136" t="str">
        <f ca="1">IF(AND(ISNUMBER($AJ$339),$B$208=1),$AJ$339,HLOOKUP(INDIRECT(ADDRESS(2,COLUMN())),OFFSET($BN$2,0,0,ROW()-1,60),ROW()-1,FALSE))</f>
        <v/>
      </c>
      <c r="AK136" t="str">
        <f ca="1">IF(AND(ISNUMBER($AK$339),$B$208=1),$AK$339,HLOOKUP(INDIRECT(ADDRESS(2,COLUMN())),OFFSET($BN$2,0,0,ROW()-1,60),ROW()-1,FALSE))</f>
        <v/>
      </c>
      <c r="AL136" t="str">
        <f ca="1">IF(AND(ISNUMBER($AL$339),$B$208=1),$AL$339,HLOOKUP(INDIRECT(ADDRESS(2,COLUMN())),OFFSET($BN$2,0,0,ROW()-1,60),ROW()-1,FALSE))</f>
        <v/>
      </c>
      <c r="AM136" t="str">
        <f ca="1">IF(AND(ISNUMBER($AM$339),$B$208=1),$AM$339,HLOOKUP(INDIRECT(ADDRESS(2,COLUMN())),OFFSET($BN$2,0,0,ROW()-1,60),ROW()-1,FALSE))</f>
        <v/>
      </c>
      <c r="AN136" t="str">
        <f ca="1">IF(AND(ISNUMBER($AN$339),$B$208=1),$AN$339,HLOOKUP(INDIRECT(ADDRESS(2,COLUMN())),OFFSET($BN$2,0,0,ROW()-1,60),ROW()-1,FALSE))</f>
        <v/>
      </c>
      <c r="AO136" t="str">
        <f ca="1">IF(AND(ISNUMBER($AO$339),$B$208=1),$AO$339,HLOOKUP(INDIRECT(ADDRESS(2,COLUMN())),OFFSET($BN$2,0,0,ROW()-1,60),ROW()-1,FALSE))</f>
        <v/>
      </c>
      <c r="AP136" t="str">
        <f ca="1">IF(AND(ISNUMBER($AP$339),$B$208=1),$AP$339,HLOOKUP(INDIRECT(ADDRESS(2,COLUMN())),OFFSET($BN$2,0,0,ROW()-1,60),ROW()-1,FALSE))</f>
        <v/>
      </c>
      <c r="AQ136" t="str">
        <f ca="1">IF(AND(ISNUMBER($AQ$339),$B$208=1),$AQ$339,HLOOKUP(INDIRECT(ADDRESS(2,COLUMN())),OFFSET($BN$2,0,0,ROW()-1,60),ROW()-1,FALSE))</f>
        <v/>
      </c>
      <c r="AR136" t="str">
        <f ca="1">IF(AND(ISNUMBER($AR$339),$B$208=1),$AR$339,HLOOKUP(INDIRECT(ADDRESS(2,COLUMN())),OFFSET($BN$2,0,0,ROW()-1,60),ROW()-1,FALSE))</f>
        <v/>
      </c>
      <c r="AS136" t="str">
        <f ca="1">IF(AND(ISNUMBER($AS$339),$B$208=1),$AS$339,HLOOKUP(INDIRECT(ADDRESS(2,COLUMN())),OFFSET($BN$2,0,0,ROW()-1,60),ROW()-1,FALSE))</f>
        <v/>
      </c>
      <c r="AT136" t="str">
        <f ca="1">IF(AND(ISNUMBER($AT$339),$B$208=1),$AT$339,HLOOKUP(INDIRECT(ADDRESS(2,COLUMN())),OFFSET($BN$2,0,0,ROW()-1,60),ROW()-1,FALSE))</f>
        <v/>
      </c>
      <c r="AU136" t="str">
        <f ca="1">IF(AND(ISNUMBER($AU$339),$B$208=1),$AU$339,HLOOKUP(INDIRECT(ADDRESS(2,COLUMN())),OFFSET($BN$2,0,0,ROW()-1,60),ROW()-1,FALSE))</f>
        <v/>
      </c>
      <c r="AV136" t="str">
        <f ca="1">IF(AND(ISNUMBER($AV$339),$B$208=1),$AV$339,HLOOKUP(INDIRECT(ADDRESS(2,COLUMN())),OFFSET($BN$2,0,0,ROW()-1,60),ROW()-1,FALSE))</f>
        <v/>
      </c>
      <c r="AW136" t="str">
        <f ca="1">IF(AND(ISNUMBER($AW$339),$B$208=1),$AW$339,HLOOKUP(INDIRECT(ADDRESS(2,COLUMN())),OFFSET($BN$2,0,0,ROW()-1,60),ROW()-1,FALSE))</f>
        <v/>
      </c>
      <c r="AX136" t="str">
        <f ca="1">IF(AND(ISNUMBER($AX$339),$B$208=1),$AX$339,HLOOKUP(INDIRECT(ADDRESS(2,COLUMN())),OFFSET($BN$2,0,0,ROW()-1,60),ROW()-1,FALSE))</f>
        <v/>
      </c>
      <c r="AY136" t="str">
        <f ca="1">IF(AND(ISNUMBER($AY$339),$B$208=1),$AY$339,HLOOKUP(INDIRECT(ADDRESS(2,COLUMN())),OFFSET($BN$2,0,0,ROW()-1,60),ROW()-1,FALSE))</f>
        <v/>
      </c>
      <c r="AZ136" t="str">
        <f ca="1">IF(AND(ISNUMBER($AZ$339),$B$208=1),$AZ$339,HLOOKUP(INDIRECT(ADDRESS(2,COLUMN())),OFFSET($BN$2,0,0,ROW()-1,60),ROW()-1,FALSE))</f>
        <v/>
      </c>
      <c r="BA136" t="str">
        <f ca="1">IF(AND(ISNUMBER($BA$339),$B$208=1),$BA$339,HLOOKUP(INDIRECT(ADDRESS(2,COLUMN())),OFFSET($BN$2,0,0,ROW()-1,60),ROW()-1,FALSE))</f>
        <v/>
      </c>
      <c r="BB136" t="str">
        <f ca="1">IF(AND(ISNUMBER($BB$339),$B$208=1),$BB$339,HLOOKUP(INDIRECT(ADDRESS(2,COLUMN())),OFFSET($BN$2,0,0,ROW()-1,60),ROW()-1,FALSE))</f>
        <v/>
      </c>
      <c r="BC136" t="str">
        <f ca="1">IF(AND(ISNUMBER($BC$339),$B$208=1),$BC$339,HLOOKUP(INDIRECT(ADDRESS(2,COLUMN())),OFFSET($BN$2,0,0,ROW()-1,60),ROW()-1,FALSE))</f>
        <v/>
      </c>
      <c r="BD136" t="str">
        <f ca="1">IF(AND(ISNUMBER($BD$339),$B$208=1),$BD$339,HLOOKUP(INDIRECT(ADDRESS(2,COLUMN())),OFFSET($BN$2,0,0,ROW()-1,60),ROW()-1,FALSE))</f>
        <v/>
      </c>
      <c r="BE136" t="str">
        <f ca="1">IF(AND(ISNUMBER($BE$339),$B$208=1),$BE$339,HLOOKUP(INDIRECT(ADDRESS(2,COLUMN())),OFFSET($BN$2,0,0,ROW()-1,60),ROW()-1,FALSE))</f>
        <v/>
      </c>
      <c r="BF136" t="str">
        <f ca="1">IF(AND(ISNUMBER($BF$339),$B$208=1),$BF$339,HLOOKUP(INDIRECT(ADDRESS(2,COLUMN())),OFFSET($BN$2,0,0,ROW()-1,60),ROW()-1,FALSE))</f>
        <v/>
      </c>
      <c r="BG136" t="str">
        <f ca="1">IF(AND(ISNUMBER($BG$339),$B$208=1),$BG$339,HLOOKUP(INDIRECT(ADDRESS(2,COLUMN())),OFFSET($BN$2,0,0,ROW()-1,60),ROW()-1,FALSE))</f>
        <v/>
      </c>
      <c r="BH136" t="str">
        <f ca="1">IF(AND(ISNUMBER($BH$339),$B$208=1),$BH$339,HLOOKUP(INDIRECT(ADDRESS(2,COLUMN())),OFFSET($BN$2,0,0,ROW()-1,60),ROW()-1,FALSE))</f>
        <v/>
      </c>
      <c r="BI136" t="str">
        <f ca="1">IF(AND(ISNUMBER($BI$339),$B$208=1),$BI$339,HLOOKUP(INDIRECT(ADDRESS(2,COLUMN())),OFFSET($BN$2,0,0,ROW()-1,60),ROW()-1,FALSE))</f>
        <v/>
      </c>
      <c r="BJ136" t="str">
        <f ca="1">IF(AND(ISNUMBER($BJ$339),$B$208=1),$BJ$339,HLOOKUP(INDIRECT(ADDRESS(2,COLUMN())),OFFSET($BN$2,0,0,ROW()-1,60),ROW()-1,FALSE))</f>
        <v/>
      </c>
      <c r="BK136" t="str">
        <f ca="1">IF(AND(ISNUMBER($BK$339),$B$208=1),$BK$339,HLOOKUP(INDIRECT(ADDRESS(2,COLUMN())),OFFSET($BN$2,0,0,ROW()-1,60),ROW()-1,FALSE))</f>
        <v/>
      </c>
      <c r="BL136" t="str">
        <f ca="1">IF(AND(ISNUMBER($BL$339),$B$208=1),$BL$339,HLOOKUP(INDIRECT(ADDRESS(2,COLUMN())),OFFSET($BN$2,0,0,ROW()-1,60),ROW()-1,FALSE))</f>
        <v/>
      </c>
      <c r="BM136" t="str">
        <f ca="1">IF(AND(ISNUMBER($BM$339),$B$208=1),$BM$339,HLOOKUP(INDIRECT(ADDRESS(2,COLUMN())),OFFSET($BN$2,0,0,ROW()-1,60),ROW()-1,FALSE))</f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  <c r="BT136" t="str">
        <f>""</f>
        <v/>
      </c>
      <c r="BU136" t="str">
        <f>""</f>
        <v/>
      </c>
      <c r="BV136" t="str">
        <f>""</f>
        <v/>
      </c>
      <c r="BW136" t="str">
        <f>""</f>
        <v/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""</f>
        <v/>
      </c>
      <c r="CE136" t="str">
        <f>""</f>
        <v/>
      </c>
      <c r="CF136" t="str">
        <f>""</f>
        <v/>
      </c>
      <c r="CG136" t="str">
        <f>""</f>
        <v/>
      </c>
      <c r="CH136" t="str">
        <f>""</f>
        <v/>
      </c>
      <c r="CI136" t="str">
        <f>""</f>
        <v/>
      </c>
      <c r="CJ136" t="str">
        <f>""</f>
        <v/>
      </c>
      <c r="CK136" t="str">
        <f>""</f>
        <v/>
      </c>
      <c r="CL136" t="str">
        <f>""</f>
        <v/>
      </c>
      <c r="CM136" t="str">
        <f>""</f>
        <v/>
      </c>
      <c r="CN136" t="str">
        <f>""</f>
        <v/>
      </c>
      <c r="CO136" t="str">
        <f>""</f>
        <v/>
      </c>
      <c r="CP136" t="str">
        <f>""</f>
        <v/>
      </c>
      <c r="CQ136" t="str">
        <f>""</f>
        <v/>
      </c>
      <c r="CR136" t="str">
        <f>""</f>
        <v/>
      </c>
      <c r="CS136" t="str">
        <f>""</f>
        <v/>
      </c>
      <c r="CT136" t="str">
        <f>""</f>
        <v/>
      </c>
      <c r="CU136" t="str">
        <f>""</f>
        <v/>
      </c>
      <c r="CV136" t="str">
        <f>""</f>
        <v/>
      </c>
      <c r="CW136" t="str">
        <f>""</f>
        <v/>
      </c>
      <c r="CX136" t="str">
        <f>""</f>
        <v/>
      </c>
      <c r="CY136" t="str">
        <f>""</f>
        <v/>
      </c>
      <c r="CZ136" t="str">
        <f>""</f>
        <v/>
      </c>
      <c r="DA136" t="str">
        <f>""</f>
        <v/>
      </c>
      <c r="DB136" t="str">
        <f>""</f>
        <v/>
      </c>
      <c r="DC136" t="str">
        <f>""</f>
        <v/>
      </c>
      <c r="DD136" t="str">
        <f>""</f>
        <v/>
      </c>
      <c r="DE136" t="str">
        <f>""</f>
        <v/>
      </c>
      <c r="DF136" t="str">
        <f>""</f>
        <v/>
      </c>
      <c r="DG136" t="str">
        <f>""</f>
        <v/>
      </c>
      <c r="DH136" t="str">
        <f>""</f>
        <v/>
      </c>
      <c r="DI136" t="str">
        <f>""</f>
        <v/>
      </c>
      <c r="DJ136" t="str">
        <f>""</f>
        <v/>
      </c>
      <c r="DK136" t="str">
        <f>""</f>
        <v/>
      </c>
      <c r="DL136" t="str">
        <f>""</f>
        <v/>
      </c>
      <c r="DM136" t="str">
        <f>""</f>
        <v/>
      </c>
      <c r="DN136" t="str">
        <f>""</f>
        <v/>
      </c>
      <c r="DO136" t="str">
        <f>""</f>
        <v/>
      </c>
      <c r="DP136" t="str">
        <f>""</f>
        <v/>
      </c>
      <c r="DQ136" t="str">
        <f>""</f>
        <v/>
      </c>
      <c r="DR136" t="str">
        <f>""</f>
        <v/>
      </c>
      <c r="DS136" t="str">
        <f>""</f>
        <v/>
      </c>
      <c r="DT136" t="str">
        <f>""</f>
        <v/>
      </c>
      <c r="DU136" t="str">
        <f>""</f>
        <v/>
      </c>
    </row>
    <row r="137" spans="1:125" x14ac:dyDescent="0.25">
      <c r="A137" t="str">
        <f>"    HSBC Holdings PLC"</f>
        <v xml:space="preserve">    HSBC Holdings PLC</v>
      </c>
      <c r="B137" t="str">
        <f>"HSBA LN Equity"</f>
        <v>HSBA LN Equity</v>
      </c>
      <c r="C137" t="str">
        <f t="shared" si="9"/>
        <v>BS016</v>
      </c>
      <c r="D137" t="str">
        <f t="shared" si="10"/>
        <v>BS_COMM_LOAN</v>
      </c>
      <c r="E137" t="str">
        <f t="shared" si="11"/>
        <v>Dynamic</v>
      </c>
      <c r="F137">
        <f ca="1">IF(AND(ISNUMBER($F$340),$B$208=1),$F$340,HLOOKUP(INDIRECT(ADDRESS(2,COLUMN())),OFFSET($BN$2,0,0,ROW()-1,60),ROW()-1,FALSE))</f>
        <v>396834.4768</v>
      </c>
      <c r="G137" t="str">
        <f ca="1">IF(AND(ISNUMBER($G$340),$B$208=1),$G$340,HLOOKUP(INDIRECT(ADDRESS(2,COLUMN())),OFFSET($BN$2,0,0,ROW()-1,60),ROW()-1,FALSE))</f>
        <v/>
      </c>
      <c r="H137">
        <f ca="1">IF(AND(ISNUMBER($H$340),$B$208=1),$H$340,HLOOKUP(INDIRECT(ADDRESS(2,COLUMN())),OFFSET($BN$2,0,0,ROW()-1,60),ROW()-1,FALSE))</f>
        <v>467044.60619999998</v>
      </c>
      <c r="I137" t="str">
        <f ca="1">IF(AND(ISNUMBER($I$340),$B$208=1),$I$340,HLOOKUP(INDIRECT(ADDRESS(2,COLUMN())),OFFSET($BN$2,0,0,ROW()-1,60),ROW()-1,FALSE))</f>
        <v/>
      </c>
      <c r="J137">
        <f ca="1">IF(AND(ISNUMBER($J$340),$B$208=1),$J$340,HLOOKUP(INDIRECT(ADDRESS(2,COLUMN())),OFFSET($BN$2,0,0,ROW()-1,60),ROW()-1,FALSE))</f>
        <v>386528.38030000002</v>
      </c>
      <c r="K137" t="str">
        <f ca="1">IF(AND(ISNUMBER($K$340),$B$208=1),$K$340,HLOOKUP(INDIRECT(ADDRESS(2,COLUMN())),OFFSET($BN$2,0,0,ROW()-1,60),ROW()-1,FALSE))</f>
        <v/>
      </c>
      <c r="L137">
        <f ca="1">IF(AND(ISNUMBER($L$340),$B$208=1),$L$340,HLOOKUP(INDIRECT(ADDRESS(2,COLUMN())),OFFSET($BN$2,0,0,ROW()-1,60),ROW()-1,FALSE))</f>
        <v>404156.43890000001</v>
      </c>
      <c r="M137" t="str">
        <f ca="1">IF(AND(ISNUMBER($M$340),$B$208=1),$M$340,HLOOKUP(INDIRECT(ADDRESS(2,COLUMN())),OFFSET($BN$2,0,0,ROW()-1,60),ROW()-1,FALSE))</f>
        <v/>
      </c>
      <c r="N137">
        <f ca="1">IF(AND(ISNUMBER($N$340),$B$208=1),$N$340,HLOOKUP(INDIRECT(ADDRESS(2,COLUMN())),OFFSET($BN$2,0,0,ROW()-1,60),ROW()-1,FALSE))</f>
        <v>423118.28960000002</v>
      </c>
      <c r="O137" t="str">
        <f ca="1">IF(AND(ISNUMBER($O$340),$B$208=1),$O$340,HLOOKUP(INDIRECT(ADDRESS(2,COLUMN())),OFFSET($BN$2,0,0,ROW()-1,60),ROW()-1,FALSE))</f>
        <v/>
      </c>
      <c r="P137">
        <f ca="1">IF(AND(ISNUMBER($P$340),$B$208=1),$P$340,HLOOKUP(INDIRECT(ADDRESS(2,COLUMN())),OFFSET($BN$2,0,0,ROW()-1,60),ROW()-1,FALSE))</f>
        <v>486087.95189999999</v>
      </c>
      <c r="Q137" t="str">
        <f ca="1">IF(AND(ISNUMBER($Q$340),$B$208=1),$Q$340,HLOOKUP(INDIRECT(ADDRESS(2,COLUMN())),OFFSET($BN$2,0,0,ROW()-1,60),ROW()-1,FALSE))</f>
        <v/>
      </c>
      <c r="R137">
        <f ca="1">IF(AND(ISNUMBER($R$340),$B$208=1),$R$340,HLOOKUP(INDIRECT(ADDRESS(2,COLUMN())),OFFSET($BN$2,0,0,ROW()-1,60),ROW()-1,FALSE))</f>
        <v>451026.69949999999</v>
      </c>
      <c r="S137">
        <f ca="1">IF(AND(ISNUMBER($S$340),$B$208=1),$S$340,HLOOKUP(INDIRECT(ADDRESS(2,COLUMN())),OFFSET($BN$2,0,0,ROW()-1,60),ROW()-1,FALSE))</f>
        <v>444086.94150000002</v>
      </c>
      <c r="T137">
        <f ca="1">IF(AND(ISNUMBER($T$340),$B$208=1),$T$340,HLOOKUP(INDIRECT(ADDRESS(2,COLUMN())),OFFSET($BN$2,0,0,ROW()-1,60),ROW()-1,FALSE))</f>
        <v>439025.23420000001</v>
      </c>
      <c r="U137">
        <f ca="1">IF(AND(ISNUMBER($U$340),$B$208=1),$U$340,HLOOKUP(INDIRECT(ADDRESS(2,COLUMN())),OFFSET($BN$2,0,0,ROW()-1,60),ROW()-1,FALSE))</f>
        <v>445900.42550000001</v>
      </c>
      <c r="V137">
        <f ca="1">IF(AND(ISNUMBER($V$340),$B$208=1),$V$340,HLOOKUP(INDIRECT(ADDRESS(2,COLUMN())),OFFSET($BN$2,0,0,ROW()-1,60),ROW()-1,FALSE))</f>
        <v>431155.82819999999</v>
      </c>
      <c r="W137">
        <f ca="1">IF(AND(ISNUMBER($W$340),$B$208=1),$W$340,HLOOKUP(INDIRECT(ADDRESS(2,COLUMN())),OFFSET($BN$2,0,0,ROW()-1,60),ROW()-1,FALSE))</f>
        <v>454565.77380000002</v>
      </c>
      <c r="X137">
        <f ca="1">IF(AND(ISNUMBER($X$340),$B$208=1),$X$340,HLOOKUP(INDIRECT(ADDRESS(2,COLUMN())),OFFSET($BN$2,0,0,ROW()-1,60),ROW()-1,FALSE))</f>
        <v>480572.80089999997</v>
      </c>
      <c r="Y137">
        <f ca="1">IF(AND(ISNUMBER($Y$340),$B$208=1),$Y$340,HLOOKUP(INDIRECT(ADDRESS(2,COLUMN())),OFFSET($BN$2,0,0,ROW()-1,60),ROW()-1,FALSE))</f>
        <v>577572.69160000002</v>
      </c>
      <c r="Z137">
        <f ca="1">IF(AND(ISNUMBER($Z$340),$B$208=1),$Z$340,HLOOKUP(INDIRECT(ADDRESS(2,COLUMN())),OFFSET($BN$2,0,0,ROW()-1,60),ROW()-1,FALSE))</f>
        <v>481342.06069999997</v>
      </c>
      <c r="AA137">
        <f ca="1">IF(AND(ISNUMBER($AA$340),$B$208=1),$AA$340,HLOOKUP(INDIRECT(ADDRESS(2,COLUMN())),OFFSET($BN$2,0,0,ROW()-1,60),ROW()-1,FALSE))</f>
        <v>493461.4326</v>
      </c>
      <c r="AB137">
        <f ca="1">IF(AND(ISNUMBER($AB$340),$B$208=1),$AB$340,HLOOKUP(INDIRECT(ADDRESS(2,COLUMN())),OFFSET($BN$2,0,0,ROW()-1,60),ROW()-1,FALSE))</f>
        <v>481052.02919999999</v>
      </c>
      <c r="AC137">
        <f ca="1">IF(AND(ISNUMBER($AC$340),$B$208=1),$AC$340,HLOOKUP(INDIRECT(ADDRESS(2,COLUMN())),OFFSET($BN$2,0,0,ROW()-1,60),ROW()-1,FALSE))</f>
        <v>483823.1887</v>
      </c>
      <c r="AD137">
        <f ca="1">IF(AND(ISNUMBER($AD$340),$B$208=1),$AD$340,HLOOKUP(INDIRECT(ADDRESS(2,COLUMN())),OFFSET($BN$2,0,0,ROW()-1,60),ROW()-1,FALSE))</f>
        <v>466797.93920000002</v>
      </c>
      <c r="AE137">
        <f ca="1">IF(AND(ISNUMBER($AE$340),$B$208=1),$AE$340,HLOOKUP(INDIRECT(ADDRESS(2,COLUMN())),OFFSET($BN$2,0,0,ROW()-1,60),ROW()-1,FALSE))</f>
        <v>464277.59600000002</v>
      </c>
      <c r="AF137">
        <f ca="1">IF(AND(ISNUMBER($AF$340),$B$208=1),$AF$340,HLOOKUP(INDIRECT(ADDRESS(2,COLUMN())),OFFSET($BN$2,0,0,ROW()-1,60),ROW()-1,FALSE))</f>
        <v>461575.74719999998</v>
      </c>
      <c r="AG137">
        <f ca="1">IF(AND(ISNUMBER($AG$340),$B$208=1),$AG$340,HLOOKUP(INDIRECT(ADDRESS(2,COLUMN())),OFFSET($BN$2,0,0,ROW()-1,60),ROW()-1,FALSE))</f>
        <v>439734.72859999997</v>
      </c>
      <c r="AH137">
        <f ca="1">IF(AND(ISNUMBER($AH$340),$B$208=1),$AH$340,HLOOKUP(INDIRECT(ADDRESS(2,COLUMN())),OFFSET($BN$2,0,0,ROW()-1,60),ROW()-1,FALSE))</f>
        <v>494066.71100000001</v>
      </c>
      <c r="AI137">
        <f ca="1">IF(AND(ISNUMBER($AI$340),$B$208=1),$AI$340,HLOOKUP(INDIRECT(ADDRESS(2,COLUMN())),OFFSET($BN$2,0,0,ROW()-1,60),ROW()-1,FALSE))</f>
        <v>496038.2953</v>
      </c>
      <c r="AJ137">
        <f ca="1">IF(AND(ISNUMBER($AJ$340),$B$208=1),$AJ$340,HLOOKUP(INDIRECT(ADDRESS(2,COLUMN())),OFFSET($BN$2,0,0,ROW()-1,60),ROW()-1,FALSE))</f>
        <v>501606.06329999998</v>
      </c>
      <c r="AK137">
        <f ca="1">IF(AND(ISNUMBER($AK$340),$B$208=1),$AK$340,HLOOKUP(INDIRECT(ADDRESS(2,COLUMN())),OFFSET($BN$2,0,0,ROW()-1,60),ROW()-1,FALSE))</f>
        <v>505986.72529999999</v>
      </c>
      <c r="AL137">
        <f ca="1">IF(AND(ISNUMBER($AL$340),$B$208=1),$AL$340,HLOOKUP(INDIRECT(ADDRESS(2,COLUMN())),OFFSET($BN$2,0,0,ROW()-1,60),ROW()-1,FALSE))</f>
        <v>502091.59</v>
      </c>
      <c r="AM137">
        <f ca="1">IF(AND(ISNUMBER($AM$340),$B$208=1),$AM$340,HLOOKUP(INDIRECT(ADDRESS(2,COLUMN())),OFFSET($BN$2,0,0,ROW()-1,60),ROW()-1,FALSE))</f>
        <v>475537.0502</v>
      </c>
      <c r="AN137">
        <f ca="1">IF(AND(ISNUMBER($AN$340),$B$208=1),$AN$340,HLOOKUP(INDIRECT(ADDRESS(2,COLUMN())),OFFSET($BN$2,0,0,ROW()-1,60),ROW()-1,FALSE))</f>
        <v>484778.28950000001</v>
      </c>
      <c r="AO137">
        <f ca="1">IF(AND(ISNUMBER($AO$340),$B$208=1),$AO$340,HLOOKUP(INDIRECT(ADDRESS(2,COLUMN())),OFFSET($BN$2,0,0,ROW()-1,60),ROW()-1,FALSE))</f>
        <v>491975.2219</v>
      </c>
      <c r="AP137">
        <f ca="1">IF(AND(ISNUMBER($AP$340),$B$208=1),$AP$340,HLOOKUP(INDIRECT(ADDRESS(2,COLUMN())),OFFSET($BN$2,0,0,ROW()-1,60),ROW()-1,FALSE))</f>
        <v>515301.859</v>
      </c>
      <c r="AQ137">
        <f ca="1">IF(AND(ISNUMBER($AQ$340),$B$208=1),$AQ$340,HLOOKUP(INDIRECT(ADDRESS(2,COLUMN())),OFFSET($BN$2,0,0,ROW()-1,60),ROW()-1,FALSE))</f>
        <v>502336.79129999998</v>
      </c>
      <c r="AR137">
        <f ca="1">IF(AND(ISNUMBER($AR$340),$B$208=1),$AR$340,HLOOKUP(INDIRECT(ADDRESS(2,COLUMN())),OFFSET($BN$2,0,0,ROW()-1,60),ROW()-1,FALSE))</f>
        <v>518627.27519999997</v>
      </c>
      <c r="AS137">
        <f ca="1">IF(AND(ISNUMBER($AS$340),$B$208=1),$AS$340,HLOOKUP(INDIRECT(ADDRESS(2,COLUMN())),OFFSET($BN$2,0,0,ROW()-1,60),ROW()-1,FALSE))</f>
        <v>543903.80310000002</v>
      </c>
      <c r="AT137">
        <f ca="1">IF(AND(ISNUMBER($AT$340),$B$208=1),$AT$340,HLOOKUP(INDIRECT(ADDRESS(2,COLUMN())),OFFSET($BN$2,0,0,ROW()-1,60),ROW()-1,FALSE))</f>
        <v>488738.84299999999</v>
      </c>
      <c r="AU137">
        <f ca="1">IF(AND(ISNUMBER($AU$340),$B$208=1),$AU$340,HLOOKUP(INDIRECT(ADDRESS(2,COLUMN())),OFFSET($BN$2,0,0,ROW()-1,60),ROW()-1,FALSE))</f>
        <v>504145.22129999998</v>
      </c>
      <c r="AV137">
        <f ca="1">IF(AND(ISNUMBER($AV$340),$B$208=1),$AV$340,HLOOKUP(INDIRECT(ADDRESS(2,COLUMN())),OFFSET($BN$2,0,0,ROW()-1,60),ROW()-1,FALSE))</f>
        <v>469641.34399999998</v>
      </c>
      <c r="AW137">
        <f ca="1">IF(AND(ISNUMBER($AW$340),$B$208=1),$AW$340,HLOOKUP(INDIRECT(ADDRESS(2,COLUMN())),OFFSET($BN$2,0,0,ROW()-1,60),ROW()-1,FALSE))</f>
        <v>444158.4374</v>
      </c>
      <c r="AX137">
        <f ca="1">IF(AND(ISNUMBER($AX$340),$B$208=1),$AX$340,HLOOKUP(INDIRECT(ADDRESS(2,COLUMN())),OFFSET($BN$2,0,0,ROW()-1,60),ROW()-1,FALSE))</f>
        <v>494599.31829999998</v>
      </c>
      <c r="AY137">
        <f ca="1">IF(AND(ISNUMBER($AY$340),$B$208=1),$AY$340,HLOOKUP(INDIRECT(ADDRESS(2,COLUMN())),OFFSET($BN$2,0,0,ROW()-1,60),ROW()-1,FALSE))</f>
        <v>459881.75300000003</v>
      </c>
      <c r="AZ137">
        <f ca="1">IF(AND(ISNUMBER($AZ$340),$B$208=1),$AZ$340,HLOOKUP(INDIRECT(ADDRESS(2,COLUMN())),OFFSET($BN$2,0,0,ROW()-1,60),ROW()-1,FALSE))</f>
        <v>451340.2537</v>
      </c>
      <c r="BA137">
        <f ca="1">IF(AND(ISNUMBER($BA$340),$B$208=1),$BA$340,HLOOKUP(INDIRECT(ADDRESS(2,COLUMN())),OFFSET($BN$2,0,0,ROW()-1,60),ROW()-1,FALSE))</f>
        <v>447622.2794</v>
      </c>
      <c r="BB137">
        <f ca="1">IF(AND(ISNUMBER($BB$340),$B$208=1),$BB$340,HLOOKUP(INDIRECT(ADDRESS(2,COLUMN())),OFFSET($BN$2,0,0,ROW()-1,60),ROW()-1,FALSE))</f>
        <v>450671.36469999998</v>
      </c>
      <c r="BC137">
        <f ca="1">IF(AND(ISNUMBER($BC$340),$B$208=1),$BC$340,HLOOKUP(INDIRECT(ADDRESS(2,COLUMN())),OFFSET($BN$2,0,0,ROW()-1,60),ROW()-1,FALSE))</f>
        <v>469499.84470000002</v>
      </c>
      <c r="BD137">
        <f ca="1">IF(AND(ISNUMBER($BD$340),$B$208=1),$BD$340,HLOOKUP(INDIRECT(ADDRESS(2,COLUMN())),OFFSET($BN$2,0,0,ROW()-1,60),ROW()-1,FALSE))</f>
        <v>463802.071</v>
      </c>
      <c r="BE137">
        <f ca="1">IF(AND(ISNUMBER($BE$340),$B$208=1),$BE$340,HLOOKUP(INDIRECT(ADDRESS(2,COLUMN())),OFFSET($BN$2,0,0,ROW()-1,60),ROW()-1,FALSE))</f>
        <v>429216.1716</v>
      </c>
      <c r="BF137">
        <f ca="1">IF(AND(ISNUMBER($BF$340),$B$208=1),$BF$340,HLOOKUP(INDIRECT(ADDRESS(2,COLUMN())),OFFSET($BN$2,0,0,ROW()-1,60),ROW()-1,FALSE))</f>
        <v>431354.1667</v>
      </c>
      <c r="BG137">
        <f ca="1">IF(AND(ISNUMBER($BG$340),$B$208=1),$BG$340,HLOOKUP(INDIRECT(ADDRESS(2,COLUMN())),OFFSET($BN$2,0,0,ROW()-1,60),ROW()-1,FALSE))</f>
        <v>432058.14559999999</v>
      </c>
      <c r="BH137">
        <f ca="1">IF(AND(ISNUMBER($BH$340),$B$208=1),$BH$340,HLOOKUP(INDIRECT(ADDRESS(2,COLUMN())),OFFSET($BN$2,0,0,ROW()-1,60),ROW()-1,FALSE))</f>
        <v>421506.54719999997</v>
      </c>
      <c r="BI137">
        <f ca="1">IF(AND(ISNUMBER($BI$340),$B$208=1),$BI$340,HLOOKUP(INDIRECT(ADDRESS(2,COLUMN())),OFFSET($BN$2,0,0,ROW()-1,60),ROW()-1,FALSE))</f>
        <v>407631.43060000002</v>
      </c>
      <c r="BJ137">
        <f ca="1">IF(AND(ISNUMBER($BJ$340),$B$208=1),$BJ$340,HLOOKUP(INDIRECT(ADDRESS(2,COLUMN())),OFFSET($BN$2,0,0,ROW()-1,60),ROW()-1,FALSE))</f>
        <v>409424.65960000001</v>
      </c>
      <c r="BK137" t="str">
        <f ca="1">IF(AND(ISNUMBER($BK$340),$B$208=1),$BK$340,HLOOKUP(INDIRECT(ADDRESS(2,COLUMN())),OFFSET($BN$2,0,0,ROW()-1,60),ROW()-1,FALSE))</f>
        <v/>
      </c>
      <c r="BL137">
        <f ca="1">IF(AND(ISNUMBER($BL$340),$B$208=1),$BL$340,HLOOKUP(INDIRECT(ADDRESS(2,COLUMN())),OFFSET($BN$2,0,0,ROW()-1,60),ROW()-1,FALSE))</f>
        <v>407233.41759999999</v>
      </c>
      <c r="BM137" t="str">
        <f ca="1">IF(AND(ISNUMBER($BM$340),$B$208=1),$BM$340,HLOOKUP(INDIRECT(ADDRESS(2,COLUMN())),OFFSET($BN$2,0,0,ROW()-1,60),ROW()-1,FALSE))</f>
        <v/>
      </c>
      <c r="BN137">
        <f>396834.4768</f>
        <v>396834.4768</v>
      </c>
      <c r="BO137" t="str">
        <f>""</f>
        <v/>
      </c>
      <c r="BP137">
        <f>467044.6062</f>
        <v>467044.60619999998</v>
      </c>
      <c r="BQ137" t="str">
        <f>""</f>
        <v/>
      </c>
      <c r="BR137">
        <f>386528.3803</f>
        <v>386528.38030000002</v>
      </c>
      <c r="BS137" t="str">
        <f>""</f>
        <v/>
      </c>
      <c r="BT137">
        <f>404156.4389</f>
        <v>404156.43890000001</v>
      </c>
      <c r="BU137" t="str">
        <f>""</f>
        <v/>
      </c>
      <c r="BV137">
        <f>423118.2896</f>
        <v>423118.28960000002</v>
      </c>
      <c r="BW137" t="str">
        <f>""</f>
        <v/>
      </c>
      <c r="BX137">
        <f>486087.9519</f>
        <v>486087.95189999999</v>
      </c>
      <c r="BY137" t="str">
        <f>""</f>
        <v/>
      </c>
      <c r="BZ137">
        <f>451026.6995</f>
        <v>451026.69949999999</v>
      </c>
      <c r="CA137">
        <f>444086.9415</f>
        <v>444086.94150000002</v>
      </c>
      <c r="CB137">
        <f>439025.2342</f>
        <v>439025.23420000001</v>
      </c>
      <c r="CC137">
        <f>445900.4255</f>
        <v>445900.42550000001</v>
      </c>
      <c r="CD137">
        <f>431155.8282</f>
        <v>431155.82819999999</v>
      </c>
      <c r="CE137">
        <f>454565.7738</f>
        <v>454565.77380000002</v>
      </c>
      <c r="CF137">
        <f>480572.8009</f>
        <v>480572.80089999997</v>
      </c>
      <c r="CG137">
        <f>577572.6916</f>
        <v>577572.69160000002</v>
      </c>
      <c r="CH137">
        <f>481342.0607</f>
        <v>481342.06069999997</v>
      </c>
      <c r="CI137">
        <f>493461.4326</f>
        <v>493461.4326</v>
      </c>
      <c r="CJ137">
        <f>481052.0292</f>
        <v>481052.02919999999</v>
      </c>
      <c r="CK137">
        <f>483823.1887</f>
        <v>483823.1887</v>
      </c>
      <c r="CL137">
        <f>466797.9392</f>
        <v>466797.93920000002</v>
      </c>
      <c r="CM137">
        <f>464277.596</f>
        <v>464277.59600000002</v>
      </c>
      <c r="CN137">
        <f>461575.7472</f>
        <v>461575.74719999998</v>
      </c>
      <c r="CO137">
        <f>439734.7286</f>
        <v>439734.72859999997</v>
      </c>
      <c r="CP137">
        <f>494066.711</f>
        <v>494066.71100000001</v>
      </c>
      <c r="CQ137">
        <f>496038.2953</f>
        <v>496038.2953</v>
      </c>
      <c r="CR137">
        <f>501606.0633</f>
        <v>501606.06329999998</v>
      </c>
      <c r="CS137">
        <f>505986.7253</f>
        <v>505986.72529999999</v>
      </c>
      <c r="CT137">
        <f>502091.59</f>
        <v>502091.59</v>
      </c>
      <c r="CU137">
        <f>475537.0502</f>
        <v>475537.0502</v>
      </c>
      <c r="CV137">
        <f>484778.2895</f>
        <v>484778.28950000001</v>
      </c>
      <c r="CW137">
        <f>491975.2219</f>
        <v>491975.2219</v>
      </c>
      <c r="CX137">
        <f>515301.859</f>
        <v>515301.859</v>
      </c>
      <c r="CY137">
        <f>502336.7913</f>
        <v>502336.79129999998</v>
      </c>
      <c r="CZ137">
        <f>518627.2752</f>
        <v>518627.27519999997</v>
      </c>
      <c r="DA137">
        <f>543903.8031</f>
        <v>543903.80310000002</v>
      </c>
      <c r="DB137">
        <f>488738.843</f>
        <v>488738.84299999999</v>
      </c>
      <c r="DC137">
        <f>504145.2213</f>
        <v>504145.22129999998</v>
      </c>
      <c r="DD137">
        <f>469641.344</f>
        <v>469641.34399999998</v>
      </c>
      <c r="DE137">
        <f>444158.4374</f>
        <v>444158.4374</v>
      </c>
      <c r="DF137">
        <f>494599.3183</f>
        <v>494599.31829999998</v>
      </c>
      <c r="DG137">
        <f>459881.753</f>
        <v>459881.75300000003</v>
      </c>
      <c r="DH137">
        <f>451340.2537</f>
        <v>451340.2537</v>
      </c>
      <c r="DI137">
        <f>447622.2794</f>
        <v>447622.2794</v>
      </c>
      <c r="DJ137">
        <f>450671.3647</f>
        <v>450671.36469999998</v>
      </c>
      <c r="DK137">
        <f>469499.8447</f>
        <v>469499.84470000002</v>
      </c>
      <c r="DL137">
        <f>463802.071</f>
        <v>463802.071</v>
      </c>
      <c r="DM137">
        <f>429216.1716</f>
        <v>429216.1716</v>
      </c>
      <c r="DN137">
        <f>431354.1667</f>
        <v>431354.1667</v>
      </c>
      <c r="DO137">
        <f>432058.1456</f>
        <v>432058.14559999999</v>
      </c>
      <c r="DP137">
        <f>421506.5472</f>
        <v>421506.54719999997</v>
      </c>
      <c r="DQ137">
        <f>407631.4306</f>
        <v>407631.43060000002</v>
      </c>
      <c r="DR137">
        <f>409424.6596</f>
        <v>409424.65960000001</v>
      </c>
      <c r="DS137" t="str">
        <f>""</f>
        <v/>
      </c>
      <c r="DT137">
        <f>407233.4176</f>
        <v>407233.41759999999</v>
      </c>
      <c r="DU137" t="str">
        <f>""</f>
        <v/>
      </c>
    </row>
    <row r="138" spans="1:125" x14ac:dyDescent="0.25">
      <c r="A138" t="str">
        <f>"    ING Groep NV"</f>
        <v xml:space="preserve">    ING Groep NV</v>
      </c>
      <c r="B138" t="str">
        <f>"INGA NA Equity"</f>
        <v>INGA NA Equity</v>
      </c>
      <c r="C138" t="str">
        <f t="shared" si="9"/>
        <v>BS016</v>
      </c>
      <c r="D138" t="str">
        <f t="shared" si="10"/>
        <v>BS_COMM_LOAN</v>
      </c>
      <c r="E138" t="str">
        <f t="shared" si="11"/>
        <v>Dynamic</v>
      </c>
      <c r="F138">
        <f ca="1">IF(AND(ISNUMBER($F$341),$B$208=1),$F$341,HLOOKUP(INDIRECT(ADDRESS(2,COLUMN())),OFFSET($BN$2,0,0,ROW()-1,60),ROW()-1,FALSE))</f>
        <v>285393</v>
      </c>
      <c r="G138" t="str">
        <f ca="1">IF(AND(ISNUMBER($G$341),$B$208=1),$G$341,HLOOKUP(INDIRECT(ADDRESS(2,COLUMN())),OFFSET($BN$2,0,0,ROW()-1,60),ROW()-1,FALSE))</f>
        <v/>
      </c>
      <c r="H138">
        <f ca="1">IF(AND(ISNUMBER($H$341),$B$208=1),$H$341,HLOOKUP(INDIRECT(ADDRESS(2,COLUMN())),OFFSET($BN$2,0,0,ROW()-1,60),ROW()-1,FALSE))</f>
        <v>276394</v>
      </c>
      <c r="I138" t="str">
        <f ca="1">IF(AND(ISNUMBER($I$341),$B$208=1),$I$341,HLOOKUP(INDIRECT(ADDRESS(2,COLUMN())),OFFSET($BN$2,0,0,ROW()-1,60),ROW()-1,FALSE))</f>
        <v/>
      </c>
      <c r="J138">
        <f ca="1">IF(AND(ISNUMBER($J$341),$B$208=1),$J$341,HLOOKUP(INDIRECT(ADDRESS(2,COLUMN())),OFFSET($BN$2,0,0,ROW()-1,60),ROW()-1,FALSE))</f>
        <v>272472</v>
      </c>
      <c r="K138" t="str">
        <f ca="1">IF(AND(ISNUMBER($K$341),$B$208=1),$K$341,HLOOKUP(INDIRECT(ADDRESS(2,COLUMN())),OFFSET($BN$2,0,0,ROW()-1,60),ROW()-1,FALSE))</f>
        <v/>
      </c>
      <c r="L138">
        <f ca="1">IF(AND(ISNUMBER($L$341),$B$208=1),$L$341,HLOOKUP(INDIRECT(ADDRESS(2,COLUMN())),OFFSET($BN$2,0,0,ROW()-1,60),ROW()-1,FALSE))</f>
        <v>276556</v>
      </c>
      <c r="M138" t="str">
        <f ca="1">IF(AND(ISNUMBER($M$341),$B$208=1),$M$341,HLOOKUP(INDIRECT(ADDRESS(2,COLUMN())),OFFSET($BN$2,0,0,ROW()-1,60),ROW()-1,FALSE))</f>
        <v/>
      </c>
      <c r="N138">
        <f ca="1">IF(AND(ISNUMBER($N$341),$B$208=1),$N$341,HLOOKUP(INDIRECT(ADDRESS(2,COLUMN())),OFFSET($BN$2,0,0,ROW()-1,60),ROW()-1,FALSE))</f>
        <v>279169</v>
      </c>
      <c r="O138" t="str">
        <f ca="1">IF(AND(ISNUMBER($O$341),$B$208=1),$O$341,HLOOKUP(INDIRECT(ADDRESS(2,COLUMN())),OFFSET($BN$2,0,0,ROW()-1,60),ROW()-1,FALSE))</f>
        <v/>
      </c>
      <c r="P138">
        <f ca="1">IF(AND(ISNUMBER($P$341),$B$208=1),$P$341,HLOOKUP(INDIRECT(ADDRESS(2,COLUMN())),OFFSET($BN$2,0,0,ROW()-1,60),ROW()-1,FALSE))</f>
        <v>277335</v>
      </c>
      <c r="Q138" t="str">
        <f ca="1">IF(AND(ISNUMBER($Q$341),$B$208=1),$Q$341,HLOOKUP(INDIRECT(ADDRESS(2,COLUMN())),OFFSET($BN$2,0,0,ROW()-1,60),ROW()-1,FALSE))</f>
        <v/>
      </c>
      <c r="R138">
        <f ca="1">IF(AND(ISNUMBER($R$341),$B$208=1),$R$341,HLOOKUP(INDIRECT(ADDRESS(2,COLUMN())),OFFSET($BN$2,0,0,ROW()-1,60),ROW()-1,FALSE))</f>
        <v>190930</v>
      </c>
      <c r="S138" t="str">
        <f ca="1">IF(AND(ISNUMBER($S$341),$B$208=1),$S$341,HLOOKUP(INDIRECT(ADDRESS(2,COLUMN())),OFFSET($BN$2,0,0,ROW()-1,60),ROW()-1,FALSE))</f>
        <v/>
      </c>
      <c r="T138">
        <f ca="1">IF(AND(ISNUMBER($T$341),$B$208=1),$T$341,HLOOKUP(INDIRECT(ADDRESS(2,COLUMN())),OFFSET($BN$2,0,0,ROW()-1,60),ROW()-1,FALSE))</f>
        <v>181453</v>
      </c>
      <c r="U138" t="str">
        <f ca="1">IF(AND(ISNUMBER($U$341),$B$208=1),$U$341,HLOOKUP(INDIRECT(ADDRESS(2,COLUMN())),OFFSET($BN$2,0,0,ROW()-1,60),ROW()-1,FALSE))</f>
        <v/>
      </c>
      <c r="V138">
        <f ca="1">IF(AND(ISNUMBER($V$341),$B$208=1),$V$341,HLOOKUP(INDIRECT(ADDRESS(2,COLUMN())),OFFSET($BN$2,0,0,ROW()-1,60),ROW()-1,FALSE))</f>
        <v>173121</v>
      </c>
      <c r="W138" t="str">
        <f ca="1">IF(AND(ISNUMBER($W$341),$B$208=1),$W$341,HLOOKUP(INDIRECT(ADDRESS(2,COLUMN())),OFFSET($BN$2,0,0,ROW()-1,60),ROW()-1,FALSE))</f>
        <v/>
      </c>
      <c r="X138">
        <f ca="1">IF(AND(ISNUMBER($X$341),$B$208=1),$X$341,HLOOKUP(INDIRECT(ADDRESS(2,COLUMN())),OFFSET($BN$2,0,0,ROW()-1,60),ROW()-1,FALSE))</f>
        <v>194511</v>
      </c>
      <c r="Y138" t="str">
        <f ca="1">IF(AND(ISNUMBER($Y$341),$B$208=1),$Y$341,HLOOKUP(INDIRECT(ADDRESS(2,COLUMN())),OFFSET($BN$2,0,0,ROW()-1,60),ROW()-1,FALSE))</f>
        <v/>
      </c>
      <c r="Z138">
        <f ca="1">IF(AND(ISNUMBER($Z$341),$B$208=1),$Z$341,HLOOKUP(INDIRECT(ADDRESS(2,COLUMN())),OFFSET($BN$2,0,0,ROW()-1,60),ROW()-1,FALSE))</f>
        <v>189878</v>
      </c>
      <c r="AA138" t="str">
        <f ca="1">IF(AND(ISNUMBER($AA$341),$B$208=1),$AA$341,HLOOKUP(INDIRECT(ADDRESS(2,COLUMN())),OFFSET($BN$2,0,0,ROW()-1,60),ROW()-1,FALSE))</f>
        <v/>
      </c>
      <c r="AB138">
        <f ca="1">IF(AND(ISNUMBER($AB$341),$B$208=1),$AB$341,HLOOKUP(INDIRECT(ADDRESS(2,COLUMN())),OFFSET($BN$2,0,0,ROW()-1,60),ROW()-1,FALSE))</f>
        <v>195801</v>
      </c>
      <c r="AC138" t="str">
        <f ca="1">IF(AND(ISNUMBER($AC$341),$B$208=1),$AC$341,HLOOKUP(INDIRECT(ADDRESS(2,COLUMN())),OFFSET($BN$2,0,0,ROW()-1,60),ROW()-1,FALSE))</f>
        <v/>
      </c>
      <c r="AD138">
        <f ca="1">IF(AND(ISNUMBER($AD$341),$B$208=1),$AD$341,HLOOKUP(INDIRECT(ADDRESS(2,COLUMN())),OFFSET($BN$2,0,0,ROW()-1,60),ROW()-1,FALSE))</f>
        <v>187000</v>
      </c>
      <c r="AE138" t="str">
        <f ca="1">IF(AND(ISNUMBER($AE$341),$B$208=1),$AE$341,HLOOKUP(INDIRECT(ADDRESS(2,COLUMN())),OFFSET($BN$2,0,0,ROW()-1,60),ROW()-1,FALSE))</f>
        <v/>
      </c>
      <c r="AF138">
        <f ca="1">IF(AND(ISNUMBER($AF$341),$B$208=1),$AF$341,HLOOKUP(INDIRECT(ADDRESS(2,COLUMN())),OFFSET($BN$2,0,0,ROW()-1,60),ROW()-1,FALSE))</f>
        <v>190443</v>
      </c>
      <c r="AG138" t="str">
        <f ca="1">IF(AND(ISNUMBER($AG$341),$B$208=1),$AG$341,HLOOKUP(INDIRECT(ADDRESS(2,COLUMN())),OFFSET($BN$2,0,0,ROW()-1,60),ROW()-1,FALSE))</f>
        <v/>
      </c>
      <c r="AH138">
        <f ca="1">IF(AND(ISNUMBER($AH$341),$B$208=1),$AH$341,HLOOKUP(INDIRECT(ADDRESS(2,COLUMN())),OFFSET($BN$2,0,0,ROW()-1,60),ROW()-1,FALSE))</f>
        <v>178669</v>
      </c>
      <c r="AI138" t="str">
        <f ca="1">IF(AND(ISNUMBER($AI$341),$B$208=1),$AI$341,HLOOKUP(INDIRECT(ADDRESS(2,COLUMN())),OFFSET($BN$2,0,0,ROW()-1,60),ROW()-1,FALSE))</f>
        <v/>
      </c>
      <c r="AJ138">
        <f ca="1">IF(AND(ISNUMBER($AJ$341),$B$208=1),$AJ$341,HLOOKUP(INDIRECT(ADDRESS(2,COLUMN())),OFFSET($BN$2,0,0,ROW()-1,60),ROW()-1,FALSE))</f>
        <v>178007</v>
      </c>
      <c r="AK138" t="str">
        <f ca="1">IF(AND(ISNUMBER($AK$341),$B$208=1),$AK$341,HLOOKUP(INDIRECT(ADDRESS(2,COLUMN())),OFFSET($BN$2,0,0,ROW()-1,60),ROW()-1,FALSE))</f>
        <v/>
      </c>
      <c r="AL138">
        <f ca="1">IF(AND(ISNUMBER($AL$341),$B$208=1),$AL$341,HLOOKUP(INDIRECT(ADDRESS(2,COLUMN())),OFFSET($BN$2,0,0,ROW()-1,60),ROW()-1,FALSE))</f>
        <v>176205</v>
      </c>
      <c r="AM138" t="str">
        <f ca="1">IF(AND(ISNUMBER($AM$341),$B$208=1),$AM$341,HLOOKUP(INDIRECT(ADDRESS(2,COLUMN())),OFFSET($BN$2,0,0,ROW()-1,60),ROW()-1,FALSE))</f>
        <v/>
      </c>
      <c r="AN138">
        <f ca="1">IF(AND(ISNUMBER($AN$341),$B$208=1),$AN$341,HLOOKUP(INDIRECT(ADDRESS(2,COLUMN())),OFFSET($BN$2,0,0,ROW()-1,60),ROW()-1,FALSE))</f>
        <v>183186</v>
      </c>
      <c r="AO138" t="str">
        <f ca="1">IF(AND(ISNUMBER($AO$341),$B$208=1),$AO$341,HLOOKUP(INDIRECT(ADDRESS(2,COLUMN())),OFFSET($BN$2,0,0,ROW()-1,60),ROW()-1,FALSE))</f>
        <v/>
      </c>
      <c r="AP138">
        <f ca="1">IF(AND(ISNUMBER($AP$341),$B$208=1),$AP$341,HLOOKUP(INDIRECT(ADDRESS(2,COLUMN())),OFFSET($BN$2,0,0,ROW()-1,60),ROW()-1,FALSE))</f>
        <v>316231</v>
      </c>
      <c r="AQ138">
        <f ca="1">IF(AND(ISNUMBER($AQ$341),$B$208=1),$AQ$341,HLOOKUP(INDIRECT(ADDRESS(2,COLUMN())),OFFSET($BN$2,0,0,ROW()-1,60),ROW()-1,FALSE))</f>
        <v>162224</v>
      </c>
      <c r="AR138">
        <f ca="1">IF(AND(ISNUMBER($AR$341),$B$208=1),$AR$341,HLOOKUP(INDIRECT(ADDRESS(2,COLUMN())),OFFSET($BN$2,0,0,ROW()-1,60),ROW()-1,FALSE))</f>
        <v>173463</v>
      </c>
      <c r="AS138">
        <f ca="1">IF(AND(ISNUMBER($AS$341),$B$208=1),$AS$341,HLOOKUP(INDIRECT(ADDRESS(2,COLUMN())),OFFSET($BN$2,0,0,ROW()-1,60),ROW()-1,FALSE))</f>
        <v>168395</v>
      </c>
      <c r="AT138">
        <f ca="1">IF(AND(ISNUMBER($AT$341),$B$208=1),$AT$341,HLOOKUP(INDIRECT(ADDRESS(2,COLUMN())),OFFSET($BN$2,0,0,ROW()-1,60),ROW()-1,FALSE))</f>
        <v>151031</v>
      </c>
      <c r="AU138">
        <f ca="1">IF(AND(ISNUMBER($AU$341),$B$208=1),$AU$341,HLOOKUP(INDIRECT(ADDRESS(2,COLUMN())),OFFSET($BN$2,0,0,ROW()-1,60),ROW()-1,FALSE))</f>
        <v>156925</v>
      </c>
      <c r="AV138">
        <f ca="1">IF(AND(ISNUMBER($AV$341),$B$208=1),$AV$341,HLOOKUP(INDIRECT(ADDRESS(2,COLUMN())),OFFSET($BN$2,0,0,ROW()-1,60),ROW()-1,FALSE))</f>
        <v>150168</v>
      </c>
      <c r="AW138">
        <f ca="1">IF(AND(ISNUMBER($AW$341),$B$208=1),$AW$341,HLOOKUP(INDIRECT(ADDRESS(2,COLUMN())),OFFSET($BN$2,0,0,ROW()-1,60),ROW()-1,FALSE))</f>
        <v>148485</v>
      </c>
      <c r="AX138">
        <f ca="1">IF(AND(ISNUMBER($AX$341),$B$208=1),$AX$341,HLOOKUP(INDIRECT(ADDRESS(2,COLUMN())),OFFSET($BN$2,0,0,ROW()-1,60),ROW()-1,FALSE))</f>
        <v>143772</v>
      </c>
      <c r="AY138">
        <f ca="1">IF(AND(ISNUMBER($AY$341),$B$208=1),$AY$341,HLOOKUP(INDIRECT(ADDRESS(2,COLUMN())),OFFSET($BN$2,0,0,ROW()-1,60),ROW()-1,FALSE))</f>
        <v>144208</v>
      </c>
      <c r="AZ138">
        <f ca="1">IF(AND(ISNUMBER($AZ$341),$B$208=1),$AZ$341,HLOOKUP(INDIRECT(ADDRESS(2,COLUMN())),OFFSET($BN$2,0,0,ROW()-1,60),ROW()-1,FALSE))</f>
        <v>149397</v>
      </c>
      <c r="BA138">
        <f ca="1">IF(AND(ISNUMBER($BA$341),$B$208=1),$BA$341,HLOOKUP(INDIRECT(ADDRESS(2,COLUMN())),OFFSET($BN$2,0,0,ROW()-1,60),ROW()-1,FALSE))</f>
        <v>154014</v>
      </c>
      <c r="BB138" t="str">
        <f ca="1">IF(AND(ISNUMBER($BB$341),$B$208=1),$BB$341,HLOOKUP(INDIRECT(ADDRESS(2,COLUMN())),OFFSET($BN$2,0,0,ROW()-1,60),ROW()-1,FALSE))</f>
        <v/>
      </c>
      <c r="BC138">
        <f ca="1">IF(AND(ISNUMBER($BC$341),$B$208=1),$BC$341,HLOOKUP(INDIRECT(ADDRESS(2,COLUMN())),OFFSET($BN$2,0,0,ROW()-1,60),ROW()-1,FALSE))</f>
        <v>153301</v>
      </c>
      <c r="BD138" t="str">
        <f ca="1">IF(AND(ISNUMBER($BD$341),$B$208=1),$BD$341,HLOOKUP(INDIRECT(ADDRESS(2,COLUMN())),OFFSET($BN$2,0,0,ROW()-1,60),ROW()-1,FALSE))</f>
        <v/>
      </c>
      <c r="BE138">
        <f ca="1">IF(AND(ISNUMBER($BE$341),$B$208=1),$BE$341,HLOOKUP(INDIRECT(ADDRESS(2,COLUMN())),OFFSET($BN$2,0,0,ROW()-1,60),ROW()-1,FALSE))</f>
        <v>154779</v>
      </c>
      <c r="BF138">
        <f ca="1">IF(AND(ISNUMBER($BF$341),$B$208=1),$BF$341,HLOOKUP(INDIRECT(ADDRESS(2,COLUMN())),OFFSET($BN$2,0,0,ROW()-1,60),ROW()-1,FALSE))</f>
        <v>152560</v>
      </c>
      <c r="BG138">
        <f ca="1">IF(AND(ISNUMBER($BG$341),$B$208=1),$BG$341,HLOOKUP(INDIRECT(ADDRESS(2,COLUMN())),OFFSET($BN$2,0,0,ROW()-1,60),ROW()-1,FALSE))</f>
        <v>152903</v>
      </c>
      <c r="BH138">
        <f ca="1">IF(AND(ISNUMBER($BH$341),$B$208=1),$BH$341,HLOOKUP(INDIRECT(ADDRESS(2,COLUMN())),OFFSET($BN$2,0,0,ROW()-1,60),ROW()-1,FALSE))</f>
        <v>151294</v>
      </c>
      <c r="BI138">
        <f ca="1">IF(AND(ISNUMBER($BI$341),$B$208=1),$BI$341,HLOOKUP(INDIRECT(ADDRESS(2,COLUMN())),OFFSET($BN$2,0,0,ROW()-1,60),ROW()-1,FALSE))</f>
        <v>152279</v>
      </c>
      <c r="BJ138">
        <f ca="1">IF(AND(ISNUMBER($BJ$341),$B$208=1),$BJ$341,HLOOKUP(INDIRECT(ADDRESS(2,COLUMN())),OFFSET($BN$2,0,0,ROW()-1,60),ROW()-1,FALSE))</f>
        <v>154509</v>
      </c>
      <c r="BK138">
        <f ca="1">IF(AND(ISNUMBER($BK$341),$B$208=1),$BK$341,HLOOKUP(INDIRECT(ADDRESS(2,COLUMN())),OFFSET($BN$2,0,0,ROW()-1,60),ROW()-1,FALSE))</f>
        <v>156745</v>
      </c>
      <c r="BL138">
        <f ca="1">IF(AND(ISNUMBER($BL$341),$B$208=1),$BL$341,HLOOKUP(INDIRECT(ADDRESS(2,COLUMN())),OFFSET($BN$2,0,0,ROW()-1,60),ROW()-1,FALSE))</f>
        <v>162295</v>
      </c>
      <c r="BM138" t="str">
        <f ca="1">IF(AND(ISNUMBER($BM$341),$B$208=1),$BM$341,HLOOKUP(INDIRECT(ADDRESS(2,COLUMN())),OFFSET($BN$2,0,0,ROW()-1,60),ROW()-1,FALSE))</f>
        <v/>
      </c>
      <c r="BN138">
        <f>285393</f>
        <v>285393</v>
      </c>
      <c r="BO138" t="str">
        <f>""</f>
        <v/>
      </c>
      <c r="BP138">
        <f>276394</f>
        <v>276394</v>
      </c>
      <c r="BQ138" t="str">
        <f>""</f>
        <v/>
      </c>
      <c r="BR138">
        <f>272472</f>
        <v>272472</v>
      </c>
      <c r="BS138" t="str">
        <f>""</f>
        <v/>
      </c>
      <c r="BT138">
        <f>276556</f>
        <v>276556</v>
      </c>
      <c r="BU138" t="str">
        <f>""</f>
        <v/>
      </c>
      <c r="BV138">
        <f>279169</f>
        <v>279169</v>
      </c>
      <c r="BW138" t="str">
        <f>""</f>
        <v/>
      </c>
      <c r="BX138">
        <f>277335</f>
        <v>277335</v>
      </c>
      <c r="BY138" t="str">
        <f>""</f>
        <v/>
      </c>
      <c r="BZ138">
        <f>190930</f>
        <v>190930</v>
      </c>
      <c r="CA138" t="str">
        <f>""</f>
        <v/>
      </c>
      <c r="CB138">
        <f>181453</f>
        <v>181453</v>
      </c>
      <c r="CC138" t="str">
        <f>""</f>
        <v/>
      </c>
      <c r="CD138">
        <f>173121</f>
        <v>173121</v>
      </c>
      <c r="CE138" t="str">
        <f>""</f>
        <v/>
      </c>
      <c r="CF138">
        <f>194511</f>
        <v>194511</v>
      </c>
      <c r="CG138" t="str">
        <f>""</f>
        <v/>
      </c>
      <c r="CH138">
        <f>189878</f>
        <v>189878</v>
      </c>
      <c r="CI138" t="str">
        <f>""</f>
        <v/>
      </c>
      <c r="CJ138">
        <f>195801</f>
        <v>195801</v>
      </c>
      <c r="CK138" t="str">
        <f>""</f>
        <v/>
      </c>
      <c r="CL138">
        <f>187000</f>
        <v>187000</v>
      </c>
      <c r="CM138" t="str">
        <f>""</f>
        <v/>
      </c>
      <c r="CN138">
        <f>190443</f>
        <v>190443</v>
      </c>
      <c r="CO138" t="str">
        <f>""</f>
        <v/>
      </c>
      <c r="CP138">
        <f>178669</f>
        <v>178669</v>
      </c>
      <c r="CQ138" t="str">
        <f>""</f>
        <v/>
      </c>
      <c r="CR138">
        <f>178007</f>
        <v>178007</v>
      </c>
      <c r="CS138" t="str">
        <f>""</f>
        <v/>
      </c>
      <c r="CT138">
        <f>176205</f>
        <v>176205</v>
      </c>
      <c r="CU138" t="str">
        <f>""</f>
        <v/>
      </c>
      <c r="CV138">
        <f>183186</f>
        <v>183186</v>
      </c>
      <c r="CW138" t="str">
        <f>""</f>
        <v/>
      </c>
      <c r="CX138">
        <f>316231</f>
        <v>316231</v>
      </c>
      <c r="CY138">
        <f>162224</f>
        <v>162224</v>
      </c>
      <c r="CZ138">
        <f>173463</f>
        <v>173463</v>
      </c>
      <c r="DA138">
        <f>168395</f>
        <v>168395</v>
      </c>
      <c r="DB138">
        <f>151031</f>
        <v>151031</v>
      </c>
      <c r="DC138">
        <f>156925</f>
        <v>156925</v>
      </c>
      <c r="DD138">
        <f>150168</f>
        <v>150168</v>
      </c>
      <c r="DE138">
        <f>148485</f>
        <v>148485</v>
      </c>
      <c r="DF138">
        <f>143772</f>
        <v>143772</v>
      </c>
      <c r="DG138">
        <f>144208</f>
        <v>144208</v>
      </c>
      <c r="DH138">
        <f>149397</f>
        <v>149397</v>
      </c>
      <c r="DI138">
        <f>154014</f>
        <v>154014</v>
      </c>
      <c r="DJ138" t="str">
        <f>""</f>
        <v/>
      </c>
      <c r="DK138">
        <f>153301</f>
        <v>153301</v>
      </c>
      <c r="DL138" t="str">
        <f>""</f>
        <v/>
      </c>
      <c r="DM138">
        <f>154779</f>
        <v>154779</v>
      </c>
      <c r="DN138">
        <f>152560</f>
        <v>152560</v>
      </c>
      <c r="DO138">
        <f>152903</f>
        <v>152903</v>
      </c>
      <c r="DP138">
        <f>151294</f>
        <v>151294</v>
      </c>
      <c r="DQ138">
        <f>152279</f>
        <v>152279</v>
      </c>
      <c r="DR138">
        <f>154509</f>
        <v>154509</v>
      </c>
      <c r="DS138">
        <f>156745</f>
        <v>156745</v>
      </c>
      <c r="DT138">
        <f>162295</f>
        <v>162295</v>
      </c>
      <c r="DU138" t="str">
        <f>""</f>
        <v/>
      </c>
    </row>
    <row r="139" spans="1:125" x14ac:dyDescent="0.25">
      <c r="A139" t="str">
        <f>"    Intesa Sanpaolo SpA"</f>
        <v xml:space="preserve">    Intesa Sanpaolo SpA</v>
      </c>
      <c r="B139" t="str">
        <f>"ISP IM Equity"</f>
        <v>ISP IM Equity</v>
      </c>
      <c r="C139" t="str">
        <f t="shared" si="9"/>
        <v>BS016</v>
      </c>
      <c r="D139" t="str">
        <f t="shared" si="10"/>
        <v>BS_COMM_LOAN</v>
      </c>
      <c r="E139" t="str">
        <f t="shared" si="11"/>
        <v>Dynamic</v>
      </c>
      <c r="F139" t="str">
        <f ca="1">IF(AND(ISNUMBER($F$342),$B$208=1),$F$342,HLOOKUP(INDIRECT(ADDRESS(2,COLUMN())),OFFSET($BN$2,0,0,ROW()-1,60),ROW()-1,FALSE))</f>
        <v/>
      </c>
      <c r="G139" t="str">
        <f ca="1">IF(AND(ISNUMBER($G$342),$B$208=1),$G$342,HLOOKUP(INDIRECT(ADDRESS(2,COLUMN())),OFFSET($BN$2,0,0,ROW()-1,60),ROW()-1,FALSE))</f>
        <v/>
      </c>
      <c r="H139" t="str">
        <f ca="1">IF(AND(ISNUMBER($H$342),$B$208=1),$H$342,HLOOKUP(INDIRECT(ADDRESS(2,COLUMN())),OFFSET($BN$2,0,0,ROW()-1,60),ROW()-1,FALSE))</f>
        <v/>
      </c>
      <c r="I139" t="str">
        <f ca="1">IF(AND(ISNUMBER($I$342),$B$208=1),$I$342,HLOOKUP(INDIRECT(ADDRESS(2,COLUMN())),OFFSET($BN$2,0,0,ROW()-1,60),ROW()-1,FALSE))</f>
        <v/>
      </c>
      <c r="J139" t="str">
        <f ca="1">IF(AND(ISNUMBER($J$342),$B$208=1),$J$342,HLOOKUP(INDIRECT(ADDRESS(2,COLUMN())),OFFSET($BN$2,0,0,ROW()-1,60),ROW()-1,FALSE))</f>
        <v/>
      </c>
      <c r="K139" t="str">
        <f ca="1">IF(AND(ISNUMBER($K$342),$B$208=1),$K$342,HLOOKUP(INDIRECT(ADDRESS(2,COLUMN())),OFFSET($BN$2,0,0,ROW()-1,60),ROW()-1,FALSE))</f>
        <v/>
      </c>
      <c r="L139" t="str">
        <f ca="1">IF(AND(ISNUMBER($L$342),$B$208=1),$L$342,HLOOKUP(INDIRECT(ADDRESS(2,COLUMN())),OFFSET($BN$2,0,0,ROW()-1,60),ROW()-1,FALSE))</f>
        <v/>
      </c>
      <c r="M139" t="str">
        <f ca="1">IF(AND(ISNUMBER($M$342),$B$208=1),$M$342,HLOOKUP(INDIRECT(ADDRESS(2,COLUMN())),OFFSET($BN$2,0,0,ROW()-1,60),ROW()-1,FALSE))</f>
        <v/>
      </c>
      <c r="N139" t="str">
        <f ca="1">IF(AND(ISNUMBER($N$342),$B$208=1),$N$342,HLOOKUP(INDIRECT(ADDRESS(2,COLUMN())),OFFSET($BN$2,0,0,ROW()-1,60),ROW()-1,FALSE))</f>
        <v/>
      </c>
      <c r="O139" t="str">
        <f ca="1">IF(AND(ISNUMBER($O$342),$B$208=1),$O$342,HLOOKUP(INDIRECT(ADDRESS(2,COLUMN())),OFFSET($BN$2,0,0,ROW()-1,60),ROW()-1,FALSE))</f>
        <v/>
      </c>
      <c r="P139" t="str">
        <f ca="1">IF(AND(ISNUMBER($P$342),$B$208=1),$P$342,HLOOKUP(INDIRECT(ADDRESS(2,COLUMN())),OFFSET($BN$2,0,0,ROW()-1,60),ROW()-1,FALSE))</f>
        <v/>
      </c>
      <c r="Q139" t="str">
        <f ca="1">IF(AND(ISNUMBER($Q$342),$B$208=1),$Q$342,HLOOKUP(INDIRECT(ADDRESS(2,COLUMN())),OFFSET($BN$2,0,0,ROW()-1,60),ROW()-1,FALSE))</f>
        <v/>
      </c>
      <c r="R139" t="str">
        <f ca="1">IF(AND(ISNUMBER($R$342),$B$208=1),$R$342,HLOOKUP(INDIRECT(ADDRESS(2,COLUMN())),OFFSET($BN$2,0,0,ROW()-1,60),ROW()-1,FALSE))</f>
        <v/>
      </c>
      <c r="S139" t="str">
        <f ca="1">IF(AND(ISNUMBER($S$342),$B$208=1),$S$342,HLOOKUP(INDIRECT(ADDRESS(2,COLUMN())),OFFSET($BN$2,0,0,ROW()-1,60),ROW()-1,FALSE))</f>
        <v/>
      </c>
      <c r="T139" t="str">
        <f ca="1">IF(AND(ISNUMBER($T$342),$B$208=1),$T$342,HLOOKUP(INDIRECT(ADDRESS(2,COLUMN())),OFFSET($BN$2,0,0,ROW()-1,60),ROW()-1,FALSE))</f>
        <v/>
      </c>
      <c r="U139" t="str">
        <f ca="1">IF(AND(ISNUMBER($U$342),$B$208=1),$U$342,HLOOKUP(INDIRECT(ADDRESS(2,COLUMN())),OFFSET($BN$2,0,0,ROW()-1,60),ROW()-1,FALSE))</f>
        <v/>
      </c>
      <c r="V139" t="str">
        <f ca="1">IF(AND(ISNUMBER($V$342),$B$208=1),$V$342,HLOOKUP(INDIRECT(ADDRESS(2,COLUMN())),OFFSET($BN$2,0,0,ROW()-1,60),ROW()-1,FALSE))</f>
        <v/>
      </c>
      <c r="W139" t="str">
        <f ca="1">IF(AND(ISNUMBER($W$342),$B$208=1),$W$342,HLOOKUP(INDIRECT(ADDRESS(2,COLUMN())),OFFSET($BN$2,0,0,ROW()-1,60),ROW()-1,FALSE))</f>
        <v/>
      </c>
      <c r="X139" t="str">
        <f ca="1">IF(AND(ISNUMBER($X$342),$B$208=1),$X$342,HLOOKUP(INDIRECT(ADDRESS(2,COLUMN())),OFFSET($BN$2,0,0,ROW()-1,60),ROW()-1,FALSE))</f>
        <v/>
      </c>
      <c r="Y139" t="str">
        <f ca="1">IF(AND(ISNUMBER($Y$342),$B$208=1),$Y$342,HLOOKUP(INDIRECT(ADDRESS(2,COLUMN())),OFFSET($BN$2,0,0,ROW()-1,60),ROW()-1,FALSE))</f>
        <v/>
      </c>
      <c r="Z139" t="str">
        <f ca="1">IF(AND(ISNUMBER($Z$342),$B$208=1),$Z$342,HLOOKUP(INDIRECT(ADDRESS(2,COLUMN())),OFFSET($BN$2,0,0,ROW()-1,60),ROW()-1,FALSE))</f>
        <v/>
      </c>
      <c r="AA139" t="str">
        <f ca="1">IF(AND(ISNUMBER($AA$342),$B$208=1),$AA$342,HLOOKUP(INDIRECT(ADDRESS(2,COLUMN())),OFFSET($BN$2,0,0,ROW()-1,60),ROW()-1,FALSE))</f>
        <v/>
      </c>
      <c r="AB139" t="str">
        <f ca="1">IF(AND(ISNUMBER($AB$342),$B$208=1),$AB$342,HLOOKUP(INDIRECT(ADDRESS(2,COLUMN())),OFFSET($BN$2,0,0,ROW()-1,60),ROW()-1,FALSE))</f>
        <v/>
      </c>
      <c r="AC139" t="str">
        <f ca="1">IF(AND(ISNUMBER($AC$342),$B$208=1),$AC$342,HLOOKUP(INDIRECT(ADDRESS(2,COLUMN())),OFFSET($BN$2,0,0,ROW()-1,60),ROW()-1,FALSE))</f>
        <v/>
      </c>
      <c r="AD139" t="str">
        <f ca="1">IF(AND(ISNUMBER($AD$342),$B$208=1),$AD$342,HLOOKUP(INDIRECT(ADDRESS(2,COLUMN())),OFFSET($BN$2,0,0,ROW()-1,60),ROW()-1,FALSE))</f>
        <v/>
      </c>
      <c r="AE139" t="str">
        <f ca="1">IF(AND(ISNUMBER($AE$342),$B$208=1),$AE$342,HLOOKUP(INDIRECT(ADDRESS(2,COLUMN())),OFFSET($BN$2,0,0,ROW()-1,60),ROW()-1,FALSE))</f>
        <v/>
      </c>
      <c r="AF139" t="str">
        <f ca="1">IF(AND(ISNUMBER($AF$342),$B$208=1),$AF$342,HLOOKUP(INDIRECT(ADDRESS(2,COLUMN())),OFFSET($BN$2,0,0,ROW()-1,60),ROW()-1,FALSE))</f>
        <v/>
      </c>
      <c r="AG139" t="str">
        <f ca="1">IF(AND(ISNUMBER($AG$342),$B$208=1),$AG$342,HLOOKUP(INDIRECT(ADDRESS(2,COLUMN())),OFFSET($BN$2,0,0,ROW()-1,60),ROW()-1,FALSE))</f>
        <v/>
      </c>
      <c r="AH139" t="str">
        <f ca="1">IF(AND(ISNUMBER($AH$342),$B$208=1),$AH$342,HLOOKUP(INDIRECT(ADDRESS(2,COLUMN())),OFFSET($BN$2,0,0,ROW()-1,60),ROW()-1,FALSE))</f>
        <v/>
      </c>
      <c r="AI139" t="str">
        <f ca="1">IF(AND(ISNUMBER($AI$342),$B$208=1),$AI$342,HLOOKUP(INDIRECT(ADDRESS(2,COLUMN())),OFFSET($BN$2,0,0,ROW()-1,60),ROW()-1,FALSE))</f>
        <v/>
      </c>
      <c r="AJ139" t="str">
        <f ca="1">IF(AND(ISNUMBER($AJ$342),$B$208=1),$AJ$342,HLOOKUP(INDIRECT(ADDRESS(2,COLUMN())),OFFSET($BN$2,0,0,ROW()-1,60),ROW()-1,FALSE))</f>
        <v/>
      </c>
      <c r="AK139" t="str">
        <f ca="1">IF(AND(ISNUMBER($AK$342),$B$208=1),$AK$342,HLOOKUP(INDIRECT(ADDRESS(2,COLUMN())),OFFSET($BN$2,0,0,ROW()-1,60),ROW()-1,FALSE))</f>
        <v/>
      </c>
      <c r="AL139" t="str">
        <f ca="1">IF(AND(ISNUMBER($AL$342),$B$208=1),$AL$342,HLOOKUP(INDIRECT(ADDRESS(2,COLUMN())),OFFSET($BN$2,0,0,ROW()-1,60),ROW()-1,FALSE))</f>
        <v/>
      </c>
      <c r="AM139" t="str">
        <f ca="1">IF(AND(ISNUMBER($AM$342),$B$208=1),$AM$342,HLOOKUP(INDIRECT(ADDRESS(2,COLUMN())),OFFSET($BN$2,0,0,ROW()-1,60),ROW()-1,FALSE))</f>
        <v/>
      </c>
      <c r="AN139" t="str">
        <f ca="1">IF(AND(ISNUMBER($AN$342),$B$208=1),$AN$342,HLOOKUP(INDIRECT(ADDRESS(2,COLUMN())),OFFSET($BN$2,0,0,ROW()-1,60),ROW()-1,FALSE))</f>
        <v/>
      </c>
      <c r="AO139" t="str">
        <f ca="1">IF(AND(ISNUMBER($AO$342),$B$208=1),$AO$342,HLOOKUP(INDIRECT(ADDRESS(2,COLUMN())),OFFSET($BN$2,0,0,ROW()-1,60),ROW()-1,FALSE))</f>
        <v/>
      </c>
      <c r="AP139" t="str">
        <f ca="1">IF(AND(ISNUMBER($AP$342),$B$208=1),$AP$342,HLOOKUP(INDIRECT(ADDRESS(2,COLUMN())),OFFSET($BN$2,0,0,ROW()-1,60),ROW()-1,FALSE))</f>
        <v/>
      </c>
      <c r="AQ139" t="str">
        <f ca="1">IF(AND(ISNUMBER($AQ$342),$B$208=1),$AQ$342,HLOOKUP(INDIRECT(ADDRESS(2,COLUMN())),OFFSET($BN$2,0,0,ROW()-1,60),ROW()-1,FALSE))</f>
        <v/>
      </c>
      <c r="AR139" t="str">
        <f ca="1">IF(AND(ISNUMBER($AR$342),$B$208=1),$AR$342,HLOOKUP(INDIRECT(ADDRESS(2,COLUMN())),OFFSET($BN$2,0,0,ROW()-1,60),ROW()-1,FALSE))</f>
        <v/>
      </c>
      <c r="AS139" t="str">
        <f ca="1">IF(AND(ISNUMBER($AS$342),$B$208=1),$AS$342,HLOOKUP(INDIRECT(ADDRESS(2,COLUMN())),OFFSET($BN$2,0,0,ROW()-1,60),ROW()-1,FALSE))</f>
        <v/>
      </c>
      <c r="AT139" t="str">
        <f ca="1">IF(AND(ISNUMBER($AT$342),$B$208=1),$AT$342,HLOOKUP(INDIRECT(ADDRESS(2,COLUMN())),OFFSET($BN$2,0,0,ROW()-1,60),ROW()-1,FALSE))</f>
        <v/>
      </c>
      <c r="AU139" t="str">
        <f ca="1">IF(AND(ISNUMBER($AU$342),$B$208=1),$AU$342,HLOOKUP(INDIRECT(ADDRESS(2,COLUMN())),OFFSET($BN$2,0,0,ROW()-1,60),ROW()-1,FALSE))</f>
        <v/>
      </c>
      <c r="AV139" t="str">
        <f ca="1">IF(AND(ISNUMBER($AV$342),$B$208=1),$AV$342,HLOOKUP(INDIRECT(ADDRESS(2,COLUMN())),OFFSET($BN$2,0,0,ROW()-1,60),ROW()-1,FALSE))</f>
        <v/>
      </c>
      <c r="AW139" t="str">
        <f ca="1">IF(AND(ISNUMBER($AW$342),$B$208=1),$AW$342,HLOOKUP(INDIRECT(ADDRESS(2,COLUMN())),OFFSET($BN$2,0,0,ROW()-1,60),ROW()-1,FALSE))</f>
        <v/>
      </c>
      <c r="AX139" t="str">
        <f ca="1">IF(AND(ISNUMBER($AX$342),$B$208=1),$AX$342,HLOOKUP(INDIRECT(ADDRESS(2,COLUMN())),OFFSET($BN$2,0,0,ROW()-1,60),ROW()-1,FALSE))</f>
        <v/>
      </c>
      <c r="AY139" t="str">
        <f ca="1">IF(AND(ISNUMBER($AY$342),$B$208=1),$AY$342,HLOOKUP(INDIRECT(ADDRESS(2,COLUMN())),OFFSET($BN$2,0,0,ROW()-1,60),ROW()-1,FALSE))</f>
        <v/>
      </c>
      <c r="AZ139" t="str">
        <f ca="1">IF(AND(ISNUMBER($AZ$342),$B$208=1),$AZ$342,HLOOKUP(INDIRECT(ADDRESS(2,COLUMN())),OFFSET($BN$2,0,0,ROW()-1,60),ROW()-1,FALSE))</f>
        <v/>
      </c>
      <c r="BA139" t="str">
        <f ca="1">IF(AND(ISNUMBER($BA$342),$B$208=1),$BA$342,HLOOKUP(INDIRECT(ADDRESS(2,COLUMN())),OFFSET($BN$2,0,0,ROW()-1,60),ROW()-1,FALSE))</f>
        <v/>
      </c>
      <c r="BB139" t="str">
        <f ca="1">IF(AND(ISNUMBER($BB$342),$B$208=1),$BB$342,HLOOKUP(INDIRECT(ADDRESS(2,COLUMN())),OFFSET($BN$2,0,0,ROW()-1,60),ROW()-1,FALSE))</f>
        <v/>
      </c>
      <c r="BC139" t="str">
        <f ca="1">IF(AND(ISNUMBER($BC$342),$B$208=1),$BC$342,HLOOKUP(INDIRECT(ADDRESS(2,COLUMN())),OFFSET($BN$2,0,0,ROW()-1,60),ROW()-1,FALSE))</f>
        <v/>
      </c>
      <c r="BD139" t="str">
        <f ca="1">IF(AND(ISNUMBER($BD$342),$B$208=1),$BD$342,HLOOKUP(INDIRECT(ADDRESS(2,COLUMN())),OFFSET($BN$2,0,0,ROW()-1,60),ROW()-1,FALSE))</f>
        <v/>
      </c>
      <c r="BE139" t="str">
        <f ca="1">IF(AND(ISNUMBER($BE$342),$B$208=1),$BE$342,HLOOKUP(INDIRECT(ADDRESS(2,COLUMN())),OFFSET($BN$2,0,0,ROW()-1,60),ROW()-1,FALSE))</f>
        <v/>
      </c>
      <c r="BF139" t="str">
        <f ca="1">IF(AND(ISNUMBER($BF$342),$B$208=1),$BF$342,HLOOKUP(INDIRECT(ADDRESS(2,COLUMN())),OFFSET($BN$2,0,0,ROW()-1,60),ROW()-1,FALSE))</f>
        <v/>
      </c>
      <c r="BG139" t="str">
        <f ca="1">IF(AND(ISNUMBER($BG$342),$B$208=1),$BG$342,HLOOKUP(INDIRECT(ADDRESS(2,COLUMN())),OFFSET($BN$2,0,0,ROW()-1,60),ROW()-1,FALSE))</f>
        <v/>
      </c>
      <c r="BH139" t="str">
        <f ca="1">IF(AND(ISNUMBER($BH$342),$B$208=1),$BH$342,HLOOKUP(INDIRECT(ADDRESS(2,COLUMN())),OFFSET($BN$2,0,0,ROW()-1,60),ROW()-1,FALSE))</f>
        <v/>
      </c>
      <c r="BI139" t="str">
        <f ca="1">IF(AND(ISNUMBER($BI$342),$B$208=1),$BI$342,HLOOKUP(INDIRECT(ADDRESS(2,COLUMN())),OFFSET($BN$2,0,0,ROW()-1,60),ROW()-1,FALSE))</f>
        <v/>
      </c>
      <c r="BJ139" t="str">
        <f ca="1">IF(AND(ISNUMBER($BJ$342),$B$208=1),$BJ$342,HLOOKUP(INDIRECT(ADDRESS(2,COLUMN())),OFFSET($BN$2,0,0,ROW()-1,60),ROW()-1,FALSE))</f>
        <v/>
      </c>
      <c r="BK139" t="str">
        <f ca="1">IF(AND(ISNUMBER($BK$342),$B$208=1),$BK$342,HLOOKUP(INDIRECT(ADDRESS(2,COLUMN())),OFFSET($BN$2,0,0,ROW()-1,60),ROW()-1,FALSE))</f>
        <v/>
      </c>
      <c r="BL139" t="str">
        <f ca="1">IF(AND(ISNUMBER($BL$342),$B$208=1),$BL$342,HLOOKUP(INDIRECT(ADDRESS(2,COLUMN())),OFFSET($BN$2,0,0,ROW()-1,60),ROW()-1,FALSE))</f>
        <v/>
      </c>
      <c r="BM139" t="str">
        <f ca="1">IF(AND(ISNUMBER($BM$342),$B$208=1),$BM$342,HLOOKUP(INDIRECT(ADDRESS(2,COLUMN())),OFFSET($BN$2,0,0,ROW()-1,60),ROW()-1,FALSE))</f>
        <v/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  <c r="BT139" t="str">
        <f>""</f>
        <v/>
      </c>
      <c r="BU139" t="str">
        <f>""</f>
        <v/>
      </c>
      <c r="BV139" t="str">
        <f>""</f>
        <v/>
      </c>
      <c r="BW139" t="str">
        <f>""</f>
        <v/>
      </c>
      <c r="BX139" t="str">
        <f>""</f>
        <v/>
      </c>
      <c r="BY139" t="str">
        <f>""</f>
        <v/>
      </c>
      <c r="BZ139" t="str">
        <f>""</f>
        <v/>
      </c>
      <c r="CA139" t="str">
        <f>""</f>
        <v/>
      </c>
      <c r="CB139" t="str">
        <f>""</f>
        <v/>
      </c>
      <c r="CC139" t="str">
        <f>""</f>
        <v/>
      </c>
      <c r="CD139" t="str">
        <f>""</f>
        <v/>
      </c>
      <c r="CE139" t="str">
        <f>""</f>
        <v/>
      </c>
      <c r="CF139" t="str">
        <f>""</f>
        <v/>
      </c>
      <c r="CG139" t="str">
        <f>""</f>
        <v/>
      </c>
      <c r="CH139" t="str">
        <f>""</f>
        <v/>
      </c>
      <c r="CI139" t="str">
        <f>""</f>
        <v/>
      </c>
      <c r="CJ139" t="str">
        <f>""</f>
        <v/>
      </c>
      <c r="CK139" t="str">
        <f>""</f>
        <v/>
      </c>
      <c r="CL139" t="str">
        <f>""</f>
        <v/>
      </c>
      <c r="CM139" t="str">
        <f>""</f>
        <v/>
      </c>
      <c r="CN139" t="str">
        <f>""</f>
        <v/>
      </c>
      <c r="CO139" t="str">
        <f>""</f>
        <v/>
      </c>
      <c r="CP139" t="str">
        <f>""</f>
        <v/>
      </c>
      <c r="CQ139" t="str">
        <f>""</f>
        <v/>
      </c>
      <c r="CR139" t="str">
        <f>""</f>
        <v/>
      </c>
      <c r="CS139" t="str">
        <f>""</f>
        <v/>
      </c>
      <c r="CT139" t="str">
        <f>""</f>
        <v/>
      </c>
      <c r="CU139" t="str">
        <f>""</f>
        <v/>
      </c>
      <c r="CV139" t="str">
        <f>""</f>
        <v/>
      </c>
      <c r="CW139" t="str">
        <f>""</f>
        <v/>
      </c>
      <c r="CX139" t="str">
        <f>""</f>
        <v/>
      </c>
      <c r="CY139" t="str">
        <f>""</f>
        <v/>
      </c>
      <c r="CZ139" t="str">
        <f>""</f>
        <v/>
      </c>
      <c r="DA139" t="str">
        <f>""</f>
        <v/>
      </c>
      <c r="DB139" t="str">
        <f>""</f>
        <v/>
      </c>
      <c r="DC139" t="str">
        <f>""</f>
        <v/>
      </c>
      <c r="DD139" t="str">
        <f>""</f>
        <v/>
      </c>
      <c r="DE139" t="str">
        <f>""</f>
        <v/>
      </c>
      <c r="DF139" t="str">
        <f>""</f>
        <v/>
      </c>
      <c r="DG139" t="str">
        <f>""</f>
        <v/>
      </c>
      <c r="DH139" t="str">
        <f>""</f>
        <v/>
      </c>
      <c r="DI139" t="str">
        <f>""</f>
        <v/>
      </c>
      <c r="DJ139" t="str">
        <f>""</f>
        <v/>
      </c>
      <c r="DK139" t="str">
        <f>""</f>
        <v/>
      </c>
      <c r="DL139" t="str">
        <f>""</f>
        <v/>
      </c>
      <c r="DM139" t="str">
        <f>""</f>
        <v/>
      </c>
      <c r="DN139" t="str">
        <f>""</f>
        <v/>
      </c>
      <c r="DO139" t="str">
        <f>""</f>
        <v/>
      </c>
      <c r="DP139" t="str">
        <f>""</f>
        <v/>
      </c>
      <c r="DQ139" t="str">
        <f>""</f>
        <v/>
      </c>
      <c r="DR139" t="str">
        <f>""</f>
        <v/>
      </c>
      <c r="DS139" t="str">
        <f>""</f>
        <v/>
      </c>
      <c r="DT139" t="str">
        <f>""</f>
        <v/>
      </c>
      <c r="DU139" t="str">
        <f>""</f>
        <v/>
      </c>
    </row>
    <row r="140" spans="1:125" x14ac:dyDescent="0.25">
      <c r="A140" t="str">
        <f>"    Jyske Bank A/S"</f>
        <v xml:space="preserve">    Jyske Bank A/S</v>
      </c>
      <c r="B140" t="str">
        <f>"JYSK DC Equity"</f>
        <v>JYSK DC Equity</v>
      </c>
      <c r="C140" t="str">
        <f t="shared" si="9"/>
        <v>BS016</v>
      </c>
      <c r="D140" t="str">
        <f t="shared" si="10"/>
        <v>BS_COMM_LOAN</v>
      </c>
      <c r="E140" t="str">
        <f t="shared" si="11"/>
        <v>Dynamic</v>
      </c>
      <c r="F140">
        <f ca="1">IF(AND(ISNUMBER($F$343),$B$208=1),$F$343,HLOOKUP(INDIRECT(ADDRESS(2,COLUMN())),OFFSET($BN$2,0,0,ROW()-1,60),ROW()-1,FALSE))</f>
        <v>22897.38421</v>
      </c>
      <c r="G140">
        <f ca="1">IF(AND(ISNUMBER($G$343),$B$208=1),$G$343,HLOOKUP(INDIRECT(ADDRESS(2,COLUMN())),OFFSET($BN$2,0,0,ROW()-1,60),ROW()-1,FALSE))</f>
        <v>22258.855640000002</v>
      </c>
      <c r="H140">
        <f ca="1">IF(AND(ISNUMBER($H$343),$B$208=1),$H$343,HLOOKUP(INDIRECT(ADDRESS(2,COLUMN())),OFFSET($BN$2,0,0,ROW()-1,60),ROW()-1,FALSE))</f>
        <v>22178.105960000001</v>
      </c>
      <c r="I140" t="str">
        <f ca="1">IF(AND(ISNUMBER($I$343),$B$208=1),$I$343,HLOOKUP(INDIRECT(ADDRESS(2,COLUMN())),OFFSET($BN$2,0,0,ROW()-1,60),ROW()-1,FALSE))</f>
        <v/>
      </c>
      <c r="J140" t="str">
        <f ca="1">IF(AND(ISNUMBER($J$343),$B$208=1),$J$343,HLOOKUP(INDIRECT(ADDRESS(2,COLUMN())),OFFSET($BN$2,0,0,ROW()-1,60),ROW()-1,FALSE))</f>
        <v/>
      </c>
      <c r="K140">
        <f ca="1">IF(AND(ISNUMBER($K$343),$B$208=1),$K$343,HLOOKUP(INDIRECT(ADDRESS(2,COLUMN())),OFFSET($BN$2,0,0,ROW()-1,60),ROW()-1,FALSE))</f>
        <v>22782.110390000002</v>
      </c>
      <c r="L140">
        <f ca="1">IF(AND(ISNUMBER($L$343),$B$208=1),$L$343,HLOOKUP(INDIRECT(ADDRESS(2,COLUMN())),OFFSET($BN$2,0,0,ROW()-1,60),ROW()-1,FALSE))</f>
        <v>23156.104329999998</v>
      </c>
      <c r="M140" t="str">
        <f ca="1">IF(AND(ISNUMBER($M$343),$B$208=1),$M$343,HLOOKUP(INDIRECT(ADDRESS(2,COLUMN())),OFFSET($BN$2,0,0,ROW()-1,60),ROW()-1,FALSE))</f>
        <v/>
      </c>
      <c r="N140" t="str">
        <f ca="1">IF(AND(ISNUMBER($N$343),$B$208=1),$N$343,HLOOKUP(INDIRECT(ADDRESS(2,COLUMN())),OFFSET($BN$2,0,0,ROW()-1,60),ROW()-1,FALSE))</f>
        <v/>
      </c>
      <c r="O140" t="str">
        <f ca="1">IF(AND(ISNUMBER($O$343),$B$208=1),$O$343,HLOOKUP(INDIRECT(ADDRESS(2,COLUMN())),OFFSET($BN$2,0,0,ROW()-1,60),ROW()-1,FALSE))</f>
        <v/>
      </c>
      <c r="P140" t="str">
        <f ca="1">IF(AND(ISNUMBER($P$343),$B$208=1),$P$343,HLOOKUP(INDIRECT(ADDRESS(2,COLUMN())),OFFSET($BN$2,0,0,ROW()-1,60),ROW()-1,FALSE))</f>
        <v/>
      </c>
      <c r="Q140" t="str">
        <f ca="1">IF(AND(ISNUMBER($Q$343),$B$208=1),$Q$343,HLOOKUP(INDIRECT(ADDRESS(2,COLUMN())),OFFSET($BN$2,0,0,ROW()-1,60),ROW()-1,FALSE))</f>
        <v/>
      </c>
      <c r="R140" t="str">
        <f ca="1">IF(AND(ISNUMBER($R$343),$B$208=1),$R$343,HLOOKUP(INDIRECT(ADDRESS(2,COLUMN())),OFFSET($BN$2,0,0,ROW()-1,60),ROW()-1,FALSE))</f>
        <v/>
      </c>
      <c r="S140" t="str">
        <f ca="1">IF(AND(ISNUMBER($S$343),$B$208=1),$S$343,HLOOKUP(INDIRECT(ADDRESS(2,COLUMN())),OFFSET($BN$2,0,0,ROW()-1,60),ROW()-1,FALSE))</f>
        <v/>
      </c>
      <c r="T140" t="str">
        <f ca="1">IF(AND(ISNUMBER($T$343),$B$208=1),$T$343,HLOOKUP(INDIRECT(ADDRESS(2,COLUMN())),OFFSET($BN$2,0,0,ROW()-1,60),ROW()-1,FALSE))</f>
        <v/>
      </c>
      <c r="U140" t="str">
        <f ca="1">IF(AND(ISNUMBER($U$343),$B$208=1),$U$343,HLOOKUP(INDIRECT(ADDRESS(2,COLUMN())),OFFSET($BN$2,0,0,ROW()-1,60),ROW()-1,FALSE))</f>
        <v/>
      </c>
      <c r="V140" t="str">
        <f ca="1">IF(AND(ISNUMBER($V$343),$B$208=1),$V$343,HLOOKUP(INDIRECT(ADDRESS(2,COLUMN())),OFFSET($BN$2,0,0,ROW()-1,60),ROW()-1,FALSE))</f>
        <v/>
      </c>
      <c r="W140" t="str">
        <f ca="1">IF(AND(ISNUMBER($W$343),$B$208=1),$W$343,HLOOKUP(INDIRECT(ADDRESS(2,COLUMN())),OFFSET($BN$2,0,0,ROW()-1,60),ROW()-1,FALSE))</f>
        <v/>
      </c>
      <c r="X140" t="str">
        <f ca="1">IF(AND(ISNUMBER($X$343),$B$208=1),$X$343,HLOOKUP(INDIRECT(ADDRESS(2,COLUMN())),OFFSET($BN$2,0,0,ROW()-1,60),ROW()-1,FALSE))</f>
        <v/>
      </c>
      <c r="Y140" t="str">
        <f ca="1">IF(AND(ISNUMBER($Y$343),$B$208=1),$Y$343,HLOOKUP(INDIRECT(ADDRESS(2,COLUMN())),OFFSET($BN$2,0,0,ROW()-1,60),ROW()-1,FALSE))</f>
        <v/>
      </c>
      <c r="Z140" t="str">
        <f ca="1">IF(AND(ISNUMBER($Z$343),$B$208=1),$Z$343,HLOOKUP(INDIRECT(ADDRESS(2,COLUMN())),OFFSET($BN$2,0,0,ROW()-1,60),ROW()-1,FALSE))</f>
        <v/>
      </c>
      <c r="AA140" t="str">
        <f ca="1">IF(AND(ISNUMBER($AA$343),$B$208=1),$AA$343,HLOOKUP(INDIRECT(ADDRESS(2,COLUMN())),OFFSET($BN$2,0,0,ROW()-1,60),ROW()-1,FALSE))</f>
        <v/>
      </c>
      <c r="AB140" t="str">
        <f ca="1">IF(AND(ISNUMBER($AB$343),$B$208=1),$AB$343,HLOOKUP(INDIRECT(ADDRESS(2,COLUMN())),OFFSET($BN$2,0,0,ROW()-1,60),ROW()-1,FALSE))</f>
        <v/>
      </c>
      <c r="AC140" t="str">
        <f ca="1">IF(AND(ISNUMBER($AC$343),$B$208=1),$AC$343,HLOOKUP(INDIRECT(ADDRESS(2,COLUMN())),OFFSET($BN$2,0,0,ROW()-1,60),ROW()-1,FALSE))</f>
        <v/>
      </c>
      <c r="AD140" t="str">
        <f ca="1">IF(AND(ISNUMBER($AD$343),$B$208=1),$AD$343,HLOOKUP(INDIRECT(ADDRESS(2,COLUMN())),OFFSET($BN$2,0,0,ROW()-1,60),ROW()-1,FALSE))</f>
        <v/>
      </c>
      <c r="AE140" t="str">
        <f ca="1">IF(AND(ISNUMBER($AE$343),$B$208=1),$AE$343,HLOOKUP(INDIRECT(ADDRESS(2,COLUMN())),OFFSET($BN$2,0,0,ROW()-1,60),ROW()-1,FALSE))</f>
        <v/>
      </c>
      <c r="AF140" t="str">
        <f ca="1">IF(AND(ISNUMBER($AF$343),$B$208=1),$AF$343,HLOOKUP(INDIRECT(ADDRESS(2,COLUMN())),OFFSET($BN$2,0,0,ROW()-1,60),ROW()-1,FALSE))</f>
        <v/>
      </c>
      <c r="AG140" t="str">
        <f ca="1">IF(AND(ISNUMBER($AG$343),$B$208=1),$AG$343,HLOOKUP(INDIRECT(ADDRESS(2,COLUMN())),OFFSET($BN$2,0,0,ROW()-1,60),ROW()-1,FALSE))</f>
        <v/>
      </c>
      <c r="AH140" t="str">
        <f ca="1">IF(AND(ISNUMBER($AH$343),$B$208=1),$AH$343,HLOOKUP(INDIRECT(ADDRESS(2,COLUMN())),OFFSET($BN$2,0,0,ROW()-1,60),ROW()-1,FALSE))</f>
        <v/>
      </c>
      <c r="AI140" t="str">
        <f ca="1">IF(AND(ISNUMBER($AI$343),$B$208=1),$AI$343,HLOOKUP(INDIRECT(ADDRESS(2,COLUMN())),OFFSET($BN$2,0,0,ROW()-1,60),ROW()-1,FALSE))</f>
        <v/>
      </c>
      <c r="AJ140" t="str">
        <f ca="1">IF(AND(ISNUMBER($AJ$343),$B$208=1),$AJ$343,HLOOKUP(INDIRECT(ADDRESS(2,COLUMN())),OFFSET($BN$2,0,0,ROW()-1,60),ROW()-1,FALSE))</f>
        <v/>
      </c>
      <c r="AK140" t="str">
        <f ca="1">IF(AND(ISNUMBER($AK$343),$B$208=1),$AK$343,HLOOKUP(INDIRECT(ADDRESS(2,COLUMN())),OFFSET($BN$2,0,0,ROW()-1,60),ROW()-1,FALSE))</f>
        <v/>
      </c>
      <c r="AL140" t="str">
        <f ca="1">IF(AND(ISNUMBER($AL$343),$B$208=1),$AL$343,HLOOKUP(INDIRECT(ADDRESS(2,COLUMN())),OFFSET($BN$2,0,0,ROW()-1,60),ROW()-1,FALSE))</f>
        <v/>
      </c>
      <c r="AM140" t="str">
        <f ca="1">IF(AND(ISNUMBER($AM$343),$B$208=1),$AM$343,HLOOKUP(INDIRECT(ADDRESS(2,COLUMN())),OFFSET($BN$2,0,0,ROW()-1,60),ROW()-1,FALSE))</f>
        <v/>
      </c>
      <c r="AN140" t="str">
        <f ca="1">IF(AND(ISNUMBER($AN$343),$B$208=1),$AN$343,HLOOKUP(INDIRECT(ADDRESS(2,COLUMN())),OFFSET($BN$2,0,0,ROW()-1,60),ROW()-1,FALSE))</f>
        <v/>
      </c>
      <c r="AO140" t="str">
        <f ca="1">IF(AND(ISNUMBER($AO$343),$B$208=1),$AO$343,HLOOKUP(INDIRECT(ADDRESS(2,COLUMN())),OFFSET($BN$2,0,0,ROW()-1,60),ROW()-1,FALSE))</f>
        <v/>
      </c>
      <c r="AP140" t="str">
        <f ca="1">IF(AND(ISNUMBER($AP$343),$B$208=1),$AP$343,HLOOKUP(INDIRECT(ADDRESS(2,COLUMN())),OFFSET($BN$2,0,0,ROW()-1,60),ROW()-1,FALSE))</f>
        <v/>
      </c>
      <c r="AQ140" t="str">
        <f ca="1">IF(AND(ISNUMBER($AQ$343),$B$208=1),$AQ$343,HLOOKUP(INDIRECT(ADDRESS(2,COLUMN())),OFFSET($BN$2,0,0,ROW()-1,60),ROW()-1,FALSE))</f>
        <v/>
      </c>
      <c r="AR140" t="str">
        <f ca="1">IF(AND(ISNUMBER($AR$343),$B$208=1),$AR$343,HLOOKUP(INDIRECT(ADDRESS(2,COLUMN())),OFFSET($BN$2,0,0,ROW()-1,60),ROW()-1,FALSE))</f>
        <v/>
      </c>
      <c r="AS140" t="str">
        <f ca="1">IF(AND(ISNUMBER($AS$343),$B$208=1),$AS$343,HLOOKUP(INDIRECT(ADDRESS(2,COLUMN())),OFFSET($BN$2,0,0,ROW()-1,60),ROW()-1,FALSE))</f>
        <v/>
      </c>
      <c r="AT140" t="str">
        <f ca="1">IF(AND(ISNUMBER($AT$343),$B$208=1),$AT$343,HLOOKUP(INDIRECT(ADDRESS(2,COLUMN())),OFFSET($BN$2,0,0,ROW()-1,60),ROW()-1,FALSE))</f>
        <v/>
      </c>
      <c r="AU140" t="str">
        <f ca="1">IF(AND(ISNUMBER($AU$343),$B$208=1),$AU$343,HLOOKUP(INDIRECT(ADDRESS(2,COLUMN())),OFFSET($BN$2,0,0,ROW()-1,60),ROW()-1,FALSE))</f>
        <v/>
      </c>
      <c r="AV140" t="str">
        <f ca="1">IF(AND(ISNUMBER($AV$343),$B$208=1),$AV$343,HLOOKUP(INDIRECT(ADDRESS(2,COLUMN())),OFFSET($BN$2,0,0,ROW()-1,60),ROW()-1,FALSE))</f>
        <v/>
      </c>
      <c r="AW140" t="str">
        <f ca="1">IF(AND(ISNUMBER($AW$343),$B$208=1),$AW$343,HLOOKUP(INDIRECT(ADDRESS(2,COLUMN())),OFFSET($BN$2,0,0,ROW()-1,60),ROW()-1,FALSE))</f>
        <v/>
      </c>
      <c r="AX140" t="str">
        <f ca="1">IF(AND(ISNUMBER($AX$343),$B$208=1),$AX$343,HLOOKUP(INDIRECT(ADDRESS(2,COLUMN())),OFFSET($BN$2,0,0,ROW()-1,60),ROW()-1,FALSE))</f>
        <v/>
      </c>
      <c r="AY140" t="str">
        <f ca="1">IF(AND(ISNUMBER($AY$343),$B$208=1),$AY$343,HLOOKUP(INDIRECT(ADDRESS(2,COLUMN())),OFFSET($BN$2,0,0,ROW()-1,60),ROW()-1,FALSE))</f>
        <v/>
      </c>
      <c r="AZ140" t="str">
        <f ca="1">IF(AND(ISNUMBER($AZ$343),$B$208=1),$AZ$343,HLOOKUP(INDIRECT(ADDRESS(2,COLUMN())),OFFSET($BN$2,0,0,ROW()-1,60),ROW()-1,FALSE))</f>
        <v/>
      </c>
      <c r="BA140" t="str">
        <f ca="1">IF(AND(ISNUMBER($BA$343),$B$208=1),$BA$343,HLOOKUP(INDIRECT(ADDRESS(2,COLUMN())),OFFSET($BN$2,0,0,ROW()-1,60),ROW()-1,FALSE))</f>
        <v/>
      </c>
      <c r="BB140" t="str">
        <f ca="1">IF(AND(ISNUMBER($BB$343),$B$208=1),$BB$343,HLOOKUP(INDIRECT(ADDRESS(2,COLUMN())),OFFSET($BN$2,0,0,ROW()-1,60),ROW()-1,FALSE))</f>
        <v/>
      </c>
      <c r="BC140" t="str">
        <f ca="1">IF(AND(ISNUMBER($BC$343),$B$208=1),$BC$343,HLOOKUP(INDIRECT(ADDRESS(2,COLUMN())),OFFSET($BN$2,0,0,ROW()-1,60),ROW()-1,FALSE))</f>
        <v/>
      </c>
      <c r="BD140" t="str">
        <f ca="1">IF(AND(ISNUMBER($BD$343),$B$208=1),$BD$343,HLOOKUP(INDIRECT(ADDRESS(2,COLUMN())),OFFSET($BN$2,0,0,ROW()-1,60),ROW()-1,FALSE))</f>
        <v/>
      </c>
      <c r="BE140" t="str">
        <f ca="1">IF(AND(ISNUMBER($BE$343),$B$208=1),$BE$343,HLOOKUP(INDIRECT(ADDRESS(2,COLUMN())),OFFSET($BN$2,0,0,ROW()-1,60),ROW()-1,FALSE))</f>
        <v/>
      </c>
      <c r="BF140" t="str">
        <f ca="1">IF(AND(ISNUMBER($BF$343),$B$208=1),$BF$343,HLOOKUP(INDIRECT(ADDRESS(2,COLUMN())),OFFSET($BN$2,0,0,ROW()-1,60),ROW()-1,FALSE))</f>
        <v/>
      </c>
      <c r="BG140" t="str">
        <f ca="1">IF(AND(ISNUMBER($BG$343),$B$208=1),$BG$343,HLOOKUP(INDIRECT(ADDRESS(2,COLUMN())),OFFSET($BN$2,0,0,ROW()-1,60),ROW()-1,FALSE))</f>
        <v/>
      </c>
      <c r="BH140" t="str">
        <f ca="1">IF(AND(ISNUMBER($BH$343),$B$208=1),$BH$343,HLOOKUP(INDIRECT(ADDRESS(2,COLUMN())),OFFSET($BN$2,0,0,ROW()-1,60),ROW()-1,FALSE))</f>
        <v/>
      </c>
      <c r="BI140" t="str">
        <f ca="1">IF(AND(ISNUMBER($BI$343),$B$208=1),$BI$343,HLOOKUP(INDIRECT(ADDRESS(2,COLUMN())),OFFSET($BN$2,0,0,ROW()-1,60),ROW()-1,FALSE))</f>
        <v/>
      </c>
      <c r="BJ140" t="str">
        <f ca="1">IF(AND(ISNUMBER($BJ$343),$B$208=1),$BJ$343,HLOOKUP(INDIRECT(ADDRESS(2,COLUMN())),OFFSET($BN$2,0,0,ROW()-1,60),ROW()-1,FALSE))</f>
        <v/>
      </c>
      <c r="BK140" t="str">
        <f ca="1">IF(AND(ISNUMBER($BK$343),$B$208=1),$BK$343,HLOOKUP(INDIRECT(ADDRESS(2,COLUMN())),OFFSET($BN$2,0,0,ROW()-1,60),ROW()-1,FALSE))</f>
        <v/>
      </c>
      <c r="BL140" t="str">
        <f ca="1">IF(AND(ISNUMBER($BL$343),$B$208=1),$BL$343,HLOOKUP(INDIRECT(ADDRESS(2,COLUMN())),OFFSET($BN$2,0,0,ROW()-1,60),ROW()-1,FALSE))</f>
        <v/>
      </c>
      <c r="BM140" t="str">
        <f ca="1">IF(AND(ISNUMBER($BM$343),$B$208=1),$BM$343,HLOOKUP(INDIRECT(ADDRESS(2,COLUMN())),OFFSET($BN$2,0,0,ROW()-1,60),ROW()-1,FALSE))</f>
        <v/>
      </c>
      <c r="BN140">
        <f>22897.38421</f>
        <v>22897.38421</v>
      </c>
      <c r="BO140">
        <f>22258.85564</f>
        <v>22258.855640000002</v>
      </c>
      <c r="BP140">
        <f>22178.10596</f>
        <v>22178.105960000001</v>
      </c>
      <c r="BQ140" t="str">
        <f>""</f>
        <v/>
      </c>
      <c r="BR140" t="str">
        <f>""</f>
        <v/>
      </c>
      <c r="BS140">
        <f>22782.11039</f>
        <v>22782.110390000002</v>
      </c>
      <c r="BT140">
        <f>23156.10433</f>
        <v>23156.104329999998</v>
      </c>
      <c r="BU140" t="str">
        <f>""</f>
        <v/>
      </c>
      <c r="BV140" t="str">
        <f>""</f>
        <v/>
      </c>
      <c r="BW140" t="str">
        <f>""</f>
        <v/>
      </c>
      <c r="BX140" t="str">
        <f>""</f>
        <v/>
      </c>
      <c r="BY140" t="str">
        <f>""</f>
        <v/>
      </c>
      <c r="BZ140" t="str">
        <f>""</f>
        <v/>
      </c>
      <c r="CA140" t="str">
        <f>""</f>
        <v/>
      </c>
      <c r="CB140" t="str">
        <f>""</f>
        <v/>
      </c>
      <c r="CC140" t="str">
        <f>""</f>
        <v/>
      </c>
      <c r="CD140" t="str">
        <f>""</f>
        <v/>
      </c>
      <c r="CE140" t="str">
        <f>""</f>
        <v/>
      </c>
      <c r="CF140" t="str">
        <f>""</f>
        <v/>
      </c>
      <c r="CG140" t="str">
        <f>""</f>
        <v/>
      </c>
      <c r="CH140" t="str">
        <f>""</f>
        <v/>
      </c>
      <c r="CI140" t="str">
        <f>""</f>
        <v/>
      </c>
      <c r="CJ140" t="str">
        <f>""</f>
        <v/>
      </c>
      <c r="CK140" t="str">
        <f>""</f>
        <v/>
      </c>
      <c r="CL140" t="str">
        <f>""</f>
        <v/>
      </c>
      <c r="CM140" t="str">
        <f>""</f>
        <v/>
      </c>
      <c r="CN140" t="str">
        <f>""</f>
        <v/>
      </c>
      <c r="CO140" t="str">
        <f>""</f>
        <v/>
      </c>
      <c r="CP140" t="str">
        <f>""</f>
        <v/>
      </c>
      <c r="CQ140" t="str">
        <f>""</f>
        <v/>
      </c>
      <c r="CR140" t="str">
        <f>""</f>
        <v/>
      </c>
      <c r="CS140" t="str">
        <f>""</f>
        <v/>
      </c>
      <c r="CT140" t="str">
        <f>""</f>
        <v/>
      </c>
      <c r="CU140" t="str">
        <f>""</f>
        <v/>
      </c>
      <c r="CV140" t="str">
        <f>""</f>
        <v/>
      </c>
      <c r="CW140" t="str">
        <f>""</f>
        <v/>
      </c>
      <c r="CX140" t="str">
        <f>""</f>
        <v/>
      </c>
      <c r="CY140" t="str">
        <f>""</f>
        <v/>
      </c>
      <c r="CZ140" t="str">
        <f>""</f>
        <v/>
      </c>
      <c r="DA140" t="str">
        <f>""</f>
        <v/>
      </c>
      <c r="DB140" t="str">
        <f>""</f>
        <v/>
      </c>
      <c r="DC140" t="str">
        <f>""</f>
        <v/>
      </c>
      <c r="DD140" t="str">
        <f>""</f>
        <v/>
      </c>
      <c r="DE140" t="str">
        <f>""</f>
        <v/>
      </c>
      <c r="DF140" t="str">
        <f>""</f>
        <v/>
      </c>
      <c r="DG140" t="str">
        <f>""</f>
        <v/>
      </c>
      <c r="DH140" t="str">
        <f>""</f>
        <v/>
      </c>
      <c r="DI140" t="str">
        <f>""</f>
        <v/>
      </c>
      <c r="DJ140" t="str">
        <f>""</f>
        <v/>
      </c>
      <c r="DK140" t="str">
        <f>""</f>
        <v/>
      </c>
      <c r="DL140" t="str">
        <f>""</f>
        <v/>
      </c>
      <c r="DM140" t="str">
        <f>""</f>
        <v/>
      </c>
      <c r="DN140" t="str">
        <f>""</f>
        <v/>
      </c>
      <c r="DO140" t="str">
        <f>""</f>
        <v/>
      </c>
      <c r="DP140" t="str">
        <f>""</f>
        <v/>
      </c>
      <c r="DQ140" t="str">
        <f>""</f>
        <v/>
      </c>
      <c r="DR140" t="str">
        <f>""</f>
        <v/>
      </c>
      <c r="DS140" t="str">
        <f>""</f>
        <v/>
      </c>
      <c r="DT140" t="str">
        <f>""</f>
        <v/>
      </c>
      <c r="DU140" t="str">
        <f>""</f>
        <v/>
      </c>
    </row>
    <row r="141" spans="1:125" x14ac:dyDescent="0.25">
      <c r="A141" t="str">
        <f>"    KBC Group NV"</f>
        <v xml:space="preserve">    KBC Group NV</v>
      </c>
      <c r="B141" t="str">
        <f>"KBC BB Equity"</f>
        <v>KBC BB Equity</v>
      </c>
      <c r="C141" t="str">
        <f t="shared" si="9"/>
        <v>BS016</v>
      </c>
      <c r="D141" t="str">
        <f t="shared" si="10"/>
        <v>BS_COMM_LOAN</v>
      </c>
      <c r="E141" t="str">
        <f t="shared" si="11"/>
        <v>Dynamic</v>
      </c>
      <c r="F141" t="str">
        <f ca="1">IF(AND(ISNUMBER($F$344),$B$208=1),$F$344,HLOOKUP(INDIRECT(ADDRESS(2,COLUMN())),OFFSET($BN$2,0,0,ROW()-1,60),ROW()-1,FALSE))</f>
        <v/>
      </c>
      <c r="G141" t="str">
        <f ca="1">IF(AND(ISNUMBER($G$344),$B$208=1),$G$344,HLOOKUP(INDIRECT(ADDRESS(2,COLUMN())),OFFSET($BN$2,0,0,ROW()-1,60),ROW()-1,FALSE))</f>
        <v/>
      </c>
      <c r="H141" t="str">
        <f ca="1">IF(AND(ISNUMBER($H$344),$B$208=1),$H$344,HLOOKUP(INDIRECT(ADDRESS(2,COLUMN())),OFFSET($BN$2,0,0,ROW()-1,60),ROW()-1,FALSE))</f>
        <v/>
      </c>
      <c r="I141" t="str">
        <f ca="1">IF(AND(ISNUMBER($I$344),$B$208=1),$I$344,HLOOKUP(INDIRECT(ADDRESS(2,COLUMN())),OFFSET($BN$2,0,0,ROW()-1,60),ROW()-1,FALSE))</f>
        <v/>
      </c>
      <c r="J141" t="str">
        <f ca="1">IF(AND(ISNUMBER($J$344),$B$208=1),$J$344,HLOOKUP(INDIRECT(ADDRESS(2,COLUMN())),OFFSET($BN$2,0,0,ROW()-1,60),ROW()-1,FALSE))</f>
        <v/>
      </c>
      <c r="K141" t="str">
        <f ca="1">IF(AND(ISNUMBER($K$344),$B$208=1),$K$344,HLOOKUP(INDIRECT(ADDRESS(2,COLUMN())),OFFSET($BN$2,0,0,ROW()-1,60),ROW()-1,FALSE))</f>
        <v/>
      </c>
      <c r="L141" t="str">
        <f ca="1">IF(AND(ISNUMBER($L$344),$B$208=1),$L$344,HLOOKUP(INDIRECT(ADDRESS(2,COLUMN())),OFFSET($BN$2,0,0,ROW()-1,60),ROW()-1,FALSE))</f>
        <v/>
      </c>
      <c r="M141" t="str">
        <f ca="1">IF(AND(ISNUMBER($M$344),$B$208=1),$M$344,HLOOKUP(INDIRECT(ADDRESS(2,COLUMN())),OFFSET($BN$2,0,0,ROW()-1,60),ROW()-1,FALSE))</f>
        <v/>
      </c>
      <c r="N141" t="str">
        <f ca="1">IF(AND(ISNUMBER($N$344),$B$208=1),$N$344,HLOOKUP(INDIRECT(ADDRESS(2,COLUMN())),OFFSET($BN$2,0,0,ROW()-1,60),ROW()-1,FALSE))</f>
        <v/>
      </c>
      <c r="O141" t="str">
        <f ca="1">IF(AND(ISNUMBER($O$344),$B$208=1),$O$344,HLOOKUP(INDIRECT(ADDRESS(2,COLUMN())),OFFSET($BN$2,0,0,ROW()-1,60),ROW()-1,FALSE))</f>
        <v/>
      </c>
      <c r="P141" t="str">
        <f ca="1">IF(AND(ISNUMBER($P$344),$B$208=1),$P$344,HLOOKUP(INDIRECT(ADDRESS(2,COLUMN())),OFFSET($BN$2,0,0,ROW()-1,60),ROW()-1,FALSE))</f>
        <v/>
      </c>
      <c r="Q141" t="str">
        <f ca="1">IF(AND(ISNUMBER($Q$344),$B$208=1),$Q$344,HLOOKUP(INDIRECT(ADDRESS(2,COLUMN())),OFFSET($BN$2,0,0,ROW()-1,60),ROW()-1,FALSE))</f>
        <v/>
      </c>
      <c r="R141" t="str">
        <f ca="1">IF(AND(ISNUMBER($R$344),$B$208=1),$R$344,HLOOKUP(INDIRECT(ADDRESS(2,COLUMN())),OFFSET($BN$2,0,0,ROW()-1,60),ROW()-1,FALSE))</f>
        <v/>
      </c>
      <c r="S141" t="str">
        <f ca="1">IF(AND(ISNUMBER($S$344),$B$208=1),$S$344,HLOOKUP(INDIRECT(ADDRESS(2,COLUMN())),OFFSET($BN$2,0,0,ROW()-1,60),ROW()-1,FALSE))</f>
        <v/>
      </c>
      <c r="T141" t="str">
        <f ca="1">IF(AND(ISNUMBER($T$344),$B$208=1),$T$344,HLOOKUP(INDIRECT(ADDRESS(2,COLUMN())),OFFSET($BN$2,0,0,ROW()-1,60),ROW()-1,FALSE))</f>
        <v/>
      </c>
      <c r="U141" t="str">
        <f ca="1">IF(AND(ISNUMBER($U$344),$B$208=1),$U$344,HLOOKUP(INDIRECT(ADDRESS(2,COLUMN())),OFFSET($BN$2,0,0,ROW()-1,60),ROW()-1,FALSE))</f>
        <v/>
      </c>
      <c r="V141" t="str">
        <f ca="1">IF(AND(ISNUMBER($V$344),$B$208=1),$V$344,HLOOKUP(INDIRECT(ADDRESS(2,COLUMN())),OFFSET($BN$2,0,0,ROW()-1,60),ROW()-1,FALSE))</f>
        <v/>
      </c>
      <c r="W141" t="str">
        <f ca="1">IF(AND(ISNUMBER($W$344),$B$208=1),$W$344,HLOOKUP(INDIRECT(ADDRESS(2,COLUMN())),OFFSET($BN$2,0,0,ROW()-1,60),ROW()-1,FALSE))</f>
        <v/>
      </c>
      <c r="X141" t="str">
        <f ca="1">IF(AND(ISNUMBER($X$344),$B$208=1),$X$344,HLOOKUP(INDIRECT(ADDRESS(2,COLUMN())),OFFSET($BN$2,0,0,ROW()-1,60),ROW()-1,FALSE))</f>
        <v/>
      </c>
      <c r="Y141" t="str">
        <f ca="1">IF(AND(ISNUMBER($Y$344),$B$208=1),$Y$344,HLOOKUP(INDIRECT(ADDRESS(2,COLUMN())),OFFSET($BN$2,0,0,ROW()-1,60),ROW()-1,FALSE))</f>
        <v/>
      </c>
      <c r="Z141" t="str">
        <f ca="1">IF(AND(ISNUMBER($Z$344),$B$208=1),$Z$344,HLOOKUP(INDIRECT(ADDRESS(2,COLUMN())),OFFSET($BN$2,0,0,ROW()-1,60),ROW()-1,FALSE))</f>
        <v/>
      </c>
      <c r="AA141" t="str">
        <f ca="1">IF(AND(ISNUMBER($AA$344),$B$208=1),$AA$344,HLOOKUP(INDIRECT(ADDRESS(2,COLUMN())),OFFSET($BN$2,0,0,ROW()-1,60),ROW()-1,FALSE))</f>
        <v/>
      </c>
      <c r="AB141" t="str">
        <f ca="1">IF(AND(ISNUMBER($AB$344),$B$208=1),$AB$344,HLOOKUP(INDIRECT(ADDRESS(2,COLUMN())),OFFSET($BN$2,0,0,ROW()-1,60),ROW()-1,FALSE))</f>
        <v/>
      </c>
      <c r="AC141" t="str">
        <f ca="1">IF(AND(ISNUMBER($AC$344),$B$208=1),$AC$344,HLOOKUP(INDIRECT(ADDRESS(2,COLUMN())),OFFSET($BN$2,0,0,ROW()-1,60),ROW()-1,FALSE))</f>
        <v/>
      </c>
      <c r="AD141" t="str">
        <f ca="1">IF(AND(ISNUMBER($AD$344),$B$208=1),$AD$344,HLOOKUP(INDIRECT(ADDRESS(2,COLUMN())),OFFSET($BN$2,0,0,ROW()-1,60),ROW()-1,FALSE))</f>
        <v/>
      </c>
      <c r="AE141" t="str">
        <f ca="1">IF(AND(ISNUMBER($AE$344),$B$208=1),$AE$344,HLOOKUP(INDIRECT(ADDRESS(2,COLUMN())),OFFSET($BN$2,0,0,ROW()-1,60),ROW()-1,FALSE))</f>
        <v/>
      </c>
      <c r="AF141" t="str">
        <f ca="1">IF(AND(ISNUMBER($AF$344),$B$208=1),$AF$344,HLOOKUP(INDIRECT(ADDRESS(2,COLUMN())),OFFSET($BN$2,0,0,ROW()-1,60),ROW()-1,FALSE))</f>
        <v/>
      </c>
      <c r="AG141" t="str">
        <f ca="1">IF(AND(ISNUMBER($AG$344),$B$208=1),$AG$344,HLOOKUP(INDIRECT(ADDRESS(2,COLUMN())),OFFSET($BN$2,0,0,ROW()-1,60),ROW()-1,FALSE))</f>
        <v/>
      </c>
      <c r="AH141" t="str">
        <f ca="1">IF(AND(ISNUMBER($AH$344),$B$208=1),$AH$344,HLOOKUP(INDIRECT(ADDRESS(2,COLUMN())),OFFSET($BN$2,0,0,ROW()-1,60),ROW()-1,FALSE))</f>
        <v/>
      </c>
      <c r="AI141" t="str">
        <f ca="1">IF(AND(ISNUMBER($AI$344),$B$208=1),$AI$344,HLOOKUP(INDIRECT(ADDRESS(2,COLUMN())),OFFSET($BN$2,0,0,ROW()-1,60),ROW()-1,FALSE))</f>
        <v/>
      </c>
      <c r="AJ141" t="str">
        <f ca="1">IF(AND(ISNUMBER($AJ$344),$B$208=1),$AJ$344,HLOOKUP(INDIRECT(ADDRESS(2,COLUMN())),OFFSET($BN$2,0,0,ROW()-1,60),ROW()-1,FALSE))</f>
        <v/>
      </c>
      <c r="AK141" t="str">
        <f ca="1">IF(AND(ISNUMBER($AK$344),$B$208=1),$AK$344,HLOOKUP(INDIRECT(ADDRESS(2,COLUMN())),OFFSET($BN$2,0,0,ROW()-1,60),ROW()-1,FALSE))</f>
        <v/>
      </c>
      <c r="AL141" t="str">
        <f ca="1">IF(AND(ISNUMBER($AL$344),$B$208=1),$AL$344,HLOOKUP(INDIRECT(ADDRESS(2,COLUMN())),OFFSET($BN$2,0,0,ROW()-1,60),ROW()-1,FALSE))</f>
        <v/>
      </c>
      <c r="AM141" t="str">
        <f ca="1">IF(AND(ISNUMBER($AM$344),$B$208=1),$AM$344,HLOOKUP(INDIRECT(ADDRESS(2,COLUMN())),OFFSET($BN$2,0,0,ROW()-1,60),ROW()-1,FALSE))</f>
        <v/>
      </c>
      <c r="AN141" t="str">
        <f ca="1">IF(AND(ISNUMBER($AN$344),$B$208=1),$AN$344,HLOOKUP(INDIRECT(ADDRESS(2,COLUMN())),OFFSET($BN$2,0,0,ROW()-1,60),ROW()-1,FALSE))</f>
        <v/>
      </c>
      <c r="AO141" t="str">
        <f ca="1">IF(AND(ISNUMBER($AO$344),$B$208=1),$AO$344,HLOOKUP(INDIRECT(ADDRESS(2,COLUMN())),OFFSET($BN$2,0,0,ROW()-1,60),ROW()-1,FALSE))</f>
        <v/>
      </c>
      <c r="AP141" t="str">
        <f ca="1">IF(AND(ISNUMBER($AP$344),$B$208=1),$AP$344,HLOOKUP(INDIRECT(ADDRESS(2,COLUMN())),OFFSET($BN$2,0,0,ROW()-1,60),ROW()-1,FALSE))</f>
        <v/>
      </c>
      <c r="AQ141" t="str">
        <f ca="1">IF(AND(ISNUMBER($AQ$344),$B$208=1),$AQ$344,HLOOKUP(INDIRECT(ADDRESS(2,COLUMN())),OFFSET($BN$2,0,0,ROW()-1,60),ROW()-1,FALSE))</f>
        <v/>
      </c>
      <c r="AR141" t="str">
        <f ca="1">IF(AND(ISNUMBER($AR$344),$B$208=1),$AR$344,HLOOKUP(INDIRECT(ADDRESS(2,COLUMN())),OFFSET($BN$2,0,0,ROW()-1,60),ROW()-1,FALSE))</f>
        <v/>
      </c>
      <c r="AS141" t="str">
        <f ca="1">IF(AND(ISNUMBER($AS$344),$B$208=1),$AS$344,HLOOKUP(INDIRECT(ADDRESS(2,COLUMN())),OFFSET($BN$2,0,0,ROW()-1,60),ROW()-1,FALSE))</f>
        <v/>
      </c>
      <c r="AT141" t="str">
        <f ca="1">IF(AND(ISNUMBER($AT$344),$B$208=1),$AT$344,HLOOKUP(INDIRECT(ADDRESS(2,COLUMN())),OFFSET($BN$2,0,0,ROW()-1,60),ROW()-1,FALSE))</f>
        <v/>
      </c>
      <c r="AU141" t="str">
        <f ca="1">IF(AND(ISNUMBER($AU$344),$B$208=1),$AU$344,HLOOKUP(INDIRECT(ADDRESS(2,COLUMN())),OFFSET($BN$2,0,0,ROW()-1,60),ROW()-1,FALSE))</f>
        <v/>
      </c>
      <c r="AV141" t="str">
        <f ca="1">IF(AND(ISNUMBER($AV$344),$B$208=1),$AV$344,HLOOKUP(INDIRECT(ADDRESS(2,COLUMN())),OFFSET($BN$2,0,0,ROW()-1,60),ROW()-1,FALSE))</f>
        <v/>
      </c>
      <c r="AW141" t="str">
        <f ca="1">IF(AND(ISNUMBER($AW$344),$B$208=1),$AW$344,HLOOKUP(INDIRECT(ADDRESS(2,COLUMN())),OFFSET($BN$2,0,0,ROW()-1,60),ROW()-1,FALSE))</f>
        <v/>
      </c>
      <c r="AX141" t="str">
        <f ca="1">IF(AND(ISNUMBER($AX$344),$B$208=1),$AX$344,HLOOKUP(INDIRECT(ADDRESS(2,COLUMN())),OFFSET($BN$2,0,0,ROW()-1,60),ROW()-1,FALSE))</f>
        <v/>
      </c>
      <c r="AY141" t="str">
        <f ca="1">IF(AND(ISNUMBER($AY$344),$B$208=1),$AY$344,HLOOKUP(INDIRECT(ADDRESS(2,COLUMN())),OFFSET($BN$2,0,0,ROW()-1,60),ROW()-1,FALSE))</f>
        <v/>
      </c>
      <c r="AZ141" t="str">
        <f ca="1">IF(AND(ISNUMBER($AZ$344),$B$208=1),$AZ$344,HLOOKUP(INDIRECT(ADDRESS(2,COLUMN())),OFFSET($BN$2,0,0,ROW()-1,60),ROW()-1,FALSE))</f>
        <v/>
      </c>
      <c r="BA141" t="str">
        <f ca="1">IF(AND(ISNUMBER($BA$344),$B$208=1),$BA$344,HLOOKUP(INDIRECT(ADDRESS(2,COLUMN())),OFFSET($BN$2,0,0,ROW()-1,60),ROW()-1,FALSE))</f>
        <v/>
      </c>
      <c r="BB141" t="str">
        <f ca="1">IF(AND(ISNUMBER($BB$344),$B$208=1),$BB$344,HLOOKUP(INDIRECT(ADDRESS(2,COLUMN())),OFFSET($BN$2,0,0,ROW()-1,60),ROW()-1,FALSE))</f>
        <v/>
      </c>
      <c r="BC141" t="str">
        <f ca="1">IF(AND(ISNUMBER($BC$344),$B$208=1),$BC$344,HLOOKUP(INDIRECT(ADDRESS(2,COLUMN())),OFFSET($BN$2,0,0,ROW()-1,60),ROW()-1,FALSE))</f>
        <v/>
      </c>
      <c r="BD141" t="str">
        <f ca="1">IF(AND(ISNUMBER($BD$344),$B$208=1),$BD$344,HLOOKUP(INDIRECT(ADDRESS(2,COLUMN())),OFFSET($BN$2,0,0,ROW()-1,60),ROW()-1,FALSE))</f>
        <v/>
      </c>
      <c r="BE141" t="str">
        <f ca="1">IF(AND(ISNUMBER($BE$344),$B$208=1),$BE$344,HLOOKUP(INDIRECT(ADDRESS(2,COLUMN())),OFFSET($BN$2,0,0,ROW()-1,60),ROW()-1,FALSE))</f>
        <v/>
      </c>
      <c r="BF141" t="str">
        <f ca="1">IF(AND(ISNUMBER($BF$344),$B$208=1),$BF$344,HLOOKUP(INDIRECT(ADDRESS(2,COLUMN())),OFFSET($BN$2,0,0,ROW()-1,60),ROW()-1,FALSE))</f>
        <v/>
      </c>
      <c r="BG141" t="str">
        <f ca="1">IF(AND(ISNUMBER($BG$344),$B$208=1),$BG$344,HLOOKUP(INDIRECT(ADDRESS(2,COLUMN())),OFFSET($BN$2,0,0,ROW()-1,60),ROW()-1,FALSE))</f>
        <v/>
      </c>
      <c r="BH141" t="str">
        <f ca="1">IF(AND(ISNUMBER($BH$344),$B$208=1),$BH$344,HLOOKUP(INDIRECT(ADDRESS(2,COLUMN())),OFFSET($BN$2,0,0,ROW()-1,60),ROW()-1,FALSE))</f>
        <v/>
      </c>
      <c r="BI141" t="str">
        <f ca="1">IF(AND(ISNUMBER($BI$344),$B$208=1),$BI$344,HLOOKUP(INDIRECT(ADDRESS(2,COLUMN())),OFFSET($BN$2,0,0,ROW()-1,60),ROW()-1,FALSE))</f>
        <v/>
      </c>
      <c r="BJ141" t="str">
        <f ca="1">IF(AND(ISNUMBER($BJ$344),$B$208=1),$BJ$344,HLOOKUP(INDIRECT(ADDRESS(2,COLUMN())),OFFSET($BN$2,0,0,ROW()-1,60),ROW()-1,FALSE))</f>
        <v/>
      </c>
      <c r="BK141" t="str">
        <f ca="1">IF(AND(ISNUMBER($BK$344),$B$208=1),$BK$344,HLOOKUP(INDIRECT(ADDRESS(2,COLUMN())),OFFSET($BN$2,0,0,ROW()-1,60),ROW()-1,FALSE))</f>
        <v/>
      </c>
      <c r="BL141" t="str">
        <f ca="1">IF(AND(ISNUMBER($BL$344),$B$208=1),$BL$344,HLOOKUP(INDIRECT(ADDRESS(2,COLUMN())),OFFSET($BN$2,0,0,ROW()-1,60),ROW()-1,FALSE))</f>
        <v/>
      </c>
      <c r="BM141" t="str">
        <f ca="1">IF(AND(ISNUMBER($BM$344),$B$208=1),$BM$344,HLOOKUP(INDIRECT(ADDRESS(2,COLUMN())),OFFSET($BN$2,0,0,ROW()-1,60),ROW()-1,FALSE))</f>
        <v/>
      </c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  <c r="BT141" t="str">
        <f>""</f>
        <v/>
      </c>
      <c r="BU141" t="str">
        <f>""</f>
        <v/>
      </c>
      <c r="BV141" t="str">
        <f>""</f>
        <v/>
      </c>
      <c r="BW141" t="str">
        <f>""</f>
        <v/>
      </c>
      <c r="BX141" t="str">
        <f>""</f>
        <v/>
      </c>
      <c r="BY141" t="str">
        <f>""</f>
        <v/>
      </c>
      <c r="BZ141" t="str">
        <f>""</f>
        <v/>
      </c>
      <c r="CA141" t="str">
        <f>""</f>
        <v/>
      </c>
      <c r="CB141" t="str">
        <f>""</f>
        <v/>
      </c>
      <c r="CC141" t="str">
        <f>""</f>
        <v/>
      </c>
      <c r="CD141" t="str">
        <f>""</f>
        <v/>
      </c>
      <c r="CE141" t="str">
        <f>""</f>
        <v/>
      </c>
      <c r="CF141" t="str">
        <f>""</f>
        <v/>
      </c>
      <c r="CG141" t="str">
        <f>""</f>
        <v/>
      </c>
      <c r="CH141" t="str">
        <f>""</f>
        <v/>
      </c>
      <c r="CI141" t="str">
        <f>""</f>
        <v/>
      </c>
      <c r="CJ141" t="str">
        <f>""</f>
        <v/>
      </c>
      <c r="CK141" t="str">
        <f>""</f>
        <v/>
      </c>
      <c r="CL141" t="str">
        <f>""</f>
        <v/>
      </c>
      <c r="CM141" t="str">
        <f>""</f>
        <v/>
      </c>
      <c r="CN141" t="str">
        <f>""</f>
        <v/>
      </c>
      <c r="CO141" t="str">
        <f>""</f>
        <v/>
      </c>
      <c r="CP141" t="str">
        <f>""</f>
        <v/>
      </c>
      <c r="CQ141" t="str">
        <f>""</f>
        <v/>
      </c>
      <c r="CR141" t="str">
        <f>""</f>
        <v/>
      </c>
      <c r="CS141" t="str">
        <f>""</f>
        <v/>
      </c>
      <c r="CT141" t="str">
        <f>""</f>
        <v/>
      </c>
      <c r="CU141" t="str">
        <f>""</f>
        <v/>
      </c>
      <c r="CV141" t="str">
        <f>""</f>
        <v/>
      </c>
      <c r="CW141" t="str">
        <f>""</f>
        <v/>
      </c>
      <c r="CX141" t="str">
        <f>""</f>
        <v/>
      </c>
      <c r="CY141" t="str">
        <f>""</f>
        <v/>
      </c>
      <c r="CZ141" t="str">
        <f>""</f>
        <v/>
      </c>
      <c r="DA141" t="str">
        <f>""</f>
        <v/>
      </c>
      <c r="DB141" t="str">
        <f>""</f>
        <v/>
      </c>
      <c r="DC141" t="str">
        <f>""</f>
        <v/>
      </c>
      <c r="DD141" t="str">
        <f>""</f>
        <v/>
      </c>
      <c r="DE141" t="str">
        <f>""</f>
        <v/>
      </c>
      <c r="DF141" t="str">
        <f>""</f>
        <v/>
      </c>
      <c r="DG141" t="str">
        <f>""</f>
        <v/>
      </c>
      <c r="DH141" t="str">
        <f>""</f>
        <v/>
      </c>
      <c r="DI141" t="str">
        <f>""</f>
        <v/>
      </c>
      <c r="DJ141" t="str">
        <f>""</f>
        <v/>
      </c>
      <c r="DK141" t="str">
        <f>""</f>
        <v/>
      </c>
      <c r="DL141" t="str">
        <f>""</f>
        <v/>
      </c>
      <c r="DM141" t="str">
        <f>""</f>
        <v/>
      </c>
      <c r="DN141" t="str">
        <f>""</f>
        <v/>
      </c>
      <c r="DO141" t="str">
        <f>""</f>
        <v/>
      </c>
      <c r="DP141" t="str">
        <f>""</f>
        <v/>
      </c>
      <c r="DQ141" t="str">
        <f>""</f>
        <v/>
      </c>
      <c r="DR141" t="str">
        <f>""</f>
        <v/>
      </c>
      <c r="DS141" t="str">
        <f>""</f>
        <v/>
      </c>
      <c r="DT141" t="str">
        <f>""</f>
        <v/>
      </c>
      <c r="DU141" t="str">
        <f>""</f>
        <v/>
      </c>
    </row>
    <row r="142" spans="1:125" x14ac:dyDescent="0.25">
      <c r="A142" t="str">
        <f>"    Komercni Banka AS"</f>
        <v xml:space="preserve">    Komercni Banka AS</v>
      </c>
      <c r="B142" t="str">
        <f>"KOMB CP Equity"</f>
        <v>KOMB CP Equity</v>
      </c>
      <c r="C142" t="str">
        <f t="shared" si="9"/>
        <v>BS016</v>
      </c>
      <c r="D142" t="str">
        <f t="shared" si="10"/>
        <v>BS_COMM_LOAN</v>
      </c>
      <c r="E142" t="str">
        <f t="shared" si="11"/>
        <v>Dynamic</v>
      </c>
      <c r="F142">
        <f ca="1">IF(AND(ISNUMBER($F$345),$B$208=1),$F$345,HLOOKUP(INDIRECT(ADDRESS(2,COLUMN())),OFFSET($BN$2,0,0,ROW()-1,60),ROW()-1,FALSE))</f>
        <v>16871.09247</v>
      </c>
      <c r="G142">
        <f ca="1">IF(AND(ISNUMBER($G$345),$B$208=1),$G$345,HLOOKUP(INDIRECT(ADDRESS(2,COLUMN())),OFFSET($BN$2,0,0,ROW()-1,60),ROW()-1,FALSE))</f>
        <v>16605.492600000001</v>
      </c>
      <c r="H142">
        <f ca="1">IF(AND(ISNUMBER($H$345),$B$208=1),$H$345,HLOOKUP(INDIRECT(ADDRESS(2,COLUMN())),OFFSET($BN$2,0,0,ROW()-1,60),ROW()-1,FALSE))</f>
        <v>15239.81813</v>
      </c>
      <c r="I142">
        <f ca="1">IF(AND(ISNUMBER($I$345),$B$208=1),$I$345,HLOOKUP(INDIRECT(ADDRESS(2,COLUMN())),OFFSET($BN$2,0,0,ROW()-1,60),ROW()-1,FALSE))</f>
        <v>16448.60729</v>
      </c>
      <c r="J142">
        <f ca="1">IF(AND(ISNUMBER($J$345),$B$208=1),$J$345,HLOOKUP(INDIRECT(ADDRESS(2,COLUMN())),OFFSET($BN$2,0,0,ROW()-1,60),ROW()-1,FALSE))</f>
        <v>15800.43922</v>
      </c>
      <c r="K142">
        <f ca="1">IF(AND(ISNUMBER($K$345),$B$208=1),$K$345,HLOOKUP(INDIRECT(ADDRESS(2,COLUMN())),OFFSET($BN$2,0,0,ROW()-1,60),ROW()-1,FALSE))</f>
        <v>16702.63177</v>
      </c>
      <c r="L142">
        <f ca="1">IF(AND(ISNUMBER($L$345),$B$208=1),$L$345,HLOOKUP(INDIRECT(ADDRESS(2,COLUMN())),OFFSET($BN$2,0,0,ROW()-1,60),ROW()-1,FALSE))</f>
        <v>15331.704</v>
      </c>
      <c r="M142">
        <f ca="1">IF(AND(ISNUMBER($M$345),$B$208=1),$M$345,HLOOKUP(INDIRECT(ADDRESS(2,COLUMN())),OFFSET($BN$2,0,0,ROW()-1,60),ROW()-1,FALSE))</f>
        <v>16927.485519999998</v>
      </c>
      <c r="N142">
        <f ca="1">IF(AND(ISNUMBER($N$345),$B$208=1),$N$345,HLOOKUP(INDIRECT(ADDRESS(2,COLUMN())),OFFSET($BN$2,0,0,ROW()-1,60),ROW()-1,FALSE))</f>
        <v>14918.374250000001</v>
      </c>
      <c r="O142">
        <f ca="1">IF(AND(ISNUMBER($O$345),$B$208=1),$O$345,HLOOKUP(INDIRECT(ADDRESS(2,COLUMN())),OFFSET($BN$2,0,0,ROW()-1,60),ROW()-1,FALSE))</f>
        <v>16336.698710000001</v>
      </c>
      <c r="P142">
        <f ca="1">IF(AND(ISNUMBER($P$345),$B$208=1),$P$345,HLOOKUP(INDIRECT(ADDRESS(2,COLUMN())),OFFSET($BN$2,0,0,ROW()-1,60),ROW()-1,FALSE))</f>
        <v>13874.371160000001</v>
      </c>
      <c r="Q142">
        <f ca="1">IF(AND(ISNUMBER($Q$345),$B$208=1),$Q$345,HLOOKUP(INDIRECT(ADDRESS(2,COLUMN())),OFFSET($BN$2,0,0,ROW()-1,60),ROW()-1,FALSE))</f>
        <v>15304.64832</v>
      </c>
      <c r="R142">
        <f ca="1">IF(AND(ISNUMBER($R$345),$B$208=1),$R$345,HLOOKUP(INDIRECT(ADDRESS(2,COLUMN())),OFFSET($BN$2,0,0,ROW()-1,60),ROW()-1,FALSE))</f>
        <v>12865.39308</v>
      </c>
      <c r="S142">
        <f ca="1">IF(AND(ISNUMBER($S$345),$B$208=1),$S$345,HLOOKUP(INDIRECT(ADDRESS(2,COLUMN())),OFFSET($BN$2,0,0,ROW()-1,60),ROW()-1,FALSE))</f>
        <v>14238.30373</v>
      </c>
      <c r="T142">
        <f ca="1">IF(AND(ISNUMBER($T$345),$B$208=1),$T$345,HLOOKUP(INDIRECT(ADDRESS(2,COLUMN())),OFFSET($BN$2,0,0,ROW()-1,60),ROW()-1,FALSE))</f>
        <v>12081.757159999999</v>
      </c>
      <c r="U142">
        <f ca="1">IF(AND(ISNUMBER($U$345),$B$208=1),$U$345,HLOOKUP(INDIRECT(ADDRESS(2,COLUMN())),OFFSET($BN$2,0,0,ROW()-1,60),ROW()-1,FALSE))</f>
        <v>13083.799919999999</v>
      </c>
      <c r="V142">
        <f ca="1">IF(AND(ISNUMBER($V$345),$B$208=1),$V$345,HLOOKUP(INDIRECT(ADDRESS(2,COLUMN())),OFFSET($BN$2,0,0,ROW()-1,60),ROW()-1,FALSE))</f>
        <v>11719.4853</v>
      </c>
      <c r="W142">
        <f ca="1">IF(AND(ISNUMBER($W$345),$B$208=1),$W$345,HLOOKUP(INDIRECT(ADDRESS(2,COLUMN())),OFFSET($BN$2,0,0,ROW()-1,60),ROW()-1,FALSE))</f>
        <v>12902.356889999999</v>
      </c>
      <c r="X142">
        <f ca="1">IF(AND(ISNUMBER($X$345),$B$208=1),$X$345,HLOOKUP(INDIRECT(ADDRESS(2,COLUMN())),OFFSET($BN$2,0,0,ROW()-1,60),ROW()-1,FALSE))</f>
        <v>11703.83815</v>
      </c>
      <c r="Y142">
        <f ca="1">IF(AND(ISNUMBER($Y$345),$B$208=1),$Y$345,HLOOKUP(INDIRECT(ADDRESS(2,COLUMN())),OFFSET($BN$2,0,0,ROW()-1,60),ROW()-1,FALSE))</f>
        <v>12420.58525</v>
      </c>
      <c r="Z142">
        <f ca="1">IF(AND(ISNUMBER($Z$345),$B$208=1),$Z$345,HLOOKUP(INDIRECT(ADDRESS(2,COLUMN())),OFFSET($BN$2,0,0,ROW()-1,60),ROW()-1,FALSE))</f>
        <v>11493.39687</v>
      </c>
      <c r="AA142">
        <f ca="1">IF(AND(ISNUMBER($AA$345),$B$208=1),$AA$345,HLOOKUP(INDIRECT(ADDRESS(2,COLUMN())),OFFSET($BN$2,0,0,ROW()-1,60),ROW()-1,FALSE))</f>
        <v>12918.93903</v>
      </c>
      <c r="AB142">
        <f ca="1">IF(AND(ISNUMBER($AB$345),$B$208=1),$AB$345,HLOOKUP(INDIRECT(ADDRESS(2,COLUMN())),OFFSET($BN$2,0,0,ROW()-1,60),ROW()-1,FALSE))</f>
        <v>11636.241529999999</v>
      </c>
      <c r="AC142">
        <f ca="1">IF(AND(ISNUMBER($AC$345),$B$208=1),$AC$345,HLOOKUP(INDIRECT(ADDRESS(2,COLUMN())),OFFSET($BN$2,0,0,ROW()-1,60),ROW()-1,FALSE))</f>
        <v>12497.480680000001</v>
      </c>
      <c r="AD142">
        <f ca="1">IF(AND(ISNUMBER($AD$345),$B$208=1),$AD$345,HLOOKUP(INDIRECT(ADDRESS(2,COLUMN())),OFFSET($BN$2,0,0,ROW()-1,60),ROW()-1,FALSE))</f>
        <v>11176.535180000001</v>
      </c>
      <c r="AE142">
        <f ca="1">IF(AND(ISNUMBER($AE$345),$B$208=1),$AE$345,HLOOKUP(INDIRECT(ADDRESS(2,COLUMN())),OFFSET($BN$2,0,0,ROW()-1,60),ROW()-1,FALSE))</f>
        <v>12358.611150000001</v>
      </c>
      <c r="AF142">
        <f ca="1">IF(AND(ISNUMBER($AF$345),$B$208=1),$AF$345,HLOOKUP(INDIRECT(ADDRESS(2,COLUMN())),OFFSET($BN$2,0,0,ROW()-1,60),ROW()-1,FALSE))</f>
        <v>11278.971970000001</v>
      </c>
      <c r="AG142">
        <f ca="1">IF(AND(ISNUMBER($AG$345),$B$208=1),$AG$345,HLOOKUP(INDIRECT(ADDRESS(2,COLUMN())),OFFSET($BN$2,0,0,ROW()-1,60),ROW()-1,FALSE))</f>
        <v>12221.21291</v>
      </c>
      <c r="AH142">
        <f ca="1">IF(AND(ISNUMBER($AH$345),$B$208=1),$AH$345,HLOOKUP(INDIRECT(ADDRESS(2,COLUMN())),OFFSET($BN$2,0,0,ROW()-1,60),ROW()-1,FALSE))</f>
        <v>11218.50757</v>
      </c>
      <c r="AI142">
        <f ca="1">IF(AND(ISNUMBER($AI$345),$B$208=1),$AI$345,HLOOKUP(INDIRECT(ADDRESS(2,COLUMN())),OFFSET($BN$2,0,0,ROW()-1,60),ROW()-1,FALSE))</f>
        <v>11884.42109</v>
      </c>
      <c r="AJ142">
        <f ca="1">IF(AND(ISNUMBER($AJ$345),$B$208=1),$AJ$345,HLOOKUP(INDIRECT(ADDRESS(2,COLUMN())),OFFSET($BN$2,0,0,ROW()-1,60),ROW()-1,FALSE))</f>
        <v>11570.004010000001</v>
      </c>
      <c r="AK142">
        <f ca="1">IF(AND(ISNUMBER($AK$345),$B$208=1),$AK$345,HLOOKUP(INDIRECT(ADDRESS(2,COLUMN())),OFFSET($BN$2,0,0,ROW()-1,60),ROW()-1,FALSE))</f>
        <v>11446.76742</v>
      </c>
      <c r="AL142">
        <f ca="1">IF(AND(ISNUMBER($AL$345),$B$208=1),$AL$345,HLOOKUP(INDIRECT(ADDRESS(2,COLUMN())),OFFSET($BN$2,0,0,ROW()-1,60),ROW()-1,FALSE))</f>
        <v>10593.15654</v>
      </c>
      <c r="AM142">
        <f ca="1">IF(AND(ISNUMBER($AM$345),$B$208=1),$AM$345,HLOOKUP(INDIRECT(ADDRESS(2,COLUMN())),OFFSET($BN$2,0,0,ROW()-1,60),ROW()-1,FALSE))</f>
        <v>11753.00481</v>
      </c>
      <c r="AN142">
        <f ca="1">IF(AND(ISNUMBER($AN$345),$B$208=1),$AN$345,HLOOKUP(INDIRECT(ADDRESS(2,COLUMN())),OFFSET($BN$2,0,0,ROW()-1,60),ROW()-1,FALSE))</f>
        <v>10212.637989999999</v>
      </c>
      <c r="AO142">
        <f ca="1">IF(AND(ISNUMBER($AO$345),$B$208=1),$AO$345,HLOOKUP(INDIRECT(ADDRESS(2,COLUMN())),OFFSET($BN$2,0,0,ROW()-1,60),ROW()-1,FALSE))</f>
        <v>10702.935670000001</v>
      </c>
      <c r="AP142">
        <f ca="1">IF(AND(ISNUMBER($AP$345),$B$208=1),$AP$345,HLOOKUP(INDIRECT(ADDRESS(2,COLUMN())),OFFSET($BN$2,0,0,ROW()-1,60),ROW()-1,FALSE))</f>
        <v>9693.4963919999991</v>
      </c>
      <c r="AQ142">
        <f ca="1">IF(AND(ISNUMBER($AQ$345),$B$208=1),$AQ$345,HLOOKUP(INDIRECT(ADDRESS(2,COLUMN())),OFFSET($BN$2,0,0,ROW()-1,60),ROW()-1,FALSE))</f>
        <v>10533.43801</v>
      </c>
      <c r="AR142">
        <f ca="1">IF(AND(ISNUMBER($AR$345),$B$208=1),$AR$345,HLOOKUP(INDIRECT(ADDRESS(2,COLUMN())),OFFSET($BN$2,0,0,ROW()-1,60),ROW()-1,FALSE))</f>
        <v>8931.7957239999996</v>
      </c>
      <c r="AS142">
        <f ca="1">IF(AND(ISNUMBER($AS$345),$B$208=1),$AS$345,HLOOKUP(INDIRECT(ADDRESS(2,COLUMN())),OFFSET($BN$2,0,0,ROW()-1,60),ROW()-1,FALSE))</f>
        <v>10057.21428</v>
      </c>
      <c r="AT142">
        <f ca="1">IF(AND(ISNUMBER($AT$345),$B$208=1),$AT$345,HLOOKUP(INDIRECT(ADDRESS(2,COLUMN())),OFFSET($BN$2,0,0,ROW()-1,60),ROW()-1,FALSE))</f>
        <v>9018.2301769999995</v>
      </c>
      <c r="AU142" t="str">
        <f ca="1">IF(AND(ISNUMBER($AU$345),$B$208=1),$AU$345,HLOOKUP(INDIRECT(ADDRESS(2,COLUMN())),OFFSET($BN$2,0,0,ROW()-1,60),ROW()-1,FALSE))</f>
        <v/>
      </c>
      <c r="AV142">
        <f ca="1">IF(AND(ISNUMBER($AV$345),$B$208=1),$AV$345,HLOOKUP(INDIRECT(ADDRESS(2,COLUMN())),OFFSET($BN$2,0,0,ROW()-1,60),ROW()-1,FALSE))</f>
        <v>8589.9028600000001</v>
      </c>
      <c r="AW142">
        <f ca="1">IF(AND(ISNUMBER($AW$345),$B$208=1),$AW$345,HLOOKUP(INDIRECT(ADDRESS(2,COLUMN())),OFFSET($BN$2,0,0,ROW()-1,60),ROW()-1,FALSE))</f>
        <v>9519.625059</v>
      </c>
      <c r="AX142">
        <f ca="1">IF(AND(ISNUMBER($AX$345),$B$208=1),$AX$345,HLOOKUP(INDIRECT(ADDRESS(2,COLUMN())),OFFSET($BN$2,0,0,ROW()-1,60),ROW()-1,FALSE))</f>
        <v>8684.9226880000006</v>
      </c>
      <c r="AY142" t="str">
        <f ca="1">IF(AND(ISNUMBER($AY$345),$B$208=1),$AY$345,HLOOKUP(INDIRECT(ADDRESS(2,COLUMN())),OFFSET($BN$2,0,0,ROW()-1,60),ROW()-1,FALSE))</f>
        <v/>
      </c>
      <c r="AZ142" t="str">
        <f ca="1">IF(AND(ISNUMBER($AZ$345),$B$208=1),$AZ$345,HLOOKUP(INDIRECT(ADDRESS(2,COLUMN())),OFFSET($BN$2,0,0,ROW()-1,60),ROW()-1,FALSE))</f>
        <v/>
      </c>
      <c r="BA142" t="str">
        <f ca="1">IF(AND(ISNUMBER($BA$345),$B$208=1),$BA$345,HLOOKUP(INDIRECT(ADDRESS(2,COLUMN())),OFFSET($BN$2,0,0,ROW()-1,60),ROW()-1,FALSE))</f>
        <v/>
      </c>
      <c r="BB142">
        <f ca="1">IF(AND(ISNUMBER($BB$345),$B$208=1),$BB$345,HLOOKUP(INDIRECT(ADDRESS(2,COLUMN())),OFFSET($BN$2,0,0,ROW()-1,60),ROW()-1,FALSE))</f>
        <v>8959.0807580000001</v>
      </c>
      <c r="BC142" t="str">
        <f ca="1">IF(AND(ISNUMBER($BC$345),$B$208=1),$BC$345,HLOOKUP(INDIRECT(ADDRESS(2,COLUMN())),OFFSET($BN$2,0,0,ROW()-1,60),ROW()-1,FALSE))</f>
        <v/>
      </c>
      <c r="BD142" t="str">
        <f ca="1">IF(AND(ISNUMBER($BD$345),$B$208=1),$BD$345,HLOOKUP(INDIRECT(ADDRESS(2,COLUMN())),OFFSET($BN$2,0,0,ROW()-1,60),ROW()-1,FALSE))</f>
        <v/>
      </c>
      <c r="BE142" t="str">
        <f ca="1">IF(AND(ISNUMBER($BE$345),$B$208=1),$BE$345,HLOOKUP(INDIRECT(ADDRESS(2,COLUMN())),OFFSET($BN$2,0,0,ROW()-1,60),ROW()-1,FALSE))</f>
        <v/>
      </c>
      <c r="BF142" t="str">
        <f ca="1">IF(AND(ISNUMBER($BF$345),$B$208=1),$BF$345,HLOOKUP(INDIRECT(ADDRESS(2,COLUMN())),OFFSET($BN$2,0,0,ROW()-1,60),ROW()-1,FALSE))</f>
        <v/>
      </c>
      <c r="BG142" t="str">
        <f ca="1">IF(AND(ISNUMBER($BG$345),$B$208=1),$BG$345,HLOOKUP(INDIRECT(ADDRESS(2,COLUMN())),OFFSET($BN$2,0,0,ROW()-1,60),ROW()-1,FALSE))</f>
        <v/>
      </c>
      <c r="BH142" t="str">
        <f ca="1">IF(AND(ISNUMBER($BH$345),$B$208=1),$BH$345,HLOOKUP(INDIRECT(ADDRESS(2,COLUMN())),OFFSET($BN$2,0,0,ROW()-1,60),ROW()-1,FALSE))</f>
        <v/>
      </c>
      <c r="BI142" t="str">
        <f ca="1">IF(AND(ISNUMBER($BI$345),$B$208=1),$BI$345,HLOOKUP(INDIRECT(ADDRESS(2,COLUMN())),OFFSET($BN$2,0,0,ROW()-1,60),ROW()-1,FALSE))</f>
        <v/>
      </c>
      <c r="BJ142" t="str">
        <f ca="1">IF(AND(ISNUMBER($BJ$345),$B$208=1),$BJ$345,HLOOKUP(INDIRECT(ADDRESS(2,COLUMN())),OFFSET($BN$2,0,0,ROW()-1,60),ROW()-1,FALSE))</f>
        <v/>
      </c>
      <c r="BK142" t="str">
        <f ca="1">IF(AND(ISNUMBER($BK$345),$B$208=1),$BK$345,HLOOKUP(INDIRECT(ADDRESS(2,COLUMN())),OFFSET($BN$2,0,0,ROW()-1,60),ROW()-1,FALSE))</f>
        <v/>
      </c>
      <c r="BL142" t="str">
        <f ca="1">IF(AND(ISNUMBER($BL$345),$B$208=1),$BL$345,HLOOKUP(INDIRECT(ADDRESS(2,COLUMN())),OFFSET($BN$2,0,0,ROW()-1,60),ROW()-1,FALSE))</f>
        <v/>
      </c>
      <c r="BM142" t="str">
        <f ca="1">IF(AND(ISNUMBER($BM$345),$B$208=1),$BM$345,HLOOKUP(INDIRECT(ADDRESS(2,COLUMN())),OFFSET($BN$2,0,0,ROW()-1,60),ROW()-1,FALSE))</f>
        <v/>
      </c>
      <c r="BN142">
        <f>16871.09247</f>
        <v>16871.09247</v>
      </c>
      <c r="BO142">
        <f>16605.4926</f>
        <v>16605.492600000001</v>
      </c>
      <c r="BP142">
        <f>15239.81813</f>
        <v>15239.81813</v>
      </c>
      <c r="BQ142">
        <f>16448.60729</f>
        <v>16448.60729</v>
      </c>
      <c r="BR142">
        <f>15800.43922</f>
        <v>15800.43922</v>
      </c>
      <c r="BS142">
        <f>16702.63177</f>
        <v>16702.63177</v>
      </c>
      <c r="BT142">
        <f>15331.704</f>
        <v>15331.704</v>
      </c>
      <c r="BU142">
        <f>16927.48552</f>
        <v>16927.485519999998</v>
      </c>
      <c r="BV142">
        <f>14918.37425</f>
        <v>14918.374250000001</v>
      </c>
      <c r="BW142">
        <f>16336.69871</f>
        <v>16336.698710000001</v>
      </c>
      <c r="BX142">
        <f>13874.37116</f>
        <v>13874.371160000001</v>
      </c>
      <c r="BY142">
        <f>15304.64832</f>
        <v>15304.64832</v>
      </c>
      <c r="BZ142">
        <f>12865.39308</f>
        <v>12865.39308</v>
      </c>
      <c r="CA142">
        <f>14238.30373</f>
        <v>14238.30373</v>
      </c>
      <c r="CB142">
        <f>12081.75716</f>
        <v>12081.757159999999</v>
      </c>
      <c r="CC142">
        <f>13083.79992</f>
        <v>13083.799919999999</v>
      </c>
      <c r="CD142">
        <f>11719.4853</f>
        <v>11719.4853</v>
      </c>
      <c r="CE142">
        <f>12902.35689</f>
        <v>12902.356889999999</v>
      </c>
      <c r="CF142">
        <f>11703.83815</f>
        <v>11703.83815</v>
      </c>
      <c r="CG142">
        <f>12420.58525</f>
        <v>12420.58525</v>
      </c>
      <c r="CH142">
        <f>11493.39687</f>
        <v>11493.39687</v>
      </c>
      <c r="CI142">
        <f>12918.93903</f>
        <v>12918.93903</v>
      </c>
      <c r="CJ142">
        <f>11636.24153</f>
        <v>11636.241529999999</v>
      </c>
      <c r="CK142">
        <f>12497.48068</f>
        <v>12497.480680000001</v>
      </c>
      <c r="CL142">
        <f>11176.53518</f>
        <v>11176.535180000001</v>
      </c>
      <c r="CM142">
        <f>12358.61115</f>
        <v>12358.611150000001</v>
      </c>
      <c r="CN142">
        <f>11278.97197</f>
        <v>11278.971970000001</v>
      </c>
      <c r="CO142">
        <f>12221.21291</f>
        <v>12221.21291</v>
      </c>
      <c r="CP142">
        <f>11218.50757</f>
        <v>11218.50757</v>
      </c>
      <c r="CQ142">
        <f>11884.42109</f>
        <v>11884.42109</v>
      </c>
      <c r="CR142">
        <f>11570.00401</f>
        <v>11570.004010000001</v>
      </c>
      <c r="CS142">
        <f>11446.76742</f>
        <v>11446.76742</v>
      </c>
      <c r="CT142">
        <f>10593.15654</f>
        <v>10593.15654</v>
      </c>
      <c r="CU142">
        <f>11753.00481</f>
        <v>11753.00481</v>
      </c>
      <c r="CV142">
        <f>10212.63799</f>
        <v>10212.637989999999</v>
      </c>
      <c r="CW142">
        <f>10702.93567</f>
        <v>10702.935670000001</v>
      </c>
      <c r="CX142">
        <f>9693.496392</f>
        <v>9693.4963919999991</v>
      </c>
      <c r="CY142">
        <f>10533.43801</f>
        <v>10533.43801</v>
      </c>
      <c r="CZ142">
        <f>8931.795724</f>
        <v>8931.7957239999996</v>
      </c>
      <c r="DA142">
        <f>10057.21428</f>
        <v>10057.21428</v>
      </c>
      <c r="DB142">
        <f>9018.230177</f>
        <v>9018.2301769999995</v>
      </c>
      <c r="DC142" t="str">
        <f>""</f>
        <v/>
      </c>
      <c r="DD142">
        <f>8589.90286</f>
        <v>8589.9028600000001</v>
      </c>
      <c r="DE142">
        <f>9519.625059</f>
        <v>9519.625059</v>
      </c>
      <c r="DF142">
        <f>8684.922688</f>
        <v>8684.9226880000006</v>
      </c>
      <c r="DG142" t="str">
        <f>""</f>
        <v/>
      </c>
      <c r="DH142" t="str">
        <f>""</f>
        <v/>
      </c>
      <c r="DI142" t="str">
        <f>""</f>
        <v/>
      </c>
      <c r="DJ142">
        <f>8959.080758</f>
        <v>8959.0807580000001</v>
      </c>
      <c r="DK142" t="str">
        <f>""</f>
        <v/>
      </c>
      <c r="DL142" t="str">
        <f>""</f>
        <v/>
      </c>
      <c r="DM142" t="str">
        <f>""</f>
        <v/>
      </c>
      <c r="DN142" t="str">
        <f>""</f>
        <v/>
      </c>
      <c r="DO142" t="str">
        <f>""</f>
        <v/>
      </c>
      <c r="DP142" t="str">
        <f>""</f>
        <v/>
      </c>
      <c r="DQ142" t="str">
        <f>""</f>
        <v/>
      </c>
      <c r="DR142" t="str">
        <f>""</f>
        <v/>
      </c>
      <c r="DS142" t="str">
        <f>""</f>
        <v/>
      </c>
      <c r="DT142" t="str">
        <f>""</f>
        <v/>
      </c>
      <c r="DU142" t="str">
        <f>""</f>
        <v/>
      </c>
    </row>
    <row r="143" spans="1:125" x14ac:dyDescent="0.25">
      <c r="A143" t="str">
        <f>"    Lloyds Banking Group PLC"</f>
        <v xml:space="preserve">    Lloyds Banking Group PLC</v>
      </c>
      <c r="B143" t="str">
        <f>"LLOY LN Equity"</f>
        <v>LLOY LN Equity</v>
      </c>
      <c r="C143" t="str">
        <f t="shared" si="9"/>
        <v>BS016</v>
      </c>
      <c r="D143" t="str">
        <f t="shared" si="10"/>
        <v>BS_COMM_LOAN</v>
      </c>
      <c r="E143" t="str">
        <f t="shared" si="11"/>
        <v>Dynamic</v>
      </c>
      <c r="F143">
        <f ca="1">IF(AND(ISNUMBER($F$346),$B$208=1),$F$346,HLOOKUP(INDIRECT(ADDRESS(2,COLUMN())),OFFSET($BN$2,0,0,ROW()-1,60),ROW()-1,FALSE))</f>
        <v>33317.064259999999</v>
      </c>
      <c r="G143">
        <f ca="1">IF(AND(ISNUMBER($G$346),$B$208=1),$G$346,HLOOKUP(INDIRECT(ADDRESS(2,COLUMN())),OFFSET($BN$2,0,0,ROW()-1,60),ROW()-1,FALSE))</f>
        <v>19135.238069999999</v>
      </c>
      <c r="H143" t="str">
        <f ca="1">IF(AND(ISNUMBER($H$346),$B$208=1),$H$346,HLOOKUP(INDIRECT(ADDRESS(2,COLUMN())),OFFSET($BN$2,0,0,ROW()-1,60),ROW()-1,FALSE))</f>
        <v/>
      </c>
      <c r="I143" t="str">
        <f ca="1">IF(AND(ISNUMBER($I$346),$B$208=1),$I$346,HLOOKUP(INDIRECT(ADDRESS(2,COLUMN())),OFFSET($BN$2,0,0,ROW()-1,60),ROW()-1,FALSE))</f>
        <v/>
      </c>
      <c r="J143">
        <f ca="1">IF(AND(ISNUMBER($J$346),$B$208=1),$J$346,HLOOKUP(INDIRECT(ADDRESS(2,COLUMN())),OFFSET($BN$2,0,0,ROW()-1,60),ROW()-1,FALSE))</f>
        <v>32817.65971</v>
      </c>
      <c r="K143">
        <f ca="1">IF(AND(ISNUMBER($K$346),$B$208=1),$K$346,HLOOKUP(INDIRECT(ADDRESS(2,COLUMN())),OFFSET($BN$2,0,0,ROW()-1,60),ROW()-1,FALSE))</f>
        <v>17705.508040000001</v>
      </c>
      <c r="L143" t="str">
        <f ca="1">IF(AND(ISNUMBER($L$346),$B$208=1),$L$346,HLOOKUP(INDIRECT(ADDRESS(2,COLUMN())),OFFSET($BN$2,0,0,ROW()-1,60),ROW()-1,FALSE))</f>
        <v/>
      </c>
      <c r="M143" t="str">
        <f ca="1">IF(AND(ISNUMBER($M$346),$B$208=1),$M$346,HLOOKUP(INDIRECT(ADDRESS(2,COLUMN())),OFFSET($BN$2,0,0,ROW()-1,60),ROW()-1,FALSE))</f>
        <v/>
      </c>
      <c r="N143">
        <f ca="1">IF(AND(ISNUMBER($N$346),$B$208=1),$N$346,HLOOKUP(INDIRECT(ADDRESS(2,COLUMN())),OFFSET($BN$2,0,0,ROW()-1,60),ROW()-1,FALSE))</f>
        <v>34849.378400000001</v>
      </c>
      <c r="O143" t="str">
        <f ca="1">IF(AND(ISNUMBER($O$346),$B$208=1),$O$346,HLOOKUP(INDIRECT(ADDRESS(2,COLUMN())),OFFSET($BN$2,0,0,ROW()-1,60),ROW()-1,FALSE))</f>
        <v/>
      </c>
      <c r="P143" t="str">
        <f ca="1">IF(AND(ISNUMBER($P$346),$B$208=1),$P$346,HLOOKUP(INDIRECT(ADDRESS(2,COLUMN())),OFFSET($BN$2,0,0,ROW()-1,60),ROW()-1,FALSE))</f>
        <v/>
      </c>
      <c r="Q143" t="str">
        <f ca="1">IF(AND(ISNUMBER($Q$346),$B$208=1),$Q$346,HLOOKUP(INDIRECT(ADDRESS(2,COLUMN())),OFFSET($BN$2,0,0,ROW()-1,60),ROW()-1,FALSE))</f>
        <v/>
      </c>
      <c r="R143">
        <f ca="1">IF(AND(ISNUMBER($R$346),$B$208=1),$R$346,HLOOKUP(INDIRECT(ADDRESS(2,COLUMN())),OFFSET($BN$2,0,0,ROW()-1,60),ROW()-1,FALSE))</f>
        <v>37706.85052</v>
      </c>
      <c r="S143" t="str">
        <f ca="1">IF(AND(ISNUMBER($S$346),$B$208=1),$S$346,HLOOKUP(INDIRECT(ADDRESS(2,COLUMN())),OFFSET($BN$2,0,0,ROW()-1,60),ROW()-1,FALSE))</f>
        <v/>
      </c>
      <c r="T143" t="str">
        <f ca="1">IF(AND(ISNUMBER($T$346),$B$208=1),$T$346,HLOOKUP(INDIRECT(ADDRESS(2,COLUMN())),OFFSET($BN$2,0,0,ROW()-1,60),ROW()-1,FALSE))</f>
        <v/>
      </c>
      <c r="U143" t="str">
        <f ca="1">IF(AND(ISNUMBER($U$346),$B$208=1),$U$346,HLOOKUP(INDIRECT(ADDRESS(2,COLUMN())),OFFSET($BN$2,0,0,ROW()-1,60),ROW()-1,FALSE))</f>
        <v/>
      </c>
      <c r="V143">
        <f ca="1">IF(AND(ISNUMBER($V$346),$B$208=1),$V$346,HLOOKUP(INDIRECT(ADDRESS(2,COLUMN())),OFFSET($BN$2,0,0,ROW()-1,60),ROW()-1,FALSE))</f>
        <v>37454.547400000003</v>
      </c>
      <c r="W143" t="str">
        <f ca="1">IF(AND(ISNUMBER($W$346),$B$208=1),$W$346,HLOOKUP(INDIRECT(ADDRESS(2,COLUMN())),OFFSET($BN$2,0,0,ROW()-1,60),ROW()-1,FALSE))</f>
        <v/>
      </c>
      <c r="X143" t="str">
        <f ca="1">IF(AND(ISNUMBER($X$346),$B$208=1),$X$346,HLOOKUP(INDIRECT(ADDRESS(2,COLUMN())),OFFSET($BN$2,0,0,ROW()-1,60),ROW()-1,FALSE))</f>
        <v/>
      </c>
      <c r="Y143" t="str">
        <f ca="1">IF(AND(ISNUMBER($Y$346),$B$208=1),$Y$346,HLOOKUP(INDIRECT(ADDRESS(2,COLUMN())),OFFSET($BN$2,0,0,ROW()-1,60),ROW()-1,FALSE))</f>
        <v/>
      </c>
      <c r="Z143">
        <f ca="1">IF(AND(ISNUMBER($Z$346),$B$208=1),$Z$346,HLOOKUP(INDIRECT(ADDRESS(2,COLUMN())),OFFSET($BN$2,0,0,ROW()-1,60),ROW()-1,FALSE))</f>
        <v>38249.977019999998</v>
      </c>
      <c r="AA143" t="str">
        <f ca="1">IF(AND(ISNUMBER($AA$346),$B$208=1),$AA$346,HLOOKUP(INDIRECT(ADDRESS(2,COLUMN())),OFFSET($BN$2,0,0,ROW()-1,60),ROW()-1,FALSE))</f>
        <v/>
      </c>
      <c r="AB143" t="str">
        <f ca="1">IF(AND(ISNUMBER($AB$346),$B$208=1),$AB$346,HLOOKUP(INDIRECT(ADDRESS(2,COLUMN())),OFFSET($BN$2,0,0,ROW()-1,60),ROW()-1,FALSE))</f>
        <v/>
      </c>
      <c r="AC143" t="str">
        <f ca="1">IF(AND(ISNUMBER($AC$346),$B$208=1),$AC$346,HLOOKUP(INDIRECT(ADDRESS(2,COLUMN())),OFFSET($BN$2,0,0,ROW()-1,60),ROW()-1,FALSE))</f>
        <v/>
      </c>
      <c r="AD143">
        <f ca="1">IF(AND(ISNUMBER($AD$346),$B$208=1),$AD$346,HLOOKUP(INDIRECT(ADDRESS(2,COLUMN())),OFFSET($BN$2,0,0,ROW()-1,60),ROW()-1,FALSE))</f>
        <v>39943.10583</v>
      </c>
      <c r="AE143" t="str">
        <f ca="1">IF(AND(ISNUMBER($AE$346),$B$208=1),$AE$346,HLOOKUP(INDIRECT(ADDRESS(2,COLUMN())),OFFSET($BN$2,0,0,ROW()-1,60),ROW()-1,FALSE))</f>
        <v/>
      </c>
      <c r="AF143">
        <f ca="1">IF(AND(ISNUMBER($AF$346),$B$208=1),$AF$346,HLOOKUP(INDIRECT(ADDRESS(2,COLUMN())),OFFSET($BN$2,0,0,ROW()-1,60),ROW()-1,FALSE))</f>
        <v>40200.062689999999</v>
      </c>
      <c r="AG143" t="str">
        <f ca="1">IF(AND(ISNUMBER($AG$346),$B$208=1),$AG$346,HLOOKUP(INDIRECT(ADDRESS(2,COLUMN())),OFFSET($BN$2,0,0,ROW()-1,60),ROW()-1,FALSE))</f>
        <v/>
      </c>
      <c r="AH143">
        <f ca="1">IF(AND(ISNUMBER($AH$346),$B$208=1),$AH$346,HLOOKUP(INDIRECT(ADDRESS(2,COLUMN())),OFFSET($BN$2,0,0,ROW()-1,60),ROW()-1,FALSE))</f>
        <v>74738.605219999998</v>
      </c>
      <c r="AI143" t="str">
        <f ca="1">IF(AND(ISNUMBER($AI$346),$B$208=1),$AI$346,HLOOKUP(INDIRECT(ADDRESS(2,COLUMN())),OFFSET($BN$2,0,0,ROW()-1,60),ROW()-1,FALSE))</f>
        <v/>
      </c>
      <c r="AJ143">
        <f ca="1">IF(AND(ISNUMBER($AJ$346),$B$208=1),$AJ$346,HLOOKUP(INDIRECT(ADDRESS(2,COLUMN())),OFFSET($BN$2,0,0,ROW()-1,60),ROW()-1,FALSE))</f>
        <v>74088.498380000005</v>
      </c>
      <c r="AK143" t="str">
        <f ca="1">IF(AND(ISNUMBER($AK$346),$B$208=1),$AK$346,HLOOKUP(INDIRECT(ADDRESS(2,COLUMN())),OFFSET($BN$2,0,0,ROW()-1,60),ROW()-1,FALSE))</f>
        <v/>
      </c>
      <c r="AL143">
        <f ca="1">IF(AND(ISNUMBER($AL$346),$B$208=1),$AL$346,HLOOKUP(INDIRECT(ADDRESS(2,COLUMN())),OFFSET($BN$2,0,0,ROW()-1,60),ROW()-1,FALSE))</f>
        <v>78329.358590000003</v>
      </c>
      <c r="AM143" t="str">
        <f ca="1">IF(AND(ISNUMBER($AM$346),$B$208=1),$AM$346,HLOOKUP(INDIRECT(ADDRESS(2,COLUMN())),OFFSET($BN$2,0,0,ROW()-1,60),ROW()-1,FALSE))</f>
        <v/>
      </c>
      <c r="AN143">
        <f ca="1">IF(AND(ISNUMBER($AN$346),$B$208=1),$AN$346,HLOOKUP(INDIRECT(ADDRESS(2,COLUMN())),OFFSET($BN$2,0,0,ROW()-1,60),ROW()-1,FALSE))</f>
        <v>81229.205090000003</v>
      </c>
      <c r="AO143" t="str">
        <f ca="1">IF(AND(ISNUMBER($AO$346),$B$208=1),$AO$346,HLOOKUP(INDIRECT(ADDRESS(2,COLUMN())),OFFSET($BN$2,0,0,ROW()-1,60),ROW()-1,FALSE))</f>
        <v/>
      </c>
      <c r="AP143">
        <f ca="1">IF(AND(ISNUMBER($AP$346),$B$208=1),$AP$346,HLOOKUP(INDIRECT(ADDRESS(2,COLUMN())),OFFSET($BN$2,0,0,ROW()-1,60),ROW()-1,FALSE))</f>
        <v>90619.659490000005</v>
      </c>
      <c r="AQ143" t="str">
        <f ca="1">IF(AND(ISNUMBER($AQ$346),$B$208=1),$AQ$346,HLOOKUP(INDIRECT(ADDRESS(2,COLUMN())),OFFSET($BN$2,0,0,ROW()-1,60),ROW()-1,FALSE))</f>
        <v/>
      </c>
      <c r="AR143">
        <f ca="1">IF(AND(ISNUMBER($AR$346),$B$208=1),$AR$346,HLOOKUP(INDIRECT(ADDRESS(2,COLUMN())),OFFSET($BN$2,0,0,ROW()-1,60),ROW()-1,FALSE))</f>
        <v>102954.8305</v>
      </c>
      <c r="AS143" t="str">
        <f ca="1">IF(AND(ISNUMBER($AS$346),$B$208=1),$AS$346,HLOOKUP(INDIRECT(ADDRESS(2,COLUMN())),OFFSET($BN$2,0,0,ROW()-1,60),ROW()-1,FALSE))</f>
        <v/>
      </c>
      <c r="AT143">
        <f ca="1">IF(AND(ISNUMBER($AT$346),$B$208=1),$AT$346,HLOOKUP(INDIRECT(ADDRESS(2,COLUMN())),OFFSET($BN$2,0,0,ROW()-1,60),ROW()-1,FALSE))</f>
        <v>96136.057690000001</v>
      </c>
      <c r="AU143" t="str">
        <f ca="1">IF(AND(ISNUMBER($AU$346),$B$208=1),$AU$346,HLOOKUP(INDIRECT(ADDRESS(2,COLUMN())),OFFSET($BN$2,0,0,ROW()-1,60),ROW()-1,FALSE))</f>
        <v/>
      </c>
      <c r="AV143">
        <f ca="1">IF(AND(ISNUMBER($AV$346),$B$208=1),$AV$346,HLOOKUP(INDIRECT(ADDRESS(2,COLUMN())),OFFSET($BN$2,0,0,ROW()-1,60),ROW()-1,FALSE))</f>
        <v>106731.9705</v>
      </c>
      <c r="AW143" t="str">
        <f ca="1">IF(AND(ISNUMBER($AW$346),$B$208=1),$AW$346,HLOOKUP(INDIRECT(ADDRESS(2,COLUMN())),OFFSET($BN$2,0,0,ROW()-1,60),ROW()-1,FALSE))</f>
        <v/>
      </c>
      <c r="AX143">
        <f ca="1">IF(AND(ISNUMBER($AX$346),$B$208=1),$AX$346,HLOOKUP(INDIRECT(ADDRESS(2,COLUMN())),OFFSET($BN$2,0,0,ROW()-1,60),ROW()-1,FALSE))</f>
        <v>110179.6983</v>
      </c>
      <c r="AY143" t="str">
        <f ca="1">IF(AND(ISNUMBER($AY$346),$B$208=1),$AY$346,HLOOKUP(INDIRECT(ADDRESS(2,COLUMN())),OFFSET($BN$2,0,0,ROW()-1,60),ROW()-1,FALSE))</f>
        <v/>
      </c>
      <c r="AZ143">
        <f ca="1">IF(AND(ISNUMBER($AZ$346),$B$208=1),$AZ$346,HLOOKUP(INDIRECT(ADDRESS(2,COLUMN())),OFFSET($BN$2,0,0,ROW()-1,60),ROW()-1,FALSE))</f>
        <v>115922.09149999999</v>
      </c>
      <c r="BA143" t="str">
        <f ca="1">IF(AND(ISNUMBER($BA$346),$B$208=1),$BA$346,HLOOKUP(INDIRECT(ADDRESS(2,COLUMN())),OFFSET($BN$2,0,0,ROW()-1,60),ROW()-1,FALSE))</f>
        <v/>
      </c>
      <c r="BB143">
        <f ca="1">IF(AND(ISNUMBER($BB$346),$B$208=1),$BB$346,HLOOKUP(INDIRECT(ADDRESS(2,COLUMN())),OFFSET($BN$2,0,0,ROW()-1,60),ROW()-1,FALSE))</f>
        <v>127828.98299999999</v>
      </c>
      <c r="BC143" t="str">
        <f ca="1">IF(AND(ISNUMBER($BC$346),$B$208=1),$BC$346,HLOOKUP(INDIRECT(ADDRESS(2,COLUMN())),OFFSET($BN$2,0,0,ROW()-1,60),ROW()-1,FALSE))</f>
        <v/>
      </c>
      <c r="BD143">
        <f ca="1">IF(AND(ISNUMBER($BD$346),$B$208=1),$BD$346,HLOOKUP(INDIRECT(ADDRESS(2,COLUMN())),OFFSET($BN$2,0,0,ROW()-1,60),ROW()-1,FALSE))</f>
        <v>144807.174</v>
      </c>
      <c r="BE143" t="str">
        <f ca="1">IF(AND(ISNUMBER($BE$346),$B$208=1),$BE$346,HLOOKUP(INDIRECT(ADDRESS(2,COLUMN())),OFFSET($BN$2,0,0,ROW()-1,60),ROW()-1,FALSE))</f>
        <v/>
      </c>
      <c r="BF143">
        <f ca="1">IF(AND(ISNUMBER($BF$346),$B$208=1),$BF$346,HLOOKUP(INDIRECT(ADDRESS(2,COLUMN())),OFFSET($BN$2,0,0,ROW()-1,60),ROW()-1,FALSE))</f>
        <v>151533.4608</v>
      </c>
      <c r="BG143" t="str">
        <f ca="1">IF(AND(ISNUMBER($BG$346),$B$208=1),$BG$346,HLOOKUP(INDIRECT(ADDRESS(2,COLUMN())),OFFSET($BN$2,0,0,ROW()-1,60),ROW()-1,FALSE))</f>
        <v/>
      </c>
      <c r="BH143">
        <f ca="1">IF(AND(ISNUMBER($BH$346),$B$208=1),$BH$346,HLOOKUP(INDIRECT(ADDRESS(2,COLUMN())),OFFSET($BN$2,0,0,ROW()-1,60),ROW()-1,FALSE))</f>
        <v>149274.7211</v>
      </c>
      <c r="BI143" t="str">
        <f ca="1">IF(AND(ISNUMBER($BI$346),$B$208=1),$BI$346,HLOOKUP(INDIRECT(ADDRESS(2,COLUMN())),OFFSET($BN$2,0,0,ROW()-1,60),ROW()-1,FALSE))</f>
        <v/>
      </c>
      <c r="BJ143">
        <f ca="1">IF(AND(ISNUMBER($BJ$346),$B$208=1),$BJ$346,HLOOKUP(INDIRECT(ADDRESS(2,COLUMN())),OFFSET($BN$2,0,0,ROW()-1,60),ROW()-1,FALSE))</f>
        <v>164439.2078</v>
      </c>
      <c r="BK143" t="str">
        <f ca="1">IF(AND(ISNUMBER($BK$346),$B$208=1),$BK$346,HLOOKUP(INDIRECT(ADDRESS(2,COLUMN())),OFFSET($BN$2,0,0,ROW()-1,60),ROW()-1,FALSE))</f>
        <v/>
      </c>
      <c r="BL143">
        <f ca="1">IF(AND(ISNUMBER($BL$346),$B$208=1),$BL$346,HLOOKUP(INDIRECT(ADDRESS(2,COLUMN())),OFFSET($BN$2,0,0,ROW()-1,60),ROW()-1,FALSE))</f>
        <v>179873.4007</v>
      </c>
      <c r="BM143" t="str">
        <f ca="1">IF(AND(ISNUMBER($BM$346),$B$208=1),$BM$346,HLOOKUP(INDIRECT(ADDRESS(2,COLUMN())),OFFSET($BN$2,0,0,ROW()-1,60),ROW()-1,FALSE))</f>
        <v/>
      </c>
      <c r="BN143">
        <f>33317.06426</f>
        <v>33317.064259999999</v>
      </c>
      <c r="BO143">
        <f>19135.23807</f>
        <v>19135.238069999999</v>
      </c>
      <c r="BP143" t="str">
        <f>""</f>
        <v/>
      </c>
      <c r="BQ143" t="str">
        <f>""</f>
        <v/>
      </c>
      <c r="BR143">
        <f>32817.65971</f>
        <v>32817.65971</v>
      </c>
      <c r="BS143">
        <f>17705.50804</f>
        <v>17705.508040000001</v>
      </c>
      <c r="BT143" t="str">
        <f>""</f>
        <v/>
      </c>
      <c r="BU143" t="str">
        <f>""</f>
        <v/>
      </c>
      <c r="BV143">
        <f>34849.3784</f>
        <v>34849.378400000001</v>
      </c>
      <c r="BW143" t="str">
        <f>""</f>
        <v/>
      </c>
      <c r="BX143" t="str">
        <f>""</f>
        <v/>
      </c>
      <c r="BY143" t="str">
        <f>""</f>
        <v/>
      </c>
      <c r="BZ143">
        <f>37706.85052</f>
        <v>37706.85052</v>
      </c>
      <c r="CA143" t="str">
        <f>""</f>
        <v/>
      </c>
      <c r="CB143" t="str">
        <f>""</f>
        <v/>
      </c>
      <c r="CC143" t="str">
        <f>""</f>
        <v/>
      </c>
      <c r="CD143">
        <f>37454.5474</f>
        <v>37454.547400000003</v>
      </c>
      <c r="CE143" t="str">
        <f>""</f>
        <v/>
      </c>
      <c r="CF143" t="str">
        <f>""</f>
        <v/>
      </c>
      <c r="CG143" t="str">
        <f>""</f>
        <v/>
      </c>
      <c r="CH143">
        <f>38249.97702</f>
        <v>38249.977019999998</v>
      </c>
      <c r="CI143" t="str">
        <f>""</f>
        <v/>
      </c>
      <c r="CJ143" t="str">
        <f>""</f>
        <v/>
      </c>
      <c r="CK143" t="str">
        <f>""</f>
        <v/>
      </c>
      <c r="CL143">
        <f>39943.10583</f>
        <v>39943.10583</v>
      </c>
      <c r="CM143" t="str">
        <f>""</f>
        <v/>
      </c>
      <c r="CN143">
        <f>40200.06269</f>
        <v>40200.062689999999</v>
      </c>
      <c r="CO143" t="str">
        <f>""</f>
        <v/>
      </c>
      <c r="CP143">
        <f>74738.60522</f>
        <v>74738.605219999998</v>
      </c>
      <c r="CQ143" t="str">
        <f>""</f>
        <v/>
      </c>
      <c r="CR143">
        <f>74088.49838</f>
        <v>74088.498380000005</v>
      </c>
      <c r="CS143" t="str">
        <f>""</f>
        <v/>
      </c>
      <c r="CT143">
        <f>78329.35859</f>
        <v>78329.358590000003</v>
      </c>
      <c r="CU143" t="str">
        <f>""</f>
        <v/>
      </c>
      <c r="CV143">
        <f>81229.20509</f>
        <v>81229.205090000003</v>
      </c>
      <c r="CW143" t="str">
        <f>""</f>
        <v/>
      </c>
      <c r="CX143">
        <f>90619.65949</f>
        <v>90619.659490000005</v>
      </c>
      <c r="CY143" t="str">
        <f>""</f>
        <v/>
      </c>
      <c r="CZ143">
        <f>102954.8305</f>
        <v>102954.8305</v>
      </c>
      <c r="DA143" t="str">
        <f>""</f>
        <v/>
      </c>
      <c r="DB143">
        <f>96136.05769</f>
        <v>96136.057690000001</v>
      </c>
      <c r="DC143" t="str">
        <f>""</f>
        <v/>
      </c>
      <c r="DD143">
        <f>106731.9705</f>
        <v>106731.9705</v>
      </c>
      <c r="DE143" t="str">
        <f>""</f>
        <v/>
      </c>
      <c r="DF143">
        <f>110179.6983</f>
        <v>110179.6983</v>
      </c>
      <c r="DG143" t="str">
        <f>""</f>
        <v/>
      </c>
      <c r="DH143">
        <f>115922.0915</f>
        <v>115922.09149999999</v>
      </c>
      <c r="DI143" t="str">
        <f>""</f>
        <v/>
      </c>
      <c r="DJ143">
        <f>127828.983</f>
        <v>127828.98299999999</v>
      </c>
      <c r="DK143" t="str">
        <f>""</f>
        <v/>
      </c>
      <c r="DL143">
        <f>144807.174</f>
        <v>144807.174</v>
      </c>
      <c r="DM143" t="str">
        <f>""</f>
        <v/>
      </c>
      <c r="DN143">
        <f>151533.4608</f>
        <v>151533.4608</v>
      </c>
      <c r="DO143" t="str">
        <f>""</f>
        <v/>
      </c>
      <c r="DP143">
        <f>149274.7211</f>
        <v>149274.7211</v>
      </c>
      <c r="DQ143" t="str">
        <f>""</f>
        <v/>
      </c>
      <c r="DR143">
        <f>164439.2078</f>
        <v>164439.2078</v>
      </c>
      <c r="DS143" t="str">
        <f>""</f>
        <v/>
      </c>
      <c r="DT143">
        <f>179873.4007</f>
        <v>179873.4007</v>
      </c>
      <c r="DU143" t="str">
        <f>""</f>
        <v/>
      </c>
    </row>
    <row r="144" spans="1:125" x14ac:dyDescent="0.25">
      <c r="A144" t="str">
        <f>"    Mediobanca Banca di Credito Finanziario SpA"</f>
        <v xml:space="preserve">    Mediobanca Banca di Credito Finanziario SpA</v>
      </c>
      <c r="B144" t="str">
        <f>"MB IM Equity"</f>
        <v>MB IM Equity</v>
      </c>
      <c r="C144" t="str">
        <f t="shared" si="9"/>
        <v>BS016</v>
      </c>
      <c r="D144" t="str">
        <f t="shared" si="10"/>
        <v>BS_COMM_LOAN</v>
      </c>
      <c r="E144" t="str">
        <f t="shared" si="11"/>
        <v>Dynamic</v>
      </c>
      <c r="F144" t="str">
        <f ca="1">IF(AND(ISNUMBER($F$347),$B$208=1),$F$347,HLOOKUP(INDIRECT(ADDRESS(2,COLUMN())),OFFSET($BN$2,0,0,ROW()-1,60),ROW()-1,FALSE))</f>
        <v/>
      </c>
      <c r="G144" t="str">
        <f ca="1">IF(AND(ISNUMBER($G$347),$B$208=1),$G$347,HLOOKUP(INDIRECT(ADDRESS(2,COLUMN())),OFFSET($BN$2,0,0,ROW()-1,60),ROW()-1,FALSE))</f>
        <v/>
      </c>
      <c r="H144" t="str">
        <f ca="1">IF(AND(ISNUMBER($H$347),$B$208=1),$H$347,HLOOKUP(INDIRECT(ADDRESS(2,COLUMN())),OFFSET($BN$2,0,0,ROW()-1,60),ROW()-1,FALSE))</f>
        <v/>
      </c>
      <c r="I144" t="str">
        <f ca="1">IF(AND(ISNUMBER($I$347),$B$208=1),$I$347,HLOOKUP(INDIRECT(ADDRESS(2,COLUMN())),OFFSET($BN$2,0,0,ROW()-1,60),ROW()-1,FALSE))</f>
        <v/>
      </c>
      <c r="J144" t="str">
        <f ca="1">IF(AND(ISNUMBER($J$347),$B$208=1),$J$347,HLOOKUP(INDIRECT(ADDRESS(2,COLUMN())),OFFSET($BN$2,0,0,ROW()-1,60),ROW()-1,FALSE))</f>
        <v/>
      </c>
      <c r="K144" t="str">
        <f ca="1">IF(AND(ISNUMBER($K$347),$B$208=1),$K$347,HLOOKUP(INDIRECT(ADDRESS(2,COLUMN())),OFFSET($BN$2,0,0,ROW()-1,60),ROW()-1,FALSE))</f>
        <v/>
      </c>
      <c r="L144" t="str">
        <f ca="1">IF(AND(ISNUMBER($L$347),$B$208=1),$L$347,HLOOKUP(INDIRECT(ADDRESS(2,COLUMN())),OFFSET($BN$2,0,0,ROW()-1,60),ROW()-1,FALSE))</f>
        <v/>
      </c>
      <c r="M144" t="str">
        <f ca="1">IF(AND(ISNUMBER($M$347),$B$208=1),$M$347,HLOOKUP(INDIRECT(ADDRESS(2,COLUMN())),OFFSET($BN$2,0,0,ROW()-1,60),ROW()-1,FALSE))</f>
        <v/>
      </c>
      <c r="N144" t="str">
        <f ca="1">IF(AND(ISNUMBER($N$347),$B$208=1),$N$347,HLOOKUP(INDIRECT(ADDRESS(2,COLUMN())),OFFSET($BN$2,0,0,ROW()-1,60),ROW()-1,FALSE))</f>
        <v/>
      </c>
      <c r="O144" t="str">
        <f ca="1">IF(AND(ISNUMBER($O$347),$B$208=1),$O$347,HLOOKUP(INDIRECT(ADDRESS(2,COLUMN())),OFFSET($BN$2,0,0,ROW()-1,60),ROW()-1,FALSE))</f>
        <v/>
      </c>
      <c r="P144" t="str">
        <f ca="1">IF(AND(ISNUMBER($P$347),$B$208=1),$P$347,HLOOKUP(INDIRECT(ADDRESS(2,COLUMN())),OFFSET($BN$2,0,0,ROW()-1,60),ROW()-1,FALSE))</f>
        <v/>
      </c>
      <c r="Q144" t="str">
        <f ca="1">IF(AND(ISNUMBER($Q$347),$B$208=1),$Q$347,HLOOKUP(INDIRECT(ADDRESS(2,COLUMN())),OFFSET($BN$2,0,0,ROW()-1,60),ROW()-1,FALSE))</f>
        <v/>
      </c>
      <c r="R144" t="str">
        <f ca="1">IF(AND(ISNUMBER($R$347),$B$208=1),$R$347,HLOOKUP(INDIRECT(ADDRESS(2,COLUMN())),OFFSET($BN$2,0,0,ROW()-1,60),ROW()-1,FALSE))</f>
        <v/>
      </c>
      <c r="S144" t="str">
        <f ca="1">IF(AND(ISNUMBER($S$347),$B$208=1),$S$347,HLOOKUP(INDIRECT(ADDRESS(2,COLUMN())),OFFSET($BN$2,0,0,ROW()-1,60),ROW()-1,FALSE))</f>
        <v/>
      </c>
      <c r="T144" t="str">
        <f ca="1">IF(AND(ISNUMBER($T$347),$B$208=1),$T$347,HLOOKUP(INDIRECT(ADDRESS(2,COLUMN())),OFFSET($BN$2,0,0,ROW()-1,60),ROW()-1,FALSE))</f>
        <v/>
      </c>
      <c r="U144" t="str">
        <f ca="1">IF(AND(ISNUMBER($U$347),$B$208=1),$U$347,HLOOKUP(INDIRECT(ADDRESS(2,COLUMN())),OFFSET($BN$2,0,0,ROW()-1,60),ROW()-1,FALSE))</f>
        <v/>
      </c>
      <c r="V144" t="str">
        <f ca="1">IF(AND(ISNUMBER($V$347),$B$208=1),$V$347,HLOOKUP(INDIRECT(ADDRESS(2,COLUMN())),OFFSET($BN$2,0,0,ROW()-1,60),ROW()-1,FALSE))</f>
        <v/>
      </c>
      <c r="W144" t="str">
        <f ca="1">IF(AND(ISNUMBER($W$347),$B$208=1),$W$347,HLOOKUP(INDIRECT(ADDRESS(2,COLUMN())),OFFSET($BN$2,0,0,ROW()-1,60),ROW()-1,FALSE))</f>
        <v/>
      </c>
      <c r="X144" t="str">
        <f ca="1">IF(AND(ISNUMBER($X$347),$B$208=1),$X$347,HLOOKUP(INDIRECT(ADDRESS(2,COLUMN())),OFFSET($BN$2,0,0,ROW()-1,60),ROW()-1,FALSE))</f>
        <v/>
      </c>
      <c r="Y144" t="str">
        <f ca="1">IF(AND(ISNUMBER($Y$347),$B$208=1),$Y$347,HLOOKUP(INDIRECT(ADDRESS(2,COLUMN())),OFFSET($BN$2,0,0,ROW()-1,60),ROW()-1,FALSE))</f>
        <v/>
      </c>
      <c r="Z144" t="str">
        <f ca="1">IF(AND(ISNUMBER($Z$347),$B$208=1),$Z$347,HLOOKUP(INDIRECT(ADDRESS(2,COLUMN())),OFFSET($BN$2,0,0,ROW()-1,60),ROW()-1,FALSE))</f>
        <v/>
      </c>
      <c r="AA144" t="str">
        <f ca="1">IF(AND(ISNUMBER($AA$347),$B$208=1),$AA$347,HLOOKUP(INDIRECT(ADDRESS(2,COLUMN())),OFFSET($BN$2,0,0,ROW()-1,60),ROW()-1,FALSE))</f>
        <v/>
      </c>
      <c r="AB144" t="str">
        <f ca="1">IF(AND(ISNUMBER($AB$347),$B$208=1),$AB$347,HLOOKUP(INDIRECT(ADDRESS(2,COLUMN())),OFFSET($BN$2,0,0,ROW()-1,60),ROW()-1,FALSE))</f>
        <v/>
      </c>
      <c r="AC144" t="str">
        <f ca="1">IF(AND(ISNUMBER($AC$347),$B$208=1),$AC$347,HLOOKUP(INDIRECT(ADDRESS(2,COLUMN())),OFFSET($BN$2,0,0,ROW()-1,60),ROW()-1,FALSE))</f>
        <v/>
      </c>
      <c r="AD144" t="str">
        <f ca="1">IF(AND(ISNUMBER($AD$347),$B$208=1),$AD$347,HLOOKUP(INDIRECT(ADDRESS(2,COLUMN())),OFFSET($BN$2,0,0,ROW()-1,60),ROW()-1,FALSE))</f>
        <v/>
      </c>
      <c r="AE144" t="str">
        <f ca="1">IF(AND(ISNUMBER($AE$347),$B$208=1),$AE$347,HLOOKUP(INDIRECT(ADDRESS(2,COLUMN())),OFFSET($BN$2,0,0,ROW()-1,60),ROW()-1,FALSE))</f>
        <v/>
      </c>
      <c r="AF144" t="str">
        <f ca="1">IF(AND(ISNUMBER($AF$347),$B$208=1),$AF$347,HLOOKUP(INDIRECT(ADDRESS(2,COLUMN())),OFFSET($BN$2,0,0,ROW()-1,60),ROW()-1,FALSE))</f>
        <v/>
      </c>
      <c r="AG144" t="str">
        <f ca="1">IF(AND(ISNUMBER($AG$347),$B$208=1),$AG$347,HLOOKUP(INDIRECT(ADDRESS(2,COLUMN())),OFFSET($BN$2,0,0,ROW()-1,60),ROW()-1,FALSE))</f>
        <v/>
      </c>
      <c r="AH144" t="str">
        <f ca="1">IF(AND(ISNUMBER($AH$347),$B$208=1),$AH$347,HLOOKUP(INDIRECT(ADDRESS(2,COLUMN())),OFFSET($BN$2,0,0,ROW()-1,60),ROW()-1,FALSE))</f>
        <v/>
      </c>
      <c r="AI144" t="str">
        <f ca="1">IF(AND(ISNUMBER($AI$347),$B$208=1),$AI$347,HLOOKUP(INDIRECT(ADDRESS(2,COLUMN())),OFFSET($BN$2,0,0,ROW()-1,60),ROW()-1,FALSE))</f>
        <v/>
      </c>
      <c r="AJ144" t="str">
        <f ca="1">IF(AND(ISNUMBER($AJ$347),$B$208=1),$AJ$347,HLOOKUP(INDIRECT(ADDRESS(2,COLUMN())),OFFSET($BN$2,0,0,ROW()-1,60),ROW()-1,FALSE))</f>
        <v/>
      </c>
      <c r="AK144" t="str">
        <f ca="1">IF(AND(ISNUMBER($AK$347),$B$208=1),$AK$347,HLOOKUP(INDIRECT(ADDRESS(2,COLUMN())),OFFSET($BN$2,0,0,ROW()-1,60),ROW()-1,FALSE))</f>
        <v/>
      </c>
      <c r="AL144" t="str">
        <f ca="1">IF(AND(ISNUMBER($AL$347),$B$208=1),$AL$347,HLOOKUP(INDIRECT(ADDRESS(2,COLUMN())),OFFSET($BN$2,0,0,ROW()-1,60),ROW()-1,FALSE))</f>
        <v/>
      </c>
      <c r="AM144" t="str">
        <f ca="1">IF(AND(ISNUMBER($AM$347),$B$208=1),$AM$347,HLOOKUP(INDIRECT(ADDRESS(2,COLUMN())),OFFSET($BN$2,0,0,ROW()-1,60),ROW()-1,FALSE))</f>
        <v/>
      </c>
      <c r="AN144" t="str">
        <f ca="1">IF(AND(ISNUMBER($AN$347),$B$208=1),$AN$347,HLOOKUP(INDIRECT(ADDRESS(2,COLUMN())),OFFSET($BN$2,0,0,ROW()-1,60),ROW()-1,FALSE))</f>
        <v/>
      </c>
      <c r="AO144" t="str">
        <f ca="1">IF(AND(ISNUMBER($AO$347),$B$208=1),$AO$347,HLOOKUP(INDIRECT(ADDRESS(2,COLUMN())),OFFSET($BN$2,0,0,ROW()-1,60),ROW()-1,FALSE))</f>
        <v/>
      </c>
      <c r="AP144" t="str">
        <f ca="1">IF(AND(ISNUMBER($AP$347),$B$208=1),$AP$347,HLOOKUP(INDIRECT(ADDRESS(2,COLUMN())),OFFSET($BN$2,0,0,ROW()-1,60),ROW()-1,FALSE))</f>
        <v/>
      </c>
      <c r="AQ144" t="str">
        <f ca="1">IF(AND(ISNUMBER($AQ$347),$B$208=1),$AQ$347,HLOOKUP(INDIRECT(ADDRESS(2,COLUMN())),OFFSET($BN$2,0,0,ROW()-1,60),ROW()-1,FALSE))</f>
        <v/>
      </c>
      <c r="AR144" t="str">
        <f ca="1">IF(AND(ISNUMBER($AR$347),$B$208=1),$AR$347,HLOOKUP(INDIRECT(ADDRESS(2,COLUMN())),OFFSET($BN$2,0,0,ROW()-1,60),ROW()-1,FALSE))</f>
        <v/>
      </c>
      <c r="AS144" t="str">
        <f ca="1">IF(AND(ISNUMBER($AS$347),$B$208=1),$AS$347,HLOOKUP(INDIRECT(ADDRESS(2,COLUMN())),OFFSET($BN$2,0,0,ROW()-1,60),ROW()-1,FALSE))</f>
        <v/>
      </c>
      <c r="AT144" t="str">
        <f ca="1">IF(AND(ISNUMBER($AT$347),$B$208=1),$AT$347,HLOOKUP(INDIRECT(ADDRESS(2,COLUMN())),OFFSET($BN$2,0,0,ROW()-1,60),ROW()-1,FALSE))</f>
        <v/>
      </c>
      <c r="AU144" t="str">
        <f ca="1">IF(AND(ISNUMBER($AU$347),$B$208=1),$AU$347,HLOOKUP(INDIRECT(ADDRESS(2,COLUMN())),OFFSET($BN$2,0,0,ROW()-1,60),ROW()-1,FALSE))</f>
        <v/>
      </c>
      <c r="AV144" t="str">
        <f ca="1">IF(AND(ISNUMBER($AV$347),$B$208=1),$AV$347,HLOOKUP(INDIRECT(ADDRESS(2,COLUMN())),OFFSET($BN$2,0,0,ROW()-1,60),ROW()-1,FALSE))</f>
        <v/>
      </c>
      <c r="AW144" t="str">
        <f ca="1">IF(AND(ISNUMBER($AW$347),$B$208=1),$AW$347,HLOOKUP(INDIRECT(ADDRESS(2,COLUMN())),OFFSET($BN$2,0,0,ROW()-1,60),ROW()-1,FALSE))</f>
        <v/>
      </c>
      <c r="AX144" t="str">
        <f ca="1">IF(AND(ISNUMBER($AX$347),$B$208=1),$AX$347,HLOOKUP(INDIRECT(ADDRESS(2,COLUMN())),OFFSET($BN$2,0,0,ROW()-1,60),ROW()-1,FALSE))</f>
        <v/>
      </c>
      <c r="AY144" t="str">
        <f ca="1">IF(AND(ISNUMBER($AY$347),$B$208=1),$AY$347,HLOOKUP(INDIRECT(ADDRESS(2,COLUMN())),OFFSET($BN$2,0,0,ROW()-1,60),ROW()-1,FALSE))</f>
        <v/>
      </c>
      <c r="AZ144" t="str">
        <f ca="1">IF(AND(ISNUMBER($AZ$347),$B$208=1),$AZ$347,HLOOKUP(INDIRECT(ADDRESS(2,COLUMN())),OFFSET($BN$2,0,0,ROW()-1,60),ROW()-1,FALSE))</f>
        <v/>
      </c>
      <c r="BA144" t="str">
        <f ca="1">IF(AND(ISNUMBER($BA$347),$B$208=1),$BA$347,HLOOKUP(INDIRECT(ADDRESS(2,COLUMN())),OFFSET($BN$2,0,0,ROW()-1,60),ROW()-1,FALSE))</f>
        <v/>
      </c>
      <c r="BB144" t="str">
        <f ca="1">IF(AND(ISNUMBER($BB$347),$B$208=1),$BB$347,HLOOKUP(INDIRECT(ADDRESS(2,COLUMN())),OFFSET($BN$2,0,0,ROW()-1,60),ROW()-1,FALSE))</f>
        <v/>
      </c>
      <c r="BC144" t="str">
        <f ca="1">IF(AND(ISNUMBER($BC$347),$B$208=1),$BC$347,HLOOKUP(INDIRECT(ADDRESS(2,COLUMN())),OFFSET($BN$2,0,0,ROW()-1,60),ROW()-1,FALSE))</f>
        <v/>
      </c>
      <c r="BD144" t="str">
        <f ca="1">IF(AND(ISNUMBER($BD$347),$B$208=1),$BD$347,HLOOKUP(INDIRECT(ADDRESS(2,COLUMN())),OFFSET($BN$2,0,0,ROW()-1,60),ROW()-1,FALSE))</f>
        <v/>
      </c>
      <c r="BE144" t="str">
        <f ca="1">IF(AND(ISNUMBER($BE$347),$B$208=1),$BE$347,HLOOKUP(INDIRECT(ADDRESS(2,COLUMN())),OFFSET($BN$2,0,0,ROW()-1,60),ROW()-1,FALSE))</f>
        <v/>
      </c>
      <c r="BF144" t="str">
        <f ca="1">IF(AND(ISNUMBER($BF$347),$B$208=1),$BF$347,HLOOKUP(INDIRECT(ADDRESS(2,COLUMN())),OFFSET($BN$2,0,0,ROW()-1,60),ROW()-1,FALSE))</f>
        <v/>
      </c>
      <c r="BG144" t="str">
        <f ca="1">IF(AND(ISNUMBER($BG$347),$B$208=1),$BG$347,HLOOKUP(INDIRECT(ADDRESS(2,COLUMN())),OFFSET($BN$2,0,0,ROW()-1,60),ROW()-1,FALSE))</f>
        <v/>
      </c>
      <c r="BH144" t="str">
        <f ca="1">IF(AND(ISNUMBER($BH$347),$B$208=1),$BH$347,HLOOKUP(INDIRECT(ADDRESS(2,COLUMN())),OFFSET($BN$2,0,0,ROW()-1,60),ROW()-1,FALSE))</f>
        <v/>
      </c>
      <c r="BI144" t="str">
        <f ca="1">IF(AND(ISNUMBER($BI$347),$B$208=1),$BI$347,HLOOKUP(INDIRECT(ADDRESS(2,COLUMN())),OFFSET($BN$2,0,0,ROW()-1,60),ROW()-1,FALSE))</f>
        <v/>
      </c>
      <c r="BJ144" t="str">
        <f ca="1">IF(AND(ISNUMBER($BJ$347),$B$208=1),$BJ$347,HLOOKUP(INDIRECT(ADDRESS(2,COLUMN())),OFFSET($BN$2,0,0,ROW()-1,60),ROW()-1,FALSE))</f>
        <v/>
      </c>
      <c r="BK144" t="str">
        <f ca="1">IF(AND(ISNUMBER($BK$347),$B$208=1),$BK$347,HLOOKUP(INDIRECT(ADDRESS(2,COLUMN())),OFFSET($BN$2,0,0,ROW()-1,60),ROW()-1,FALSE))</f>
        <v/>
      </c>
      <c r="BL144" t="str">
        <f ca="1">IF(AND(ISNUMBER($BL$347),$B$208=1),$BL$347,HLOOKUP(INDIRECT(ADDRESS(2,COLUMN())),OFFSET($BN$2,0,0,ROW()-1,60),ROW()-1,FALSE))</f>
        <v/>
      </c>
      <c r="BM144" t="str">
        <f ca="1">IF(AND(ISNUMBER($BM$347),$B$208=1),$BM$347,HLOOKUP(INDIRECT(ADDRESS(2,COLUMN())),OFFSET($BN$2,0,0,ROW()-1,60),ROW()-1,FALSE))</f>
        <v/>
      </c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  <c r="BT144" t="str">
        <f>""</f>
        <v/>
      </c>
      <c r="BU144" t="str">
        <f>""</f>
        <v/>
      </c>
      <c r="BV144" t="str">
        <f>""</f>
        <v/>
      </c>
      <c r="BW144" t="str">
        <f>""</f>
        <v/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  <c r="CH144" t="str">
        <f>""</f>
        <v/>
      </c>
      <c r="CI144" t="str">
        <f>""</f>
        <v/>
      </c>
      <c r="CJ144" t="str">
        <f>""</f>
        <v/>
      </c>
      <c r="CK144" t="str">
        <f>""</f>
        <v/>
      </c>
      <c r="CL144" t="str">
        <f>""</f>
        <v/>
      </c>
      <c r="CM144" t="str">
        <f>""</f>
        <v/>
      </c>
      <c r="CN144" t="str">
        <f>""</f>
        <v/>
      </c>
      <c r="CO144" t="str">
        <f>""</f>
        <v/>
      </c>
      <c r="CP144" t="str">
        <f>""</f>
        <v/>
      </c>
      <c r="CQ144" t="str">
        <f>""</f>
        <v/>
      </c>
      <c r="CR144" t="str">
        <f>""</f>
        <v/>
      </c>
      <c r="CS144" t="str">
        <f>""</f>
        <v/>
      </c>
      <c r="CT144" t="str">
        <f>""</f>
        <v/>
      </c>
      <c r="CU144" t="str">
        <f>""</f>
        <v/>
      </c>
      <c r="CV144" t="str">
        <f>""</f>
        <v/>
      </c>
      <c r="CW144" t="str">
        <f>""</f>
        <v/>
      </c>
      <c r="CX144" t="str">
        <f>""</f>
        <v/>
      </c>
      <c r="CY144" t="str">
        <f>""</f>
        <v/>
      </c>
      <c r="CZ144" t="str">
        <f>""</f>
        <v/>
      </c>
      <c r="DA144" t="str">
        <f>""</f>
        <v/>
      </c>
      <c r="DB144" t="str">
        <f>""</f>
        <v/>
      </c>
      <c r="DC144" t="str">
        <f>""</f>
        <v/>
      </c>
      <c r="DD144" t="str">
        <f>""</f>
        <v/>
      </c>
      <c r="DE144" t="str">
        <f>""</f>
        <v/>
      </c>
      <c r="DF144" t="str">
        <f>""</f>
        <v/>
      </c>
      <c r="DG144" t="str">
        <f>""</f>
        <v/>
      </c>
      <c r="DH144" t="str">
        <f>""</f>
        <v/>
      </c>
      <c r="DI144" t="str">
        <f>""</f>
        <v/>
      </c>
      <c r="DJ144" t="str">
        <f>""</f>
        <v/>
      </c>
      <c r="DK144" t="str">
        <f>""</f>
        <v/>
      </c>
      <c r="DL144" t="str">
        <f>""</f>
        <v/>
      </c>
      <c r="DM144" t="str">
        <f>""</f>
        <v/>
      </c>
      <c r="DN144" t="str">
        <f>""</f>
        <v/>
      </c>
      <c r="DO144" t="str">
        <f>""</f>
        <v/>
      </c>
      <c r="DP144" t="str">
        <f>""</f>
        <v/>
      </c>
      <c r="DQ144" t="str">
        <f>""</f>
        <v/>
      </c>
      <c r="DR144" t="str">
        <f>""</f>
        <v/>
      </c>
      <c r="DS144" t="str">
        <f>""</f>
        <v/>
      </c>
      <c r="DT144" t="str">
        <f>""</f>
        <v/>
      </c>
      <c r="DU144" t="str">
        <f>""</f>
        <v/>
      </c>
    </row>
    <row r="145" spans="1:125" x14ac:dyDescent="0.25">
      <c r="A145" t="str">
        <f>"    NatWest Group PLC"</f>
        <v xml:space="preserve">    NatWest Group PLC</v>
      </c>
      <c r="B145" t="str">
        <f>"NWG LN Equity"</f>
        <v>NWG LN Equity</v>
      </c>
      <c r="C145" t="str">
        <f t="shared" si="9"/>
        <v>BS016</v>
      </c>
      <c r="D145" t="str">
        <f t="shared" si="10"/>
        <v>BS_COMM_LOAN</v>
      </c>
      <c r="E145" t="str">
        <f t="shared" si="11"/>
        <v>Dynamic</v>
      </c>
      <c r="F145" t="str">
        <f ca="1">IF(AND(ISNUMBER($F$348),$B$208=1),$F$348,HLOOKUP(INDIRECT(ADDRESS(2,COLUMN())),OFFSET($BN$2,0,0,ROW()-1,60),ROW()-1,FALSE))</f>
        <v/>
      </c>
      <c r="G145" t="str">
        <f ca="1">IF(AND(ISNUMBER($G$348),$B$208=1),$G$348,HLOOKUP(INDIRECT(ADDRESS(2,COLUMN())),OFFSET($BN$2,0,0,ROW()-1,60),ROW()-1,FALSE))</f>
        <v/>
      </c>
      <c r="H145" t="str">
        <f ca="1">IF(AND(ISNUMBER($H$348),$B$208=1),$H$348,HLOOKUP(INDIRECT(ADDRESS(2,COLUMN())),OFFSET($BN$2,0,0,ROW()-1,60),ROW()-1,FALSE))</f>
        <v/>
      </c>
      <c r="I145" t="str">
        <f ca="1">IF(AND(ISNUMBER($I$348),$B$208=1),$I$348,HLOOKUP(INDIRECT(ADDRESS(2,COLUMN())),OFFSET($BN$2,0,0,ROW()-1,60),ROW()-1,FALSE))</f>
        <v/>
      </c>
      <c r="J145" t="str">
        <f ca="1">IF(AND(ISNUMBER($J$348),$B$208=1),$J$348,HLOOKUP(INDIRECT(ADDRESS(2,COLUMN())),OFFSET($BN$2,0,0,ROW()-1,60),ROW()-1,FALSE))</f>
        <v/>
      </c>
      <c r="K145" t="str">
        <f ca="1">IF(AND(ISNUMBER($K$348),$B$208=1),$K$348,HLOOKUP(INDIRECT(ADDRESS(2,COLUMN())),OFFSET($BN$2,0,0,ROW()-1,60),ROW()-1,FALSE))</f>
        <v/>
      </c>
      <c r="L145" t="str">
        <f ca="1">IF(AND(ISNUMBER($L$348),$B$208=1),$L$348,HLOOKUP(INDIRECT(ADDRESS(2,COLUMN())),OFFSET($BN$2,0,0,ROW()-1,60),ROW()-1,FALSE))</f>
        <v/>
      </c>
      <c r="M145" t="str">
        <f ca="1">IF(AND(ISNUMBER($M$348),$B$208=1),$M$348,HLOOKUP(INDIRECT(ADDRESS(2,COLUMN())),OFFSET($BN$2,0,0,ROW()-1,60),ROW()-1,FALSE))</f>
        <v/>
      </c>
      <c r="N145" t="str">
        <f ca="1">IF(AND(ISNUMBER($N$348),$B$208=1),$N$348,HLOOKUP(INDIRECT(ADDRESS(2,COLUMN())),OFFSET($BN$2,0,0,ROW()-1,60),ROW()-1,FALSE))</f>
        <v/>
      </c>
      <c r="O145" t="str">
        <f ca="1">IF(AND(ISNUMBER($O$348),$B$208=1),$O$348,HLOOKUP(INDIRECT(ADDRESS(2,COLUMN())),OFFSET($BN$2,0,0,ROW()-1,60),ROW()-1,FALSE))</f>
        <v/>
      </c>
      <c r="P145" t="str">
        <f ca="1">IF(AND(ISNUMBER($P$348),$B$208=1),$P$348,HLOOKUP(INDIRECT(ADDRESS(2,COLUMN())),OFFSET($BN$2,0,0,ROW()-1,60),ROW()-1,FALSE))</f>
        <v/>
      </c>
      <c r="Q145" t="str">
        <f ca="1">IF(AND(ISNUMBER($Q$348),$B$208=1),$Q$348,HLOOKUP(INDIRECT(ADDRESS(2,COLUMN())),OFFSET($BN$2,0,0,ROW()-1,60),ROW()-1,FALSE))</f>
        <v/>
      </c>
      <c r="R145" t="str">
        <f ca="1">IF(AND(ISNUMBER($R$348),$B$208=1),$R$348,HLOOKUP(INDIRECT(ADDRESS(2,COLUMN())),OFFSET($BN$2,0,0,ROW()-1,60),ROW()-1,FALSE))</f>
        <v/>
      </c>
      <c r="S145" t="str">
        <f ca="1">IF(AND(ISNUMBER($S$348),$B$208=1),$S$348,HLOOKUP(INDIRECT(ADDRESS(2,COLUMN())),OFFSET($BN$2,0,0,ROW()-1,60),ROW()-1,FALSE))</f>
        <v/>
      </c>
      <c r="T145" t="str">
        <f ca="1">IF(AND(ISNUMBER($T$348),$B$208=1),$T$348,HLOOKUP(INDIRECT(ADDRESS(2,COLUMN())),OFFSET($BN$2,0,0,ROW()-1,60),ROW()-1,FALSE))</f>
        <v/>
      </c>
      <c r="U145" t="str">
        <f ca="1">IF(AND(ISNUMBER($U$348),$B$208=1),$U$348,HLOOKUP(INDIRECT(ADDRESS(2,COLUMN())),OFFSET($BN$2,0,0,ROW()-1,60),ROW()-1,FALSE))</f>
        <v/>
      </c>
      <c r="V145" t="str">
        <f ca="1">IF(AND(ISNUMBER($V$348),$B$208=1),$V$348,HLOOKUP(INDIRECT(ADDRESS(2,COLUMN())),OFFSET($BN$2,0,0,ROW()-1,60),ROW()-1,FALSE))</f>
        <v/>
      </c>
      <c r="W145" t="str">
        <f ca="1">IF(AND(ISNUMBER($W$348),$B$208=1),$W$348,HLOOKUP(INDIRECT(ADDRESS(2,COLUMN())),OFFSET($BN$2,0,0,ROW()-1,60),ROW()-1,FALSE))</f>
        <v/>
      </c>
      <c r="X145" t="str">
        <f ca="1">IF(AND(ISNUMBER($X$348),$B$208=1),$X$348,HLOOKUP(INDIRECT(ADDRESS(2,COLUMN())),OFFSET($BN$2,0,0,ROW()-1,60),ROW()-1,FALSE))</f>
        <v/>
      </c>
      <c r="Y145" t="str">
        <f ca="1">IF(AND(ISNUMBER($Y$348),$B$208=1),$Y$348,HLOOKUP(INDIRECT(ADDRESS(2,COLUMN())),OFFSET($BN$2,0,0,ROW()-1,60),ROW()-1,FALSE))</f>
        <v/>
      </c>
      <c r="Z145" t="str">
        <f ca="1">IF(AND(ISNUMBER($Z$348),$B$208=1),$Z$348,HLOOKUP(INDIRECT(ADDRESS(2,COLUMN())),OFFSET($BN$2,0,0,ROW()-1,60),ROW()-1,FALSE))</f>
        <v/>
      </c>
      <c r="AA145" t="str">
        <f ca="1">IF(AND(ISNUMBER($AA$348),$B$208=1),$AA$348,HLOOKUP(INDIRECT(ADDRESS(2,COLUMN())),OFFSET($BN$2,0,0,ROW()-1,60),ROW()-1,FALSE))</f>
        <v/>
      </c>
      <c r="AB145" t="str">
        <f ca="1">IF(AND(ISNUMBER($AB$348),$B$208=1),$AB$348,HLOOKUP(INDIRECT(ADDRESS(2,COLUMN())),OFFSET($BN$2,0,0,ROW()-1,60),ROW()-1,FALSE))</f>
        <v/>
      </c>
      <c r="AC145" t="str">
        <f ca="1">IF(AND(ISNUMBER($AC$348),$B$208=1),$AC$348,HLOOKUP(INDIRECT(ADDRESS(2,COLUMN())),OFFSET($BN$2,0,0,ROW()-1,60),ROW()-1,FALSE))</f>
        <v/>
      </c>
      <c r="AD145" t="str">
        <f ca="1">IF(AND(ISNUMBER($AD$348),$B$208=1),$AD$348,HLOOKUP(INDIRECT(ADDRESS(2,COLUMN())),OFFSET($BN$2,0,0,ROW()-1,60),ROW()-1,FALSE))</f>
        <v/>
      </c>
      <c r="AE145" t="str">
        <f ca="1">IF(AND(ISNUMBER($AE$348),$B$208=1),$AE$348,HLOOKUP(INDIRECT(ADDRESS(2,COLUMN())),OFFSET($BN$2,0,0,ROW()-1,60),ROW()-1,FALSE))</f>
        <v/>
      </c>
      <c r="AF145" t="str">
        <f ca="1">IF(AND(ISNUMBER($AF$348),$B$208=1),$AF$348,HLOOKUP(INDIRECT(ADDRESS(2,COLUMN())),OFFSET($BN$2,0,0,ROW()-1,60),ROW()-1,FALSE))</f>
        <v/>
      </c>
      <c r="AG145" t="str">
        <f ca="1">IF(AND(ISNUMBER($AG$348),$B$208=1),$AG$348,HLOOKUP(INDIRECT(ADDRESS(2,COLUMN())),OFFSET($BN$2,0,0,ROW()-1,60),ROW()-1,FALSE))</f>
        <v/>
      </c>
      <c r="AH145" t="str">
        <f ca="1">IF(AND(ISNUMBER($AH$348),$B$208=1),$AH$348,HLOOKUP(INDIRECT(ADDRESS(2,COLUMN())),OFFSET($BN$2,0,0,ROW()-1,60),ROW()-1,FALSE))</f>
        <v/>
      </c>
      <c r="AI145" t="str">
        <f ca="1">IF(AND(ISNUMBER($AI$348),$B$208=1),$AI$348,HLOOKUP(INDIRECT(ADDRESS(2,COLUMN())),OFFSET($BN$2,0,0,ROW()-1,60),ROW()-1,FALSE))</f>
        <v/>
      </c>
      <c r="AJ145" t="str">
        <f ca="1">IF(AND(ISNUMBER($AJ$348),$B$208=1),$AJ$348,HLOOKUP(INDIRECT(ADDRESS(2,COLUMN())),OFFSET($BN$2,0,0,ROW()-1,60),ROW()-1,FALSE))</f>
        <v/>
      </c>
      <c r="AK145" t="str">
        <f ca="1">IF(AND(ISNUMBER($AK$348),$B$208=1),$AK$348,HLOOKUP(INDIRECT(ADDRESS(2,COLUMN())),OFFSET($BN$2,0,0,ROW()-1,60),ROW()-1,FALSE))</f>
        <v/>
      </c>
      <c r="AL145" t="str">
        <f ca="1">IF(AND(ISNUMBER($AL$348),$B$208=1),$AL$348,HLOOKUP(INDIRECT(ADDRESS(2,COLUMN())),OFFSET($BN$2,0,0,ROW()-1,60),ROW()-1,FALSE))</f>
        <v/>
      </c>
      <c r="AM145" t="str">
        <f ca="1">IF(AND(ISNUMBER($AM$348),$B$208=1),$AM$348,HLOOKUP(INDIRECT(ADDRESS(2,COLUMN())),OFFSET($BN$2,0,0,ROW()-1,60),ROW()-1,FALSE))</f>
        <v/>
      </c>
      <c r="AN145" t="str">
        <f ca="1">IF(AND(ISNUMBER($AN$348),$B$208=1),$AN$348,HLOOKUP(INDIRECT(ADDRESS(2,COLUMN())),OFFSET($BN$2,0,0,ROW()-1,60),ROW()-1,FALSE))</f>
        <v/>
      </c>
      <c r="AO145" t="str">
        <f ca="1">IF(AND(ISNUMBER($AO$348),$B$208=1),$AO$348,HLOOKUP(INDIRECT(ADDRESS(2,COLUMN())),OFFSET($BN$2,0,0,ROW()-1,60),ROW()-1,FALSE))</f>
        <v/>
      </c>
      <c r="AP145" t="str">
        <f ca="1">IF(AND(ISNUMBER($AP$348),$B$208=1),$AP$348,HLOOKUP(INDIRECT(ADDRESS(2,COLUMN())),OFFSET($BN$2,0,0,ROW()-1,60),ROW()-1,FALSE))</f>
        <v/>
      </c>
      <c r="AQ145" t="str">
        <f ca="1">IF(AND(ISNUMBER($AQ$348),$B$208=1),$AQ$348,HLOOKUP(INDIRECT(ADDRESS(2,COLUMN())),OFFSET($BN$2,0,0,ROW()-1,60),ROW()-1,FALSE))</f>
        <v/>
      </c>
      <c r="AR145" t="str">
        <f ca="1">IF(AND(ISNUMBER($AR$348),$B$208=1),$AR$348,HLOOKUP(INDIRECT(ADDRESS(2,COLUMN())),OFFSET($BN$2,0,0,ROW()-1,60),ROW()-1,FALSE))</f>
        <v/>
      </c>
      <c r="AS145" t="str">
        <f ca="1">IF(AND(ISNUMBER($AS$348),$B$208=1),$AS$348,HLOOKUP(INDIRECT(ADDRESS(2,COLUMN())),OFFSET($BN$2,0,0,ROW()-1,60),ROW()-1,FALSE))</f>
        <v/>
      </c>
      <c r="AT145" t="str">
        <f ca="1">IF(AND(ISNUMBER($AT$348),$B$208=1),$AT$348,HLOOKUP(INDIRECT(ADDRESS(2,COLUMN())),OFFSET($BN$2,0,0,ROW()-1,60),ROW()-1,FALSE))</f>
        <v/>
      </c>
      <c r="AU145" t="str">
        <f ca="1">IF(AND(ISNUMBER($AU$348),$B$208=1),$AU$348,HLOOKUP(INDIRECT(ADDRESS(2,COLUMN())),OFFSET($BN$2,0,0,ROW()-1,60),ROW()-1,FALSE))</f>
        <v/>
      </c>
      <c r="AV145" t="str">
        <f ca="1">IF(AND(ISNUMBER($AV$348),$B$208=1),$AV$348,HLOOKUP(INDIRECT(ADDRESS(2,COLUMN())),OFFSET($BN$2,0,0,ROW()-1,60),ROW()-1,FALSE))</f>
        <v/>
      </c>
      <c r="AW145" t="str">
        <f ca="1">IF(AND(ISNUMBER($AW$348),$B$208=1),$AW$348,HLOOKUP(INDIRECT(ADDRESS(2,COLUMN())),OFFSET($BN$2,0,0,ROW()-1,60),ROW()-1,FALSE))</f>
        <v/>
      </c>
      <c r="AX145">
        <f ca="1">IF(AND(ISNUMBER($AX$348),$B$208=1),$AX$348,HLOOKUP(INDIRECT(ADDRESS(2,COLUMN())),OFFSET($BN$2,0,0,ROW()-1,60),ROW()-1,FALSE))</f>
        <v>234970.73120000001</v>
      </c>
      <c r="AY145">
        <f ca="1">IF(AND(ISNUMBER($AY$348),$B$208=1),$AY$348,HLOOKUP(INDIRECT(ADDRESS(2,COLUMN())),OFFSET($BN$2,0,0,ROW()-1,60),ROW()-1,FALSE))</f>
        <v>244159.86139999999</v>
      </c>
      <c r="AZ145" t="str">
        <f ca="1">IF(AND(ISNUMBER($AZ$348),$B$208=1),$AZ$348,HLOOKUP(INDIRECT(ADDRESS(2,COLUMN())),OFFSET($BN$2,0,0,ROW()-1,60),ROW()-1,FALSE))</f>
        <v/>
      </c>
      <c r="BA145" t="str">
        <f ca="1">IF(AND(ISNUMBER($BA$348),$B$208=1),$BA$348,HLOOKUP(INDIRECT(ADDRESS(2,COLUMN())),OFFSET($BN$2,0,0,ROW()-1,60),ROW()-1,FALSE))</f>
        <v/>
      </c>
      <c r="BB145" t="str">
        <f ca="1">IF(AND(ISNUMBER($BB$348),$B$208=1),$BB$348,HLOOKUP(INDIRECT(ADDRESS(2,COLUMN())),OFFSET($BN$2,0,0,ROW()-1,60),ROW()-1,FALSE))</f>
        <v/>
      </c>
      <c r="BC145" t="str">
        <f ca="1">IF(AND(ISNUMBER($BC$348),$B$208=1),$BC$348,HLOOKUP(INDIRECT(ADDRESS(2,COLUMN())),OFFSET($BN$2,0,0,ROW()-1,60),ROW()-1,FALSE))</f>
        <v/>
      </c>
      <c r="BD145" t="str">
        <f ca="1">IF(AND(ISNUMBER($BD$348),$B$208=1),$BD$348,HLOOKUP(INDIRECT(ADDRESS(2,COLUMN())),OFFSET($BN$2,0,0,ROW()-1,60),ROW()-1,FALSE))</f>
        <v/>
      </c>
      <c r="BE145">
        <f ca="1">IF(AND(ISNUMBER($BE$348),$B$208=1),$BE$348,HLOOKUP(INDIRECT(ADDRESS(2,COLUMN())),OFFSET($BN$2,0,0,ROW()-1,60),ROW()-1,FALSE))</f>
        <v>311835.29499999998</v>
      </c>
      <c r="BF145">
        <f ca="1">IF(AND(ISNUMBER($BF$348),$B$208=1),$BF$348,HLOOKUP(INDIRECT(ADDRESS(2,COLUMN())),OFFSET($BN$2,0,0,ROW()-1,60),ROW()-1,FALSE))</f>
        <v>326222.72019999998</v>
      </c>
      <c r="BG145">
        <f ca="1">IF(AND(ISNUMBER($BG$348),$B$208=1),$BG$348,HLOOKUP(INDIRECT(ADDRESS(2,COLUMN())),OFFSET($BN$2,0,0,ROW()-1,60),ROW()-1,FALSE))</f>
        <v>344002.35560000001</v>
      </c>
      <c r="BH145">
        <f ca="1">IF(AND(ISNUMBER($BH$348),$B$208=1),$BH$348,HLOOKUP(INDIRECT(ADDRESS(2,COLUMN())),OFFSET($BN$2,0,0,ROW()-1,60),ROW()-1,FALSE))</f>
        <v>331739.81140000001</v>
      </c>
      <c r="BI145">
        <f ca="1">IF(AND(ISNUMBER($BI$348),$B$208=1),$BI$348,HLOOKUP(INDIRECT(ADDRESS(2,COLUMN())),OFFSET($BN$2,0,0,ROW()-1,60),ROW()-1,FALSE))</f>
        <v>344854.11810000002</v>
      </c>
      <c r="BJ145">
        <f ca="1">IF(AND(ISNUMBER($BJ$348),$B$208=1),$BJ$348,HLOOKUP(INDIRECT(ADDRESS(2,COLUMN())),OFFSET($BN$2,0,0,ROW()-1,60),ROW()-1,FALSE))</f>
        <v>381748.53950000001</v>
      </c>
      <c r="BK145">
        <f ca="1">IF(AND(ISNUMBER($BK$348),$B$208=1),$BK$348,HLOOKUP(INDIRECT(ADDRESS(2,COLUMN())),OFFSET($BN$2,0,0,ROW()-1,60),ROW()-1,FALSE))</f>
        <v>403450.91450000001</v>
      </c>
      <c r="BL145" t="str">
        <f ca="1">IF(AND(ISNUMBER($BL$348),$B$208=1),$BL$348,HLOOKUP(INDIRECT(ADDRESS(2,COLUMN())),OFFSET($BN$2,0,0,ROW()-1,60),ROW()-1,FALSE))</f>
        <v/>
      </c>
      <c r="BM145" t="str">
        <f ca="1">IF(AND(ISNUMBER($BM$348),$B$208=1),$BM$348,HLOOKUP(INDIRECT(ADDRESS(2,COLUMN())),OFFSET($BN$2,0,0,ROW()-1,60),ROW()-1,FALSE))</f>
        <v/>
      </c>
      <c r="BN145" t="str">
        <f>""</f>
        <v/>
      </c>
      <c r="BO145" t="str">
        <f>""</f>
        <v/>
      </c>
      <c r="BP145" t="str">
        <f>""</f>
        <v/>
      </c>
      <c r="BQ145" t="str">
        <f>""</f>
        <v/>
      </c>
      <c r="BR145" t="str">
        <f>""</f>
        <v/>
      </c>
      <c r="BS145" t="str">
        <f>""</f>
        <v/>
      </c>
      <c r="BT145" t="str">
        <f>""</f>
        <v/>
      </c>
      <c r="BU145" t="str">
        <f>""</f>
        <v/>
      </c>
      <c r="BV145" t="str">
        <f>""</f>
        <v/>
      </c>
      <c r="BW145" t="str">
        <f>""</f>
        <v/>
      </c>
      <c r="BX145" t="str">
        <f>""</f>
        <v/>
      </c>
      <c r="BY145" t="str">
        <f>""</f>
        <v/>
      </c>
      <c r="BZ145" t="str">
        <f>""</f>
        <v/>
      </c>
      <c r="CA145" t="str">
        <f>""</f>
        <v/>
      </c>
      <c r="CB145" t="str">
        <f>""</f>
        <v/>
      </c>
      <c r="CC145" t="str">
        <f>""</f>
        <v/>
      </c>
      <c r="CD145" t="str">
        <f>""</f>
        <v/>
      </c>
      <c r="CE145" t="str">
        <f>""</f>
        <v/>
      </c>
      <c r="CF145" t="str">
        <f>""</f>
        <v/>
      </c>
      <c r="CG145" t="str">
        <f>""</f>
        <v/>
      </c>
      <c r="CH145" t="str">
        <f>""</f>
        <v/>
      </c>
      <c r="CI145" t="str">
        <f>""</f>
        <v/>
      </c>
      <c r="CJ145" t="str">
        <f>""</f>
        <v/>
      </c>
      <c r="CK145" t="str">
        <f>""</f>
        <v/>
      </c>
      <c r="CL145" t="str">
        <f>""</f>
        <v/>
      </c>
      <c r="CM145" t="str">
        <f>""</f>
        <v/>
      </c>
      <c r="CN145" t="str">
        <f>""</f>
        <v/>
      </c>
      <c r="CO145" t="str">
        <f>""</f>
        <v/>
      </c>
      <c r="CP145" t="str">
        <f>""</f>
        <v/>
      </c>
      <c r="CQ145" t="str">
        <f>""</f>
        <v/>
      </c>
      <c r="CR145" t="str">
        <f>""</f>
        <v/>
      </c>
      <c r="CS145" t="str">
        <f>""</f>
        <v/>
      </c>
      <c r="CT145" t="str">
        <f>""</f>
        <v/>
      </c>
      <c r="CU145" t="str">
        <f>""</f>
        <v/>
      </c>
      <c r="CV145" t="str">
        <f>""</f>
        <v/>
      </c>
      <c r="CW145" t="str">
        <f>""</f>
        <v/>
      </c>
      <c r="CX145" t="str">
        <f>""</f>
        <v/>
      </c>
      <c r="CY145" t="str">
        <f>""</f>
        <v/>
      </c>
      <c r="CZ145" t="str">
        <f>""</f>
        <v/>
      </c>
      <c r="DA145" t="str">
        <f>""</f>
        <v/>
      </c>
      <c r="DB145" t="str">
        <f>""</f>
        <v/>
      </c>
      <c r="DC145" t="str">
        <f>""</f>
        <v/>
      </c>
      <c r="DD145" t="str">
        <f>""</f>
        <v/>
      </c>
      <c r="DE145" t="str">
        <f>""</f>
        <v/>
      </c>
      <c r="DF145">
        <f>234970.7312</f>
        <v>234970.73120000001</v>
      </c>
      <c r="DG145">
        <f>244159.8614</f>
        <v>244159.86139999999</v>
      </c>
      <c r="DH145" t="str">
        <f>""</f>
        <v/>
      </c>
      <c r="DI145" t="str">
        <f>""</f>
        <v/>
      </c>
      <c r="DJ145" t="str">
        <f>""</f>
        <v/>
      </c>
      <c r="DK145" t="str">
        <f>""</f>
        <v/>
      </c>
      <c r="DL145" t="str">
        <f>""</f>
        <v/>
      </c>
      <c r="DM145">
        <f>311835.295</f>
        <v>311835.29499999998</v>
      </c>
      <c r="DN145">
        <f>326222.7202</f>
        <v>326222.72019999998</v>
      </c>
      <c r="DO145">
        <f>344002.3556</f>
        <v>344002.35560000001</v>
      </c>
      <c r="DP145">
        <f>331739.8114</f>
        <v>331739.81140000001</v>
      </c>
      <c r="DQ145">
        <f>344854.1181</f>
        <v>344854.11810000002</v>
      </c>
      <c r="DR145">
        <f>381748.5395</f>
        <v>381748.53950000001</v>
      </c>
      <c r="DS145">
        <f>403450.9145</f>
        <v>403450.91450000001</v>
      </c>
      <c r="DT145" t="str">
        <f>""</f>
        <v/>
      </c>
      <c r="DU145" t="str">
        <f>""</f>
        <v/>
      </c>
    </row>
    <row r="146" spans="1:125" x14ac:dyDescent="0.25">
      <c r="A146" t="str">
        <f>"    Nordea Bank Abp"</f>
        <v xml:space="preserve">    Nordea Bank Abp</v>
      </c>
      <c r="B146" t="str">
        <f>"NDA FH Equity"</f>
        <v>NDA FH Equity</v>
      </c>
      <c r="C146" t="str">
        <f t="shared" si="9"/>
        <v>BS016</v>
      </c>
      <c r="D146" t="str">
        <f t="shared" si="10"/>
        <v>BS_COMM_LOAN</v>
      </c>
      <c r="E146" t="str">
        <f t="shared" si="11"/>
        <v>Dynamic</v>
      </c>
      <c r="F146">
        <f ca="1">IF(AND(ISNUMBER($F$349),$B$208=1),$F$349,HLOOKUP(INDIRECT(ADDRESS(2,COLUMN())),OFFSET($BN$2,0,0,ROW()-1,60),ROW()-1,FALSE))</f>
        <v>122441</v>
      </c>
      <c r="G146">
        <f ca="1">IF(AND(ISNUMBER($G$349),$B$208=1),$G$349,HLOOKUP(INDIRECT(ADDRESS(2,COLUMN())),OFFSET($BN$2,0,0,ROW()-1,60),ROW()-1,FALSE))</f>
        <v>122714</v>
      </c>
      <c r="H146">
        <f ca="1">IF(AND(ISNUMBER($H$349),$B$208=1),$H$349,HLOOKUP(INDIRECT(ADDRESS(2,COLUMN())),OFFSET($BN$2,0,0,ROW()-1,60),ROW()-1,FALSE))</f>
        <v>123126</v>
      </c>
      <c r="I146">
        <f ca="1">IF(AND(ISNUMBER($I$349),$B$208=1),$I$349,HLOOKUP(INDIRECT(ADDRESS(2,COLUMN())),OFFSET($BN$2,0,0,ROW()-1,60),ROW()-1,FALSE))</f>
        <v>123818</v>
      </c>
      <c r="J146">
        <f ca="1">IF(AND(ISNUMBER($J$349),$B$208=1),$J$349,HLOOKUP(INDIRECT(ADDRESS(2,COLUMN())),OFFSET($BN$2,0,0,ROW()-1,60),ROW()-1,FALSE))</f>
        <v>123401</v>
      </c>
      <c r="K146">
        <f ca="1">IF(AND(ISNUMBER($K$349),$B$208=1),$K$349,HLOOKUP(INDIRECT(ADDRESS(2,COLUMN())),OFFSET($BN$2,0,0,ROW()-1,60),ROW()-1,FALSE))</f>
        <v>124235</v>
      </c>
      <c r="L146">
        <f ca="1">IF(AND(ISNUMBER($L$349),$B$208=1),$L$349,HLOOKUP(INDIRECT(ADDRESS(2,COLUMN())),OFFSET($BN$2,0,0,ROW()-1,60),ROW()-1,FALSE))</f>
        <v>122180</v>
      </c>
      <c r="M146">
        <f ca="1">IF(AND(ISNUMBER($M$349),$B$208=1),$M$349,HLOOKUP(INDIRECT(ADDRESS(2,COLUMN())),OFFSET($BN$2,0,0,ROW()-1,60),ROW()-1,FALSE))</f>
        <v>121559</v>
      </c>
      <c r="N146">
        <f ca="1">IF(AND(ISNUMBER($N$349),$B$208=1),$N$349,HLOOKUP(INDIRECT(ADDRESS(2,COLUMN())),OFFSET($BN$2,0,0,ROW()-1,60),ROW()-1,FALSE))</f>
        <v>124258</v>
      </c>
      <c r="O146">
        <f ca="1">IF(AND(ISNUMBER($O$349),$B$208=1),$O$349,HLOOKUP(INDIRECT(ADDRESS(2,COLUMN())),OFFSET($BN$2,0,0,ROW()-1,60),ROW()-1,FALSE))</f>
        <v>126480</v>
      </c>
      <c r="P146">
        <f ca="1">IF(AND(ISNUMBER($P$349),$B$208=1),$P$349,HLOOKUP(INDIRECT(ADDRESS(2,COLUMN())),OFFSET($BN$2,0,0,ROW()-1,60),ROW()-1,FALSE))</f>
        <v>124194</v>
      </c>
      <c r="Q146" t="str">
        <f ca="1">IF(AND(ISNUMBER($Q$349),$B$208=1),$Q$349,HLOOKUP(INDIRECT(ADDRESS(2,COLUMN())),OFFSET($BN$2,0,0,ROW()-1,60),ROW()-1,FALSE))</f>
        <v/>
      </c>
      <c r="R146">
        <f ca="1">IF(AND(ISNUMBER($R$349),$B$208=1),$R$349,HLOOKUP(INDIRECT(ADDRESS(2,COLUMN())),OFFSET($BN$2,0,0,ROW()-1,60),ROW()-1,FALSE))</f>
        <v>118512</v>
      </c>
      <c r="S146">
        <f ca="1">IF(AND(ISNUMBER($S$349),$B$208=1),$S$349,HLOOKUP(INDIRECT(ADDRESS(2,COLUMN())),OFFSET($BN$2,0,0,ROW()-1,60),ROW()-1,FALSE))</f>
        <v>114060</v>
      </c>
      <c r="T146">
        <f ca="1">IF(AND(ISNUMBER($T$349),$B$208=1),$T$349,HLOOKUP(INDIRECT(ADDRESS(2,COLUMN())),OFFSET($BN$2,0,0,ROW()-1,60),ROW()-1,FALSE))</f>
        <v>136000</v>
      </c>
      <c r="U146">
        <f ca="1">IF(AND(ISNUMBER($U$349),$B$208=1),$U$349,HLOOKUP(INDIRECT(ADDRESS(2,COLUMN())),OFFSET($BN$2,0,0,ROW()-1,60),ROW()-1,FALSE))</f>
        <v>113992</v>
      </c>
      <c r="V146">
        <f ca="1">IF(AND(ISNUMBER($V$349),$B$208=1),$V$349,HLOOKUP(INDIRECT(ADDRESS(2,COLUMN())),OFFSET($BN$2,0,0,ROW()-1,60),ROW()-1,FALSE))</f>
        <v>136528</v>
      </c>
      <c r="W146">
        <f ca="1">IF(AND(ISNUMBER($W$349),$B$208=1),$W$349,HLOOKUP(INDIRECT(ADDRESS(2,COLUMN())),OFFSET($BN$2,0,0,ROW()-1,60),ROW()-1,FALSE))</f>
        <v>107548</v>
      </c>
      <c r="X146">
        <f ca="1">IF(AND(ISNUMBER($X$349),$B$208=1),$X$349,HLOOKUP(INDIRECT(ADDRESS(2,COLUMN())),OFFSET($BN$2,0,0,ROW()-1,60),ROW()-1,FALSE))</f>
        <v>134000</v>
      </c>
      <c r="Y146">
        <f ca="1">IF(AND(ISNUMBER($Y$349),$B$208=1),$Y$349,HLOOKUP(INDIRECT(ADDRESS(2,COLUMN())),OFFSET($BN$2,0,0,ROW()-1,60),ROW()-1,FALSE))</f>
        <v>131000</v>
      </c>
      <c r="Z146">
        <f ca="1">IF(AND(ISNUMBER($Z$349),$B$208=1),$Z$349,HLOOKUP(INDIRECT(ADDRESS(2,COLUMN())),OFFSET($BN$2,0,0,ROW()-1,60),ROW()-1,FALSE))</f>
        <v>132625</v>
      </c>
      <c r="AA146">
        <f ca="1">IF(AND(ISNUMBER($AA$349),$B$208=1),$AA$349,HLOOKUP(INDIRECT(ADDRESS(2,COLUMN())),OFFSET($BN$2,0,0,ROW()-1,60),ROW()-1,FALSE))</f>
        <v>131000</v>
      </c>
      <c r="AB146">
        <f ca="1">IF(AND(ISNUMBER($AB$349),$B$208=1),$AB$349,HLOOKUP(INDIRECT(ADDRESS(2,COLUMN())),OFFSET($BN$2,0,0,ROW()-1,60),ROW()-1,FALSE))</f>
        <v>132000</v>
      </c>
      <c r="AC146">
        <f ca="1">IF(AND(ISNUMBER($AC$349),$B$208=1),$AC$349,HLOOKUP(INDIRECT(ADDRESS(2,COLUMN())),OFFSET($BN$2,0,0,ROW()-1,60),ROW()-1,FALSE))</f>
        <v>133000</v>
      </c>
      <c r="AD146">
        <f ca="1">IF(AND(ISNUMBER($AD$349),$B$208=1),$AD$349,HLOOKUP(INDIRECT(ADDRESS(2,COLUMN())),OFFSET($BN$2,0,0,ROW()-1,60),ROW()-1,FALSE))</f>
        <v>130717</v>
      </c>
      <c r="AE146">
        <f ca="1">IF(AND(ISNUMBER($AE$349),$B$208=1),$AE$349,HLOOKUP(INDIRECT(ADDRESS(2,COLUMN())),OFFSET($BN$2,0,0,ROW()-1,60),ROW()-1,FALSE))</f>
        <v>127000</v>
      </c>
      <c r="AF146">
        <f ca="1">IF(AND(ISNUMBER($AF$349),$B$208=1),$AF$349,HLOOKUP(INDIRECT(ADDRESS(2,COLUMN())),OFFSET($BN$2,0,0,ROW()-1,60),ROW()-1,FALSE))</f>
        <v>131000</v>
      </c>
      <c r="AG146">
        <f ca="1">IF(AND(ISNUMBER($AG$349),$B$208=1),$AG$349,HLOOKUP(INDIRECT(ADDRESS(2,COLUMN())),OFFSET($BN$2,0,0,ROW()-1,60),ROW()-1,FALSE))</f>
        <v>129000</v>
      </c>
      <c r="AH146">
        <f ca="1">IF(AND(ISNUMBER($AH$349),$B$208=1),$AH$349,HLOOKUP(INDIRECT(ADDRESS(2,COLUMN())),OFFSET($BN$2,0,0,ROW()-1,60),ROW()-1,FALSE))</f>
        <v>130716</v>
      </c>
      <c r="AI146">
        <f ca="1">IF(AND(ISNUMBER($AI$349),$B$208=1),$AI$349,HLOOKUP(INDIRECT(ADDRESS(2,COLUMN())),OFFSET($BN$2,0,0,ROW()-1,60),ROW()-1,FALSE))</f>
        <v>132000</v>
      </c>
      <c r="AJ146">
        <f ca="1">IF(AND(ISNUMBER($AJ$349),$B$208=1),$AJ$349,HLOOKUP(INDIRECT(ADDRESS(2,COLUMN())),OFFSET($BN$2,0,0,ROW()-1,60),ROW()-1,FALSE))</f>
        <v>130000</v>
      </c>
      <c r="AK146">
        <f ca="1">IF(AND(ISNUMBER($AK$349),$B$208=1),$AK$349,HLOOKUP(INDIRECT(ADDRESS(2,COLUMN())),OFFSET($BN$2,0,0,ROW()-1,60),ROW()-1,FALSE))</f>
        <v>135000</v>
      </c>
      <c r="AL146">
        <f ca="1">IF(AND(ISNUMBER($AL$349),$B$208=1),$AL$349,HLOOKUP(INDIRECT(ADDRESS(2,COLUMN())),OFFSET($BN$2,0,0,ROW()-1,60),ROW()-1,FALSE))</f>
        <v>133788</v>
      </c>
      <c r="AM146">
        <f ca="1">IF(AND(ISNUMBER($AM$349),$B$208=1),$AM$349,HLOOKUP(INDIRECT(ADDRESS(2,COLUMN())),OFFSET($BN$2,0,0,ROW()-1,60),ROW()-1,FALSE))</f>
        <v>136000</v>
      </c>
      <c r="AN146">
        <f ca="1">IF(AND(ISNUMBER($AN$349),$B$208=1),$AN$349,HLOOKUP(INDIRECT(ADDRESS(2,COLUMN())),OFFSET($BN$2,0,0,ROW()-1,60),ROW()-1,FALSE))</f>
        <v>143000</v>
      </c>
      <c r="AO146">
        <f ca="1">IF(AND(ISNUMBER($AO$349),$B$208=1),$AO$349,HLOOKUP(INDIRECT(ADDRESS(2,COLUMN())),OFFSET($BN$2,0,0,ROW()-1,60),ROW()-1,FALSE))</f>
        <v>144000</v>
      </c>
      <c r="AP146">
        <f ca="1">IF(AND(ISNUMBER($AP$349),$B$208=1),$AP$349,HLOOKUP(INDIRECT(ADDRESS(2,COLUMN())),OFFSET($BN$2,0,0,ROW()-1,60),ROW()-1,FALSE))</f>
        <v>145268</v>
      </c>
      <c r="AQ146">
        <f ca="1">IF(AND(ISNUMBER($AQ$349),$B$208=1),$AQ$349,HLOOKUP(INDIRECT(ADDRESS(2,COLUMN())),OFFSET($BN$2,0,0,ROW()-1,60),ROW()-1,FALSE))</f>
        <v>146000</v>
      </c>
      <c r="AR146">
        <f ca="1">IF(AND(ISNUMBER($AR$349),$B$208=1),$AR$349,HLOOKUP(INDIRECT(ADDRESS(2,COLUMN())),OFFSET($BN$2,0,0,ROW()-1,60),ROW()-1,FALSE))</f>
        <v>147000</v>
      </c>
      <c r="AS146">
        <f ca="1">IF(AND(ISNUMBER($AS$349),$B$208=1),$AS$349,HLOOKUP(INDIRECT(ADDRESS(2,COLUMN())),OFFSET($BN$2,0,0,ROW()-1,60),ROW()-1,FALSE))</f>
        <v>150000</v>
      </c>
      <c r="AT146" t="str">
        <f ca="1">IF(AND(ISNUMBER($AT$349),$B$208=1),$AT$349,HLOOKUP(INDIRECT(ADDRESS(2,COLUMN())),OFFSET($BN$2,0,0,ROW()-1,60),ROW()-1,FALSE))</f>
        <v/>
      </c>
      <c r="AU146" t="str">
        <f ca="1">IF(AND(ISNUMBER($AU$349),$B$208=1),$AU$349,HLOOKUP(INDIRECT(ADDRESS(2,COLUMN())),OFFSET($BN$2,0,0,ROW()-1,60),ROW()-1,FALSE))</f>
        <v/>
      </c>
      <c r="AV146" t="str">
        <f ca="1">IF(AND(ISNUMBER($AV$349),$B$208=1),$AV$349,HLOOKUP(INDIRECT(ADDRESS(2,COLUMN())),OFFSET($BN$2,0,0,ROW()-1,60),ROW()-1,FALSE))</f>
        <v/>
      </c>
      <c r="AW146" t="str">
        <f ca="1">IF(AND(ISNUMBER($AW$349),$B$208=1),$AW$349,HLOOKUP(INDIRECT(ADDRESS(2,COLUMN())),OFFSET($BN$2,0,0,ROW()-1,60),ROW()-1,FALSE))</f>
        <v/>
      </c>
      <c r="AX146" t="str">
        <f ca="1">IF(AND(ISNUMBER($AX$349),$B$208=1),$AX$349,HLOOKUP(INDIRECT(ADDRESS(2,COLUMN())),OFFSET($BN$2,0,0,ROW()-1,60),ROW()-1,FALSE))</f>
        <v/>
      </c>
      <c r="AY146" t="str">
        <f ca="1">IF(AND(ISNUMBER($AY$349),$B$208=1),$AY$349,HLOOKUP(INDIRECT(ADDRESS(2,COLUMN())),OFFSET($BN$2,0,0,ROW()-1,60),ROW()-1,FALSE))</f>
        <v/>
      </c>
      <c r="AZ146" t="str">
        <f ca="1">IF(AND(ISNUMBER($AZ$349),$B$208=1),$AZ$349,HLOOKUP(INDIRECT(ADDRESS(2,COLUMN())),OFFSET($BN$2,0,0,ROW()-1,60),ROW()-1,FALSE))</f>
        <v/>
      </c>
      <c r="BA146" t="str">
        <f ca="1">IF(AND(ISNUMBER($BA$349),$B$208=1),$BA$349,HLOOKUP(INDIRECT(ADDRESS(2,COLUMN())),OFFSET($BN$2,0,0,ROW()-1,60),ROW()-1,FALSE))</f>
        <v/>
      </c>
      <c r="BB146" t="str">
        <f ca="1">IF(AND(ISNUMBER($BB$349),$B$208=1),$BB$349,HLOOKUP(INDIRECT(ADDRESS(2,COLUMN())),OFFSET($BN$2,0,0,ROW()-1,60),ROW()-1,FALSE))</f>
        <v/>
      </c>
      <c r="BC146" t="str">
        <f ca="1">IF(AND(ISNUMBER($BC$349),$B$208=1),$BC$349,HLOOKUP(INDIRECT(ADDRESS(2,COLUMN())),OFFSET($BN$2,0,0,ROW()-1,60),ROW()-1,FALSE))</f>
        <v/>
      </c>
      <c r="BD146" t="str">
        <f ca="1">IF(AND(ISNUMBER($BD$349),$B$208=1),$BD$349,HLOOKUP(INDIRECT(ADDRESS(2,COLUMN())),OFFSET($BN$2,0,0,ROW()-1,60),ROW()-1,FALSE))</f>
        <v/>
      </c>
      <c r="BE146" t="str">
        <f ca="1">IF(AND(ISNUMBER($BE$349),$B$208=1),$BE$349,HLOOKUP(INDIRECT(ADDRESS(2,COLUMN())),OFFSET($BN$2,0,0,ROW()-1,60),ROW()-1,FALSE))</f>
        <v/>
      </c>
      <c r="BF146" t="str">
        <f ca="1">IF(AND(ISNUMBER($BF$349),$B$208=1),$BF$349,HLOOKUP(INDIRECT(ADDRESS(2,COLUMN())),OFFSET($BN$2,0,0,ROW()-1,60),ROW()-1,FALSE))</f>
        <v/>
      </c>
      <c r="BG146" t="str">
        <f ca="1">IF(AND(ISNUMBER($BG$349),$B$208=1),$BG$349,HLOOKUP(INDIRECT(ADDRESS(2,COLUMN())),OFFSET($BN$2,0,0,ROW()-1,60),ROW()-1,FALSE))</f>
        <v/>
      </c>
      <c r="BH146" t="str">
        <f ca="1">IF(AND(ISNUMBER($BH$349),$B$208=1),$BH$349,HLOOKUP(INDIRECT(ADDRESS(2,COLUMN())),OFFSET($BN$2,0,0,ROW()-1,60),ROW()-1,FALSE))</f>
        <v/>
      </c>
      <c r="BI146" t="str">
        <f ca="1">IF(AND(ISNUMBER($BI$349),$B$208=1),$BI$349,HLOOKUP(INDIRECT(ADDRESS(2,COLUMN())),OFFSET($BN$2,0,0,ROW()-1,60),ROW()-1,FALSE))</f>
        <v/>
      </c>
      <c r="BJ146" t="str">
        <f ca="1">IF(AND(ISNUMBER($BJ$349),$B$208=1),$BJ$349,HLOOKUP(INDIRECT(ADDRESS(2,COLUMN())),OFFSET($BN$2,0,0,ROW()-1,60),ROW()-1,FALSE))</f>
        <v/>
      </c>
      <c r="BK146" t="str">
        <f ca="1">IF(AND(ISNUMBER($BK$349),$B$208=1),$BK$349,HLOOKUP(INDIRECT(ADDRESS(2,COLUMN())),OFFSET($BN$2,0,0,ROW()-1,60),ROW()-1,FALSE))</f>
        <v/>
      </c>
      <c r="BL146" t="str">
        <f ca="1">IF(AND(ISNUMBER($BL$349),$B$208=1),$BL$349,HLOOKUP(INDIRECT(ADDRESS(2,COLUMN())),OFFSET($BN$2,0,0,ROW()-1,60),ROW()-1,FALSE))</f>
        <v/>
      </c>
      <c r="BM146" t="str">
        <f ca="1">IF(AND(ISNUMBER($BM$349),$B$208=1),$BM$349,HLOOKUP(INDIRECT(ADDRESS(2,COLUMN())),OFFSET($BN$2,0,0,ROW()-1,60),ROW()-1,FALSE))</f>
        <v/>
      </c>
      <c r="BN146">
        <f>122441</f>
        <v>122441</v>
      </c>
      <c r="BO146">
        <f>122714</f>
        <v>122714</v>
      </c>
      <c r="BP146">
        <f>123126</f>
        <v>123126</v>
      </c>
      <c r="BQ146">
        <f>123818</f>
        <v>123818</v>
      </c>
      <c r="BR146">
        <f>123401</f>
        <v>123401</v>
      </c>
      <c r="BS146">
        <f>124235</f>
        <v>124235</v>
      </c>
      <c r="BT146">
        <f>122180</f>
        <v>122180</v>
      </c>
      <c r="BU146">
        <f>121559</f>
        <v>121559</v>
      </c>
      <c r="BV146">
        <f>124258</f>
        <v>124258</v>
      </c>
      <c r="BW146">
        <f>126480</f>
        <v>126480</v>
      </c>
      <c r="BX146">
        <f>124194</f>
        <v>124194</v>
      </c>
      <c r="BY146" t="str">
        <f>""</f>
        <v/>
      </c>
      <c r="BZ146">
        <f>118512</f>
        <v>118512</v>
      </c>
      <c r="CA146">
        <f>114060</f>
        <v>114060</v>
      </c>
      <c r="CB146">
        <f>136000</f>
        <v>136000</v>
      </c>
      <c r="CC146">
        <f>113992</f>
        <v>113992</v>
      </c>
      <c r="CD146">
        <f>136528</f>
        <v>136528</v>
      </c>
      <c r="CE146">
        <f>107548</f>
        <v>107548</v>
      </c>
      <c r="CF146">
        <f>134000</f>
        <v>134000</v>
      </c>
      <c r="CG146">
        <f>131000</f>
        <v>131000</v>
      </c>
      <c r="CH146">
        <f>132625</f>
        <v>132625</v>
      </c>
      <c r="CI146">
        <f>131000</f>
        <v>131000</v>
      </c>
      <c r="CJ146">
        <f>132000</f>
        <v>132000</v>
      </c>
      <c r="CK146">
        <f>133000</f>
        <v>133000</v>
      </c>
      <c r="CL146">
        <f>130717</f>
        <v>130717</v>
      </c>
      <c r="CM146">
        <f>127000</f>
        <v>127000</v>
      </c>
      <c r="CN146">
        <f>131000</f>
        <v>131000</v>
      </c>
      <c r="CO146">
        <f>129000</f>
        <v>129000</v>
      </c>
      <c r="CP146">
        <f>130716</f>
        <v>130716</v>
      </c>
      <c r="CQ146">
        <f>132000</f>
        <v>132000</v>
      </c>
      <c r="CR146">
        <f>130000</f>
        <v>130000</v>
      </c>
      <c r="CS146">
        <f>135000</f>
        <v>135000</v>
      </c>
      <c r="CT146">
        <f>133788</f>
        <v>133788</v>
      </c>
      <c r="CU146">
        <f>136000</f>
        <v>136000</v>
      </c>
      <c r="CV146">
        <f>143000</f>
        <v>143000</v>
      </c>
      <c r="CW146">
        <f>144000</f>
        <v>144000</v>
      </c>
      <c r="CX146">
        <f>145268</f>
        <v>145268</v>
      </c>
      <c r="CY146">
        <f>146000</f>
        <v>146000</v>
      </c>
      <c r="CZ146">
        <f>147000</f>
        <v>147000</v>
      </c>
      <c r="DA146">
        <f>150000</f>
        <v>150000</v>
      </c>
      <c r="DB146" t="str">
        <f>""</f>
        <v/>
      </c>
      <c r="DC146" t="str">
        <f>""</f>
        <v/>
      </c>
      <c r="DD146" t="str">
        <f>""</f>
        <v/>
      </c>
      <c r="DE146" t="str">
        <f>""</f>
        <v/>
      </c>
      <c r="DF146" t="str">
        <f>""</f>
        <v/>
      </c>
      <c r="DG146" t="str">
        <f>""</f>
        <v/>
      </c>
      <c r="DH146" t="str">
        <f>""</f>
        <v/>
      </c>
      <c r="DI146" t="str">
        <f>""</f>
        <v/>
      </c>
      <c r="DJ146" t="str">
        <f>""</f>
        <v/>
      </c>
      <c r="DK146" t="str">
        <f>""</f>
        <v/>
      </c>
      <c r="DL146" t="str">
        <f>""</f>
        <v/>
      </c>
      <c r="DM146" t="str">
        <f>""</f>
        <v/>
      </c>
      <c r="DN146" t="str">
        <f>""</f>
        <v/>
      </c>
      <c r="DO146" t="str">
        <f>""</f>
        <v/>
      </c>
      <c r="DP146" t="str">
        <f>""</f>
        <v/>
      </c>
      <c r="DQ146" t="str">
        <f>""</f>
        <v/>
      </c>
      <c r="DR146" t="str">
        <f>""</f>
        <v/>
      </c>
      <c r="DS146" t="str">
        <f>""</f>
        <v/>
      </c>
      <c r="DT146" t="str">
        <f>""</f>
        <v/>
      </c>
      <c r="DU146" t="str">
        <f>""</f>
        <v/>
      </c>
    </row>
    <row r="147" spans="1:125" x14ac:dyDescent="0.25">
      <c r="A147" t="str">
        <f>"    Raiffeisen Bank International AG"</f>
        <v xml:space="preserve">    Raiffeisen Bank International AG</v>
      </c>
      <c r="B147" t="str">
        <f>"RBI AV Equity"</f>
        <v>RBI AV Equity</v>
      </c>
      <c r="C147" t="str">
        <f t="shared" si="9"/>
        <v>BS016</v>
      </c>
      <c r="D147" t="str">
        <f t="shared" si="10"/>
        <v>BS_COMM_LOAN</v>
      </c>
      <c r="E147" t="str">
        <f t="shared" si="11"/>
        <v>Dynamic</v>
      </c>
      <c r="F147">
        <f ca="1">IF(AND(ISNUMBER($F$350),$B$208=1),$F$350,HLOOKUP(INDIRECT(ADDRESS(2,COLUMN())),OFFSET($BN$2,0,0,ROW()-1,60),ROW()-1,FALSE))</f>
        <v>103835</v>
      </c>
      <c r="G147">
        <f ca="1">IF(AND(ISNUMBER($G$350),$B$208=1),$G$350,HLOOKUP(INDIRECT(ADDRESS(2,COLUMN())),OFFSET($BN$2,0,0,ROW()-1,60),ROW()-1,FALSE))</f>
        <v>58787</v>
      </c>
      <c r="H147">
        <f ca="1">IF(AND(ISNUMBER($H$350),$B$208=1),$H$350,HLOOKUP(INDIRECT(ADDRESS(2,COLUMN())),OFFSET($BN$2,0,0,ROW()-1,60),ROW()-1,FALSE))</f>
        <v>60484</v>
      </c>
      <c r="I147">
        <f ca="1">IF(AND(ISNUMBER($I$350),$B$208=1),$I$350,HLOOKUP(INDIRECT(ADDRESS(2,COLUMN())),OFFSET($BN$2,0,0,ROW()-1,60),ROW()-1,FALSE))</f>
        <v>60587</v>
      </c>
      <c r="J147">
        <f ca="1">IF(AND(ISNUMBER($J$350),$B$208=1),$J$350,HLOOKUP(INDIRECT(ADDRESS(2,COLUMN())),OFFSET($BN$2,0,0,ROW()-1,60),ROW()-1,FALSE))</f>
        <v>59368</v>
      </c>
      <c r="K147">
        <f ca="1">IF(AND(ISNUMBER($K$350),$B$208=1),$K$350,HLOOKUP(INDIRECT(ADDRESS(2,COLUMN())),OFFSET($BN$2,0,0,ROW()-1,60),ROW()-1,FALSE))</f>
        <v>61725</v>
      </c>
      <c r="L147">
        <f ca="1">IF(AND(ISNUMBER($L$350),$B$208=1),$L$350,HLOOKUP(INDIRECT(ADDRESS(2,COLUMN())),OFFSET($BN$2,0,0,ROW()-1,60),ROW()-1,FALSE))</f>
        <v>60957</v>
      </c>
      <c r="M147">
        <f ca="1">IF(AND(ISNUMBER($M$350),$B$208=1),$M$350,HLOOKUP(INDIRECT(ADDRESS(2,COLUMN())),OFFSET($BN$2,0,0,ROW()-1,60),ROW()-1,FALSE))</f>
        <v>64080</v>
      </c>
      <c r="N147">
        <f ca="1">IF(AND(ISNUMBER($N$350),$B$208=1),$N$350,HLOOKUP(INDIRECT(ADDRESS(2,COLUMN())),OFFSET($BN$2,0,0,ROW()-1,60),ROW()-1,FALSE))</f>
        <v>61976</v>
      </c>
      <c r="O147">
        <f ca="1">IF(AND(ISNUMBER($O$350),$B$208=1),$O$350,HLOOKUP(INDIRECT(ADDRESS(2,COLUMN())),OFFSET($BN$2,0,0,ROW()-1,60),ROW()-1,FALSE))</f>
        <v>66499</v>
      </c>
      <c r="P147">
        <f ca="1">IF(AND(ISNUMBER($P$350),$B$208=1),$P$350,HLOOKUP(INDIRECT(ADDRESS(2,COLUMN())),OFFSET($BN$2,0,0,ROW()-1,60),ROW()-1,FALSE))</f>
        <v>65707</v>
      </c>
      <c r="Q147">
        <f ca="1">IF(AND(ISNUMBER($Q$350),$B$208=1),$Q$350,HLOOKUP(INDIRECT(ADDRESS(2,COLUMN())),OFFSET($BN$2,0,0,ROW()-1,60),ROW()-1,FALSE))</f>
        <v>63388</v>
      </c>
      <c r="R147">
        <f ca="1">IF(AND(ISNUMBER($R$350),$B$208=1),$R$350,HLOOKUP(INDIRECT(ADDRESS(2,COLUMN())),OFFSET($BN$2,0,0,ROW()-1,60),ROW()-1,FALSE))</f>
        <v>62805</v>
      </c>
      <c r="S147">
        <f ca="1">IF(AND(ISNUMBER($S$350),$B$208=1),$S$350,HLOOKUP(INDIRECT(ADDRESS(2,COLUMN())),OFFSET($BN$2,0,0,ROW()-1,60),ROW()-1,FALSE))</f>
        <v>61448</v>
      </c>
      <c r="T147">
        <f ca="1">IF(AND(ISNUMBER($T$350),$B$208=1),$T$350,HLOOKUP(INDIRECT(ADDRESS(2,COLUMN())),OFFSET($BN$2,0,0,ROW()-1,60),ROW()-1,FALSE))</f>
        <v>57698</v>
      </c>
      <c r="U147">
        <f ca="1">IF(AND(ISNUMBER($U$350),$B$208=1),$U$350,HLOOKUP(INDIRECT(ADDRESS(2,COLUMN())),OFFSET($BN$2,0,0,ROW()-1,60),ROW()-1,FALSE))</f>
        <v>56807</v>
      </c>
      <c r="V147">
        <f ca="1">IF(AND(ISNUMBER($V$350),$B$208=1),$V$350,HLOOKUP(INDIRECT(ADDRESS(2,COLUMN())),OFFSET($BN$2,0,0,ROW()-1,60),ROW()-1,FALSE))</f>
        <v>55575.771000000001</v>
      </c>
      <c r="W147">
        <f ca="1">IF(AND(ISNUMBER($W$350),$B$208=1),$W$350,HLOOKUP(INDIRECT(ADDRESS(2,COLUMN())),OFFSET($BN$2,0,0,ROW()-1,60),ROW()-1,FALSE))</f>
        <v>57707</v>
      </c>
      <c r="X147">
        <f ca="1">IF(AND(ISNUMBER($X$350),$B$208=1),$X$350,HLOOKUP(INDIRECT(ADDRESS(2,COLUMN())),OFFSET($BN$2,0,0,ROW()-1,60),ROW()-1,FALSE))</f>
        <v>59706</v>
      </c>
      <c r="Y147">
        <f ca="1">IF(AND(ISNUMBER($Y$350),$B$208=1),$Y$350,HLOOKUP(INDIRECT(ADDRESS(2,COLUMN())),OFFSET($BN$2,0,0,ROW()-1,60),ROW()-1,FALSE))</f>
        <v>58313</v>
      </c>
      <c r="Z147">
        <f ca="1">IF(AND(ISNUMBER($Z$350),$B$208=1),$Z$350,HLOOKUP(INDIRECT(ADDRESS(2,COLUMN())),OFFSET($BN$2,0,0,ROW()-1,60),ROW()-1,FALSE))</f>
        <v>46470.17</v>
      </c>
      <c r="AA147">
        <f ca="1">IF(AND(ISNUMBER($AA$350),$B$208=1),$AA$350,HLOOKUP(INDIRECT(ADDRESS(2,COLUMN())),OFFSET($BN$2,0,0,ROW()-1,60),ROW()-1,FALSE))</f>
        <v>58230</v>
      </c>
      <c r="AB147">
        <f ca="1">IF(AND(ISNUMBER($AB$350),$B$208=1),$AB$350,HLOOKUP(INDIRECT(ADDRESS(2,COLUMN())),OFFSET($BN$2,0,0,ROW()-1,60),ROW()-1,FALSE))</f>
        <v>46466</v>
      </c>
      <c r="AC147">
        <f ca="1">IF(AND(ISNUMBER($AC$350),$B$208=1),$AC$350,HLOOKUP(INDIRECT(ADDRESS(2,COLUMN())),OFFSET($BN$2,0,0,ROW()-1,60),ROW()-1,FALSE))</f>
        <v>45305</v>
      </c>
      <c r="AD147">
        <f ca="1">IF(AND(ISNUMBER($AD$350),$B$208=1),$AD$350,HLOOKUP(INDIRECT(ADDRESS(2,COLUMN())),OFFSET($BN$2,0,0,ROW()-1,60),ROW()-1,FALSE))</f>
        <v>43321.930999999997</v>
      </c>
      <c r="AE147">
        <f ca="1">IF(AND(ISNUMBER($AE$350),$B$208=1),$AE$350,HLOOKUP(INDIRECT(ADDRESS(2,COLUMN())),OFFSET($BN$2,0,0,ROW()-1,60),ROW()-1,FALSE))</f>
        <v>49560</v>
      </c>
      <c r="AF147">
        <f ca="1">IF(AND(ISNUMBER($AF$350),$B$208=1),$AF$350,HLOOKUP(INDIRECT(ADDRESS(2,COLUMN())),OFFSET($BN$2,0,0,ROW()-1,60),ROW()-1,FALSE))</f>
        <v>40981</v>
      </c>
      <c r="AG147">
        <f ca="1">IF(AND(ISNUMBER($AG$350),$B$208=1),$AG$350,HLOOKUP(INDIRECT(ADDRESS(2,COLUMN())),OFFSET($BN$2,0,0,ROW()-1,60),ROW()-1,FALSE))</f>
        <v>43690</v>
      </c>
      <c r="AH147">
        <f ca="1">IF(AND(ISNUMBER($AH$350),$B$208=1),$AH$350,HLOOKUP(INDIRECT(ADDRESS(2,COLUMN())),OFFSET($BN$2,0,0,ROW()-1,60),ROW()-1,FALSE))</f>
        <v>42274.726999999999</v>
      </c>
      <c r="AI147">
        <f ca="1">IF(AND(ISNUMBER($AI$350),$B$208=1),$AI$350,HLOOKUP(INDIRECT(ADDRESS(2,COLUMN())),OFFSET($BN$2,0,0,ROW()-1,60),ROW()-1,FALSE))</f>
        <v>49571</v>
      </c>
      <c r="AJ147">
        <f ca="1">IF(AND(ISNUMBER($AJ$350),$B$208=1),$AJ$350,HLOOKUP(INDIRECT(ADDRESS(2,COLUMN())),OFFSET($BN$2,0,0,ROW()-1,60),ROW()-1,FALSE))</f>
        <v>49668</v>
      </c>
      <c r="AK147">
        <f ca="1">IF(AND(ISNUMBER($AK$350),$B$208=1),$AK$350,HLOOKUP(INDIRECT(ADDRESS(2,COLUMN())),OFFSET($BN$2,0,0,ROW()-1,60),ROW()-1,FALSE))</f>
        <v>50523</v>
      </c>
      <c r="AL147">
        <f ca="1">IF(AND(ISNUMBER($AL$350),$B$208=1),$AL$350,HLOOKUP(INDIRECT(ADDRESS(2,COLUMN())),OFFSET($BN$2,0,0,ROW()-1,60),ROW()-1,FALSE))</f>
        <v>46462.074000000001</v>
      </c>
      <c r="AM147">
        <f ca="1">IF(AND(ISNUMBER($AM$350),$B$208=1),$AM$350,HLOOKUP(INDIRECT(ADDRESS(2,COLUMN())),OFFSET($BN$2,0,0,ROW()-1,60),ROW()-1,FALSE))</f>
        <v>46308</v>
      </c>
      <c r="AN147">
        <f ca="1">IF(AND(ISNUMBER($AN$350),$B$208=1),$AN$350,HLOOKUP(INDIRECT(ADDRESS(2,COLUMN())),OFFSET($BN$2,0,0,ROW()-1,60),ROW()-1,FALSE))</f>
        <v>47758</v>
      </c>
      <c r="AO147">
        <f ca="1">IF(AND(ISNUMBER($AO$350),$B$208=1),$AO$350,HLOOKUP(INDIRECT(ADDRESS(2,COLUMN())),OFFSET($BN$2,0,0,ROW()-1,60),ROW()-1,FALSE))</f>
        <v>48045</v>
      </c>
      <c r="AP147">
        <f ca="1">IF(AND(ISNUMBER($AP$350),$B$208=1),$AP$350,HLOOKUP(INDIRECT(ADDRESS(2,COLUMN())),OFFSET($BN$2,0,0,ROW()-1,60),ROW()-1,FALSE))</f>
        <v>47228.535000000003</v>
      </c>
      <c r="AQ147">
        <f ca="1">IF(AND(ISNUMBER($AQ$350),$B$208=1),$AQ$350,HLOOKUP(INDIRECT(ADDRESS(2,COLUMN())),OFFSET($BN$2,0,0,ROW()-1,60),ROW()-1,FALSE))</f>
        <v>50166</v>
      </c>
      <c r="AR147">
        <f ca="1">IF(AND(ISNUMBER($AR$350),$B$208=1),$AR$350,HLOOKUP(INDIRECT(ADDRESS(2,COLUMN())),OFFSET($BN$2,0,0,ROW()-1,60),ROW()-1,FALSE))</f>
        <v>52118</v>
      </c>
      <c r="AS147">
        <f ca="1">IF(AND(ISNUMBER($AS$350),$B$208=1),$AS$350,HLOOKUP(INDIRECT(ADDRESS(2,COLUMN())),OFFSET($BN$2,0,0,ROW()-1,60),ROW()-1,FALSE))</f>
        <v>55894</v>
      </c>
      <c r="AT147">
        <f ca="1">IF(AND(ISNUMBER($AT$350),$B$208=1),$AT$350,HLOOKUP(INDIRECT(ADDRESS(2,COLUMN())),OFFSET($BN$2,0,0,ROW()-1,60),ROW()-1,FALSE))</f>
        <v>54157.303</v>
      </c>
      <c r="AU147">
        <f ca="1">IF(AND(ISNUMBER($AU$350),$B$208=1),$AU$350,HLOOKUP(INDIRECT(ADDRESS(2,COLUMN())),OFFSET($BN$2,0,0,ROW()-1,60),ROW()-1,FALSE))</f>
        <v>57334</v>
      </c>
      <c r="AV147">
        <f ca="1">IF(AND(ISNUMBER($AV$350),$B$208=1),$AV$350,HLOOKUP(INDIRECT(ADDRESS(2,COLUMN())),OFFSET($BN$2,0,0,ROW()-1,60),ROW()-1,FALSE))</f>
        <v>55484</v>
      </c>
      <c r="AW147">
        <f ca="1">IF(AND(ISNUMBER($AW$350),$B$208=1),$AW$350,HLOOKUP(INDIRECT(ADDRESS(2,COLUMN())),OFFSET($BN$2,0,0,ROW()-1,60),ROW()-1,FALSE))</f>
        <v>54714</v>
      </c>
      <c r="AX147">
        <f ca="1">IF(AND(ISNUMBER($AX$350),$B$208=1),$AX$350,HLOOKUP(INDIRECT(ADDRESS(2,COLUMN())),OFFSET($BN$2,0,0,ROW()-1,60),ROW()-1,FALSE))</f>
        <v>55231.292000000001</v>
      </c>
      <c r="AY147">
        <f ca="1">IF(AND(ISNUMBER($AY$350),$B$208=1),$AY$350,HLOOKUP(INDIRECT(ADDRESS(2,COLUMN())),OFFSET($BN$2,0,0,ROW()-1,60),ROW()-1,FALSE))</f>
        <v>56599</v>
      </c>
      <c r="AZ147">
        <f ca="1">IF(AND(ISNUMBER($AZ$350),$B$208=1),$AZ$350,HLOOKUP(INDIRECT(ADDRESS(2,COLUMN())),OFFSET($BN$2,0,0,ROW()-1,60),ROW()-1,FALSE))</f>
        <v>56477</v>
      </c>
      <c r="BA147">
        <f ca="1">IF(AND(ISNUMBER($BA$350),$B$208=1),$BA$350,HLOOKUP(INDIRECT(ADDRESS(2,COLUMN())),OFFSET($BN$2,0,0,ROW()-1,60),ROW()-1,FALSE))</f>
        <v>57936</v>
      </c>
      <c r="BB147">
        <f ca="1">IF(AND(ISNUMBER($BB$350),$B$208=1),$BB$350,HLOOKUP(INDIRECT(ADDRESS(2,COLUMN())),OFFSET($BN$2,0,0,ROW()-1,60),ROW()-1,FALSE))</f>
        <v>58467.235999999997</v>
      </c>
      <c r="BC147">
        <f ca="1">IF(AND(ISNUMBER($BC$350),$B$208=1),$BC$350,HLOOKUP(INDIRECT(ADDRESS(2,COLUMN())),OFFSET($BN$2,0,0,ROW()-1,60),ROW()-1,FALSE))</f>
        <v>58590</v>
      </c>
      <c r="BD147">
        <f ca="1">IF(AND(ISNUMBER($BD$350),$B$208=1),$BD$350,HLOOKUP(INDIRECT(ADDRESS(2,COLUMN())),OFFSET($BN$2,0,0,ROW()-1,60),ROW()-1,FALSE))</f>
        <v>60161</v>
      </c>
      <c r="BE147">
        <f ca="1">IF(AND(ISNUMBER($BE$350),$B$208=1),$BE$350,HLOOKUP(INDIRECT(ADDRESS(2,COLUMN())),OFFSET($BN$2,0,0,ROW()-1,60),ROW()-1,FALSE))</f>
        <v>60830</v>
      </c>
      <c r="BF147">
        <f ca="1">IF(AND(ISNUMBER($BF$350),$B$208=1),$BF$350,HLOOKUP(INDIRECT(ADDRESS(2,COLUMN())),OFFSET($BN$2,0,0,ROW()-1,60),ROW()-1,FALSE))</f>
        <v>61187.766000000003</v>
      </c>
      <c r="BG147">
        <f ca="1">IF(AND(ISNUMBER($BG$350),$B$208=1),$BG$350,HLOOKUP(INDIRECT(ADDRESS(2,COLUMN())),OFFSET($BN$2,0,0,ROW()-1,60),ROW()-1,FALSE))</f>
        <v>60907</v>
      </c>
      <c r="BH147">
        <f ca="1">IF(AND(ISNUMBER($BH$350),$B$208=1),$BH$350,HLOOKUP(INDIRECT(ADDRESS(2,COLUMN())),OFFSET($BN$2,0,0,ROW()-1,60),ROW()-1,FALSE))</f>
        <v>58582</v>
      </c>
      <c r="BI147">
        <f ca="1">IF(AND(ISNUMBER($BI$350),$B$208=1),$BI$350,HLOOKUP(INDIRECT(ADDRESS(2,COLUMN())),OFFSET($BN$2,0,0,ROW()-1,60),ROW()-1,FALSE))</f>
        <v>56804</v>
      </c>
      <c r="BJ147">
        <f ca="1">IF(AND(ISNUMBER($BJ$350),$B$208=1),$BJ$350,HLOOKUP(INDIRECT(ADDRESS(2,COLUMN())),OFFSET($BN$2,0,0,ROW()-1,60),ROW()-1,FALSE))</f>
        <v>55471.254999999997</v>
      </c>
      <c r="BK147">
        <f ca="1">IF(AND(ISNUMBER($BK$350),$B$208=1),$BK$350,HLOOKUP(INDIRECT(ADDRESS(2,COLUMN())),OFFSET($BN$2,0,0,ROW()-1,60),ROW()-1,FALSE))</f>
        <v>32520</v>
      </c>
      <c r="BL147">
        <f ca="1">IF(AND(ISNUMBER($BL$350),$B$208=1),$BL$350,HLOOKUP(INDIRECT(ADDRESS(2,COLUMN())),OFFSET($BN$2,0,0,ROW()-1,60),ROW()-1,FALSE))</f>
        <v>32790</v>
      </c>
      <c r="BM147" t="str">
        <f ca="1">IF(AND(ISNUMBER($BM$350),$B$208=1),$BM$350,HLOOKUP(INDIRECT(ADDRESS(2,COLUMN())),OFFSET($BN$2,0,0,ROW()-1,60),ROW()-1,FALSE))</f>
        <v/>
      </c>
      <c r="BN147">
        <f>103835</f>
        <v>103835</v>
      </c>
      <c r="BO147">
        <f>58787</f>
        <v>58787</v>
      </c>
      <c r="BP147">
        <f>60484</f>
        <v>60484</v>
      </c>
      <c r="BQ147">
        <f>60587</f>
        <v>60587</v>
      </c>
      <c r="BR147">
        <f>59368</f>
        <v>59368</v>
      </c>
      <c r="BS147">
        <f>61725</f>
        <v>61725</v>
      </c>
      <c r="BT147">
        <f>60957</f>
        <v>60957</v>
      </c>
      <c r="BU147">
        <f>64080</f>
        <v>64080</v>
      </c>
      <c r="BV147">
        <f>61976</f>
        <v>61976</v>
      </c>
      <c r="BW147">
        <f>66499</f>
        <v>66499</v>
      </c>
      <c r="BX147">
        <f>65707</f>
        <v>65707</v>
      </c>
      <c r="BY147">
        <f>63388</f>
        <v>63388</v>
      </c>
      <c r="BZ147">
        <f>62805</f>
        <v>62805</v>
      </c>
      <c r="CA147">
        <f>61448</f>
        <v>61448</v>
      </c>
      <c r="CB147">
        <f>57698</f>
        <v>57698</v>
      </c>
      <c r="CC147">
        <f>56807</f>
        <v>56807</v>
      </c>
      <c r="CD147">
        <f>55575.771</f>
        <v>55575.771000000001</v>
      </c>
      <c r="CE147">
        <f>57707</f>
        <v>57707</v>
      </c>
      <c r="CF147">
        <f>59706</f>
        <v>59706</v>
      </c>
      <c r="CG147">
        <f>58313</f>
        <v>58313</v>
      </c>
      <c r="CH147">
        <f>46470.17</f>
        <v>46470.17</v>
      </c>
      <c r="CI147">
        <f>58230</f>
        <v>58230</v>
      </c>
      <c r="CJ147">
        <f>46466</f>
        <v>46466</v>
      </c>
      <c r="CK147">
        <f>45305</f>
        <v>45305</v>
      </c>
      <c r="CL147">
        <f>43321.931</f>
        <v>43321.930999999997</v>
      </c>
      <c r="CM147">
        <f>49560</f>
        <v>49560</v>
      </c>
      <c r="CN147">
        <f>40981</f>
        <v>40981</v>
      </c>
      <c r="CO147">
        <f>43690</f>
        <v>43690</v>
      </c>
      <c r="CP147">
        <f>42274.727</f>
        <v>42274.726999999999</v>
      </c>
      <c r="CQ147">
        <f>49571</f>
        <v>49571</v>
      </c>
      <c r="CR147">
        <f>49668</f>
        <v>49668</v>
      </c>
      <c r="CS147">
        <f>50523</f>
        <v>50523</v>
      </c>
      <c r="CT147">
        <f>46462.074</f>
        <v>46462.074000000001</v>
      </c>
      <c r="CU147">
        <f>46308</f>
        <v>46308</v>
      </c>
      <c r="CV147">
        <f>47758</f>
        <v>47758</v>
      </c>
      <c r="CW147">
        <f>48045</f>
        <v>48045</v>
      </c>
      <c r="CX147">
        <f>47228.535</f>
        <v>47228.535000000003</v>
      </c>
      <c r="CY147">
        <f>50166</f>
        <v>50166</v>
      </c>
      <c r="CZ147">
        <f>52118</f>
        <v>52118</v>
      </c>
      <c r="DA147">
        <f>55894</f>
        <v>55894</v>
      </c>
      <c r="DB147">
        <f>54157.303</f>
        <v>54157.303</v>
      </c>
      <c r="DC147">
        <f>57334</f>
        <v>57334</v>
      </c>
      <c r="DD147">
        <f>55484</f>
        <v>55484</v>
      </c>
      <c r="DE147">
        <f>54714</f>
        <v>54714</v>
      </c>
      <c r="DF147">
        <f>55231.292</f>
        <v>55231.292000000001</v>
      </c>
      <c r="DG147">
        <f>56599</f>
        <v>56599</v>
      </c>
      <c r="DH147">
        <f>56477</f>
        <v>56477</v>
      </c>
      <c r="DI147">
        <f>57936</f>
        <v>57936</v>
      </c>
      <c r="DJ147">
        <f>58467.236</f>
        <v>58467.235999999997</v>
      </c>
      <c r="DK147">
        <f>58590</f>
        <v>58590</v>
      </c>
      <c r="DL147">
        <f>60161</f>
        <v>60161</v>
      </c>
      <c r="DM147">
        <f>60830</f>
        <v>60830</v>
      </c>
      <c r="DN147">
        <f>61187.766</f>
        <v>61187.766000000003</v>
      </c>
      <c r="DO147">
        <f>60907</f>
        <v>60907</v>
      </c>
      <c r="DP147">
        <f>58582</f>
        <v>58582</v>
      </c>
      <c r="DQ147">
        <f>56804</f>
        <v>56804</v>
      </c>
      <c r="DR147">
        <f>55471.255</f>
        <v>55471.254999999997</v>
      </c>
      <c r="DS147">
        <f>32520</f>
        <v>32520</v>
      </c>
      <c r="DT147">
        <f>32790</f>
        <v>32790</v>
      </c>
      <c r="DU147" t="str">
        <f>""</f>
        <v/>
      </c>
    </row>
    <row r="148" spans="1:125" x14ac:dyDescent="0.25">
      <c r="A148" t="str">
        <f>"    Skandinaviska Enskilda Banken AB"</f>
        <v xml:space="preserve">    Skandinaviska Enskilda Banken AB</v>
      </c>
      <c r="B148" t="str">
        <f>"SEBA SS Equity"</f>
        <v>SEBA SS Equity</v>
      </c>
      <c r="C148" t="str">
        <f t="shared" si="9"/>
        <v>BS016</v>
      </c>
      <c r="D148" t="str">
        <f t="shared" si="10"/>
        <v>BS_COMM_LOAN</v>
      </c>
      <c r="E148" t="str">
        <f t="shared" si="11"/>
        <v>Dynamic</v>
      </c>
      <c r="F148" t="str">
        <f ca="1">IF(AND(ISNUMBER($F$351),$B$208=1),$F$351,HLOOKUP(INDIRECT(ADDRESS(2,COLUMN())),OFFSET($BN$2,0,0,ROW()-1,60),ROW()-1,FALSE))</f>
        <v/>
      </c>
      <c r="G148" t="str">
        <f ca="1">IF(AND(ISNUMBER($G$351),$B$208=1),$G$351,HLOOKUP(INDIRECT(ADDRESS(2,COLUMN())),OFFSET($BN$2,0,0,ROW()-1,60),ROW()-1,FALSE))</f>
        <v/>
      </c>
      <c r="H148" t="str">
        <f ca="1">IF(AND(ISNUMBER($H$351),$B$208=1),$H$351,HLOOKUP(INDIRECT(ADDRESS(2,COLUMN())),OFFSET($BN$2,0,0,ROW()-1,60),ROW()-1,FALSE))</f>
        <v/>
      </c>
      <c r="I148" t="str">
        <f ca="1">IF(AND(ISNUMBER($I$351),$B$208=1),$I$351,HLOOKUP(INDIRECT(ADDRESS(2,COLUMN())),OFFSET($BN$2,0,0,ROW()-1,60),ROW()-1,FALSE))</f>
        <v/>
      </c>
      <c r="J148" t="str">
        <f ca="1">IF(AND(ISNUMBER($J$351),$B$208=1),$J$351,HLOOKUP(INDIRECT(ADDRESS(2,COLUMN())),OFFSET($BN$2,0,0,ROW()-1,60),ROW()-1,FALSE))</f>
        <v/>
      </c>
      <c r="K148" t="str">
        <f ca="1">IF(AND(ISNUMBER($K$351),$B$208=1),$K$351,HLOOKUP(INDIRECT(ADDRESS(2,COLUMN())),OFFSET($BN$2,0,0,ROW()-1,60),ROW()-1,FALSE))</f>
        <v/>
      </c>
      <c r="L148" t="str">
        <f ca="1">IF(AND(ISNUMBER($L$351),$B$208=1),$L$351,HLOOKUP(INDIRECT(ADDRESS(2,COLUMN())),OFFSET($BN$2,0,0,ROW()-1,60),ROW()-1,FALSE))</f>
        <v/>
      </c>
      <c r="M148" t="str">
        <f ca="1">IF(AND(ISNUMBER($M$351),$B$208=1),$M$351,HLOOKUP(INDIRECT(ADDRESS(2,COLUMN())),OFFSET($BN$2,0,0,ROW()-1,60),ROW()-1,FALSE))</f>
        <v/>
      </c>
      <c r="N148" t="str">
        <f ca="1">IF(AND(ISNUMBER($N$351),$B$208=1),$N$351,HLOOKUP(INDIRECT(ADDRESS(2,COLUMN())),OFFSET($BN$2,0,0,ROW()-1,60),ROW()-1,FALSE))</f>
        <v/>
      </c>
      <c r="O148" t="str">
        <f ca="1">IF(AND(ISNUMBER($O$351),$B$208=1),$O$351,HLOOKUP(INDIRECT(ADDRESS(2,COLUMN())),OFFSET($BN$2,0,0,ROW()-1,60),ROW()-1,FALSE))</f>
        <v/>
      </c>
      <c r="P148" t="str">
        <f ca="1">IF(AND(ISNUMBER($P$351),$B$208=1),$P$351,HLOOKUP(INDIRECT(ADDRESS(2,COLUMN())),OFFSET($BN$2,0,0,ROW()-1,60),ROW()-1,FALSE))</f>
        <v/>
      </c>
      <c r="Q148" t="str">
        <f ca="1">IF(AND(ISNUMBER($Q$351),$B$208=1),$Q$351,HLOOKUP(INDIRECT(ADDRESS(2,COLUMN())),OFFSET($BN$2,0,0,ROW()-1,60),ROW()-1,FALSE))</f>
        <v/>
      </c>
      <c r="R148" t="str">
        <f ca="1">IF(AND(ISNUMBER($R$351),$B$208=1),$R$351,HLOOKUP(INDIRECT(ADDRESS(2,COLUMN())),OFFSET($BN$2,0,0,ROW()-1,60),ROW()-1,FALSE))</f>
        <v/>
      </c>
      <c r="S148" t="str">
        <f ca="1">IF(AND(ISNUMBER($S$351),$B$208=1),$S$351,HLOOKUP(INDIRECT(ADDRESS(2,COLUMN())),OFFSET($BN$2,0,0,ROW()-1,60),ROW()-1,FALSE))</f>
        <v/>
      </c>
      <c r="T148" t="str">
        <f ca="1">IF(AND(ISNUMBER($T$351),$B$208=1),$T$351,HLOOKUP(INDIRECT(ADDRESS(2,COLUMN())),OFFSET($BN$2,0,0,ROW()-1,60),ROW()-1,FALSE))</f>
        <v/>
      </c>
      <c r="U148" t="str">
        <f ca="1">IF(AND(ISNUMBER($U$351),$B$208=1),$U$351,HLOOKUP(INDIRECT(ADDRESS(2,COLUMN())),OFFSET($BN$2,0,0,ROW()-1,60),ROW()-1,FALSE))</f>
        <v/>
      </c>
      <c r="V148" t="str">
        <f ca="1">IF(AND(ISNUMBER($V$351),$B$208=1),$V$351,HLOOKUP(INDIRECT(ADDRESS(2,COLUMN())),OFFSET($BN$2,0,0,ROW()-1,60),ROW()-1,FALSE))</f>
        <v/>
      </c>
      <c r="W148" t="str">
        <f ca="1">IF(AND(ISNUMBER($W$351),$B$208=1),$W$351,HLOOKUP(INDIRECT(ADDRESS(2,COLUMN())),OFFSET($BN$2,0,0,ROW()-1,60),ROW()-1,FALSE))</f>
        <v/>
      </c>
      <c r="X148" t="str">
        <f ca="1">IF(AND(ISNUMBER($X$351),$B$208=1),$X$351,HLOOKUP(INDIRECT(ADDRESS(2,COLUMN())),OFFSET($BN$2,0,0,ROW()-1,60),ROW()-1,FALSE))</f>
        <v/>
      </c>
      <c r="Y148" t="str">
        <f ca="1">IF(AND(ISNUMBER($Y$351),$B$208=1),$Y$351,HLOOKUP(INDIRECT(ADDRESS(2,COLUMN())),OFFSET($BN$2,0,0,ROW()-1,60),ROW()-1,FALSE))</f>
        <v/>
      </c>
      <c r="Z148" t="str">
        <f ca="1">IF(AND(ISNUMBER($Z$351),$B$208=1),$Z$351,HLOOKUP(INDIRECT(ADDRESS(2,COLUMN())),OFFSET($BN$2,0,0,ROW()-1,60),ROW()-1,FALSE))</f>
        <v/>
      </c>
      <c r="AA148" t="str">
        <f ca="1">IF(AND(ISNUMBER($AA$351),$B$208=1),$AA$351,HLOOKUP(INDIRECT(ADDRESS(2,COLUMN())),OFFSET($BN$2,0,0,ROW()-1,60),ROW()-1,FALSE))</f>
        <v/>
      </c>
      <c r="AB148" t="str">
        <f ca="1">IF(AND(ISNUMBER($AB$351),$B$208=1),$AB$351,HLOOKUP(INDIRECT(ADDRESS(2,COLUMN())),OFFSET($BN$2,0,0,ROW()-1,60),ROW()-1,FALSE))</f>
        <v/>
      </c>
      <c r="AC148" t="str">
        <f ca="1">IF(AND(ISNUMBER($AC$351),$B$208=1),$AC$351,HLOOKUP(INDIRECT(ADDRESS(2,COLUMN())),OFFSET($BN$2,0,0,ROW()-1,60),ROW()-1,FALSE))</f>
        <v/>
      </c>
      <c r="AD148" t="str">
        <f ca="1">IF(AND(ISNUMBER($AD$351),$B$208=1),$AD$351,HLOOKUP(INDIRECT(ADDRESS(2,COLUMN())),OFFSET($BN$2,0,0,ROW()-1,60),ROW()-1,FALSE))</f>
        <v/>
      </c>
      <c r="AE148" t="str">
        <f ca="1">IF(AND(ISNUMBER($AE$351),$B$208=1),$AE$351,HLOOKUP(INDIRECT(ADDRESS(2,COLUMN())),OFFSET($BN$2,0,0,ROW()-1,60),ROW()-1,FALSE))</f>
        <v/>
      </c>
      <c r="AF148" t="str">
        <f ca="1">IF(AND(ISNUMBER($AF$351),$B$208=1),$AF$351,HLOOKUP(INDIRECT(ADDRESS(2,COLUMN())),OFFSET($BN$2,0,0,ROW()-1,60),ROW()-1,FALSE))</f>
        <v/>
      </c>
      <c r="AG148" t="str">
        <f ca="1">IF(AND(ISNUMBER($AG$351),$B$208=1),$AG$351,HLOOKUP(INDIRECT(ADDRESS(2,COLUMN())),OFFSET($BN$2,0,0,ROW()-1,60),ROW()-1,FALSE))</f>
        <v/>
      </c>
      <c r="AH148" t="str">
        <f ca="1">IF(AND(ISNUMBER($AH$351),$B$208=1),$AH$351,HLOOKUP(INDIRECT(ADDRESS(2,COLUMN())),OFFSET($BN$2,0,0,ROW()-1,60),ROW()-1,FALSE))</f>
        <v/>
      </c>
      <c r="AI148" t="str">
        <f ca="1">IF(AND(ISNUMBER($AI$351),$B$208=1),$AI$351,HLOOKUP(INDIRECT(ADDRESS(2,COLUMN())),OFFSET($BN$2,0,0,ROW()-1,60),ROW()-1,FALSE))</f>
        <v/>
      </c>
      <c r="AJ148" t="str">
        <f ca="1">IF(AND(ISNUMBER($AJ$351),$B$208=1),$AJ$351,HLOOKUP(INDIRECT(ADDRESS(2,COLUMN())),OFFSET($BN$2,0,0,ROW()-1,60),ROW()-1,FALSE))</f>
        <v/>
      </c>
      <c r="AK148" t="str">
        <f ca="1">IF(AND(ISNUMBER($AK$351),$B$208=1),$AK$351,HLOOKUP(INDIRECT(ADDRESS(2,COLUMN())),OFFSET($BN$2,0,0,ROW()-1,60),ROW()-1,FALSE))</f>
        <v/>
      </c>
      <c r="AL148" t="str">
        <f ca="1">IF(AND(ISNUMBER($AL$351),$B$208=1),$AL$351,HLOOKUP(INDIRECT(ADDRESS(2,COLUMN())),OFFSET($BN$2,0,0,ROW()-1,60),ROW()-1,FALSE))</f>
        <v/>
      </c>
      <c r="AM148" t="str">
        <f ca="1">IF(AND(ISNUMBER($AM$351),$B$208=1),$AM$351,HLOOKUP(INDIRECT(ADDRESS(2,COLUMN())),OFFSET($BN$2,0,0,ROW()-1,60),ROW()-1,FALSE))</f>
        <v/>
      </c>
      <c r="AN148" t="str">
        <f ca="1">IF(AND(ISNUMBER($AN$351),$B$208=1),$AN$351,HLOOKUP(INDIRECT(ADDRESS(2,COLUMN())),OFFSET($BN$2,0,0,ROW()-1,60),ROW()-1,FALSE))</f>
        <v/>
      </c>
      <c r="AO148" t="str">
        <f ca="1">IF(AND(ISNUMBER($AO$351),$B$208=1),$AO$351,HLOOKUP(INDIRECT(ADDRESS(2,COLUMN())),OFFSET($BN$2,0,0,ROW()-1,60),ROW()-1,FALSE))</f>
        <v/>
      </c>
      <c r="AP148" t="str">
        <f ca="1">IF(AND(ISNUMBER($AP$351),$B$208=1),$AP$351,HLOOKUP(INDIRECT(ADDRESS(2,COLUMN())),OFFSET($BN$2,0,0,ROW()-1,60),ROW()-1,FALSE))</f>
        <v/>
      </c>
      <c r="AQ148" t="str">
        <f ca="1">IF(AND(ISNUMBER($AQ$351),$B$208=1),$AQ$351,HLOOKUP(INDIRECT(ADDRESS(2,COLUMN())),OFFSET($BN$2,0,0,ROW()-1,60),ROW()-1,FALSE))</f>
        <v/>
      </c>
      <c r="AR148" t="str">
        <f ca="1">IF(AND(ISNUMBER($AR$351),$B$208=1),$AR$351,HLOOKUP(INDIRECT(ADDRESS(2,COLUMN())),OFFSET($BN$2,0,0,ROW()-1,60),ROW()-1,FALSE))</f>
        <v/>
      </c>
      <c r="AS148" t="str">
        <f ca="1">IF(AND(ISNUMBER($AS$351),$B$208=1),$AS$351,HLOOKUP(INDIRECT(ADDRESS(2,COLUMN())),OFFSET($BN$2,0,0,ROW()-1,60),ROW()-1,FALSE))</f>
        <v/>
      </c>
      <c r="AT148" t="str">
        <f ca="1">IF(AND(ISNUMBER($AT$351),$B$208=1),$AT$351,HLOOKUP(INDIRECT(ADDRESS(2,COLUMN())),OFFSET($BN$2,0,0,ROW()-1,60),ROW()-1,FALSE))</f>
        <v/>
      </c>
      <c r="AU148" t="str">
        <f ca="1">IF(AND(ISNUMBER($AU$351),$B$208=1),$AU$351,HLOOKUP(INDIRECT(ADDRESS(2,COLUMN())),OFFSET($BN$2,0,0,ROW()-1,60),ROW()-1,FALSE))</f>
        <v/>
      </c>
      <c r="AV148" t="str">
        <f ca="1">IF(AND(ISNUMBER($AV$351),$B$208=1),$AV$351,HLOOKUP(INDIRECT(ADDRESS(2,COLUMN())),OFFSET($BN$2,0,0,ROW()-1,60),ROW()-1,FALSE))</f>
        <v/>
      </c>
      <c r="AW148" t="str">
        <f ca="1">IF(AND(ISNUMBER($AW$351),$B$208=1),$AW$351,HLOOKUP(INDIRECT(ADDRESS(2,COLUMN())),OFFSET($BN$2,0,0,ROW()-1,60),ROW()-1,FALSE))</f>
        <v/>
      </c>
      <c r="AX148" t="str">
        <f ca="1">IF(AND(ISNUMBER($AX$351),$B$208=1),$AX$351,HLOOKUP(INDIRECT(ADDRESS(2,COLUMN())),OFFSET($BN$2,0,0,ROW()-1,60),ROW()-1,FALSE))</f>
        <v/>
      </c>
      <c r="AY148" t="str">
        <f ca="1">IF(AND(ISNUMBER($AY$351),$B$208=1),$AY$351,HLOOKUP(INDIRECT(ADDRESS(2,COLUMN())),OFFSET($BN$2,0,0,ROW()-1,60),ROW()-1,FALSE))</f>
        <v/>
      </c>
      <c r="AZ148" t="str">
        <f ca="1">IF(AND(ISNUMBER($AZ$351),$B$208=1),$AZ$351,HLOOKUP(INDIRECT(ADDRESS(2,COLUMN())),OFFSET($BN$2,0,0,ROW()-1,60),ROW()-1,FALSE))</f>
        <v/>
      </c>
      <c r="BA148" t="str">
        <f ca="1">IF(AND(ISNUMBER($BA$351),$B$208=1),$BA$351,HLOOKUP(INDIRECT(ADDRESS(2,COLUMN())),OFFSET($BN$2,0,0,ROW()-1,60),ROW()-1,FALSE))</f>
        <v/>
      </c>
      <c r="BB148" t="str">
        <f ca="1">IF(AND(ISNUMBER($BB$351),$B$208=1),$BB$351,HLOOKUP(INDIRECT(ADDRESS(2,COLUMN())),OFFSET($BN$2,0,0,ROW()-1,60),ROW()-1,FALSE))</f>
        <v/>
      </c>
      <c r="BC148" t="str">
        <f ca="1">IF(AND(ISNUMBER($BC$351),$B$208=1),$BC$351,HLOOKUP(INDIRECT(ADDRESS(2,COLUMN())),OFFSET($BN$2,0,0,ROW()-1,60),ROW()-1,FALSE))</f>
        <v/>
      </c>
      <c r="BD148" t="str">
        <f ca="1">IF(AND(ISNUMBER($BD$351),$B$208=1),$BD$351,HLOOKUP(INDIRECT(ADDRESS(2,COLUMN())),OFFSET($BN$2,0,0,ROW()-1,60),ROW()-1,FALSE))</f>
        <v/>
      </c>
      <c r="BE148" t="str">
        <f ca="1">IF(AND(ISNUMBER($BE$351),$B$208=1),$BE$351,HLOOKUP(INDIRECT(ADDRESS(2,COLUMN())),OFFSET($BN$2,0,0,ROW()-1,60),ROW()-1,FALSE))</f>
        <v/>
      </c>
      <c r="BF148" t="str">
        <f ca="1">IF(AND(ISNUMBER($BF$351),$B$208=1),$BF$351,HLOOKUP(INDIRECT(ADDRESS(2,COLUMN())),OFFSET($BN$2,0,0,ROW()-1,60),ROW()-1,FALSE))</f>
        <v/>
      </c>
      <c r="BG148" t="str">
        <f ca="1">IF(AND(ISNUMBER($BG$351),$B$208=1),$BG$351,HLOOKUP(INDIRECT(ADDRESS(2,COLUMN())),OFFSET($BN$2,0,0,ROW()-1,60),ROW()-1,FALSE))</f>
        <v/>
      </c>
      <c r="BH148" t="str">
        <f ca="1">IF(AND(ISNUMBER($BH$351),$B$208=1),$BH$351,HLOOKUP(INDIRECT(ADDRESS(2,COLUMN())),OFFSET($BN$2,0,0,ROW()-1,60),ROW()-1,FALSE))</f>
        <v/>
      </c>
      <c r="BI148" t="str">
        <f ca="1">IF(AND(ISNUMBER($BI$351),$B$208=1),$BI$351,HLOOKUP(INDIRECT(ADDRESS(2,COLUMN())),OFFSET($BN$2,0,0,ROW()-1,60),ROW()-1,FALSE))</f>
        <v/>
      </c>
      <c r="BJ148" t="str">
        <f ca="1">IF(AND(ISNUMBER($BJ$351),$B$208=1),$BJ$351,HLOOKUP(INDIRECT(ADDRESS(2,COLUMN())),OFFSET($BN$2,0,0,ROW()-1,60),ROW()-1,FALSE))</f>
        <v/>
      </c>
      <c r="BK148" t="str">
        <f ca="1">IF(AND(ISNUMBER($BK$351),$B$208=1),$BK$351,HLOOKUP(INDIRECT(ADDRESS(2,COLUMN())),OFFSET($BN$2,0,0,ROW()-1,60),ROW()-1,FALSE))</f>
        <v/>
      </c>
      <c r="BL148" t="str">
        <f ca="1">IF(AND(ISNUMBER($BL$351),$B$208=1),$BL$351,HLOOKUP(INDIRECT(ADDRESS(2,COLUMN())),OFFSET($BN$2,0,0,ROW()-1,60),ROW()-1,FALSE))</f>
        <v/>
      </c>
      <c r="BM148" t="str">
        <f ca="1">IF(AND(ISNUMBER($BM$351),$B$208=1),$BM$351,HLOOKUP(INDIRECT(ADDRESS(2,COLUMN())),OFFSET($BN$2,0,0,ROW()-1,60),ROW()-1,FALSE))</f>
        <v/>
      </c>
      <c r="BN148" t="str">
        <f>""</f>
        <v/>
      </c>
      <c r="BO148" t="str">
        <f>""</f>
        <v/>
      </c>
      <c r="BP148" t="str">
        <f>""</f>
        <v/>
      </c>
      <c r="BQ148" t="str">
        <f>""</f>
        <v/>
      </c>
      <c r="BR148" t="str">
        <f>""</f>
        <v/>
      </c>
      <c r="BS148" t="str">
        <f>""</f>
        <v/>
      </c>
      <c r="BT148" t="str">
        <f>""</f>
        <v/>
      </c>
      <c r="BU148" t="str">
        <f>""</f>
        <v/>
      </c>
      <c r="BV148" t="str">
        <f>""</f>
        <v/>
      </c>
      <c r="BW148" t="str">
        <f>""</f>
        <v/>
      </c>
      <c r="BX148" t="str">
        <f>""</f>
        <v/>
      </c>
      <c r="BY148" t="str">
        <f>""</f>
        <v/>
      </c>
      <c r="BZ148" t="str">
        <f>""</f>
        <v/>
      </c>
      <c r="CA148" t="str">
        <f>""</f>
        <v/>
      </c>
      <c r="CB148" t="str">
        <f>""</f>
        <v/>
      </c>
      <c r="CC148" t="str">
        <f>""</f>
        <v/>
      </c>
      <c r="CD148" t="str">
        <f>""</f>
        <v/>
      </c>
      <c r="CE148" t="str">
        <f>""</f>
        <v/>
      </c>
      <c r="CF148" t="str">
        <f>""</f>
        <v/>
      </c>
      <c r="CG148" t="str">
        <f>""</f>
        <v/>
      </c>
      <c r="CH148" t="str">
        <f>""</f>
        <v/>
      </c>
      <c r="CI148" t="str">
        <f>""</f>
        <v/>
      </c>
      <c r="CJ148" t="str">
        <f>""</f>
        <v/>
      </c>
      <c r="CK148" t="str">
        <f>""</f>
        <v/>
      </c>
      <c r="CL148" t="str">
        <f>""</f>
        <v/>
      </c>
      <c r="CM148" t="str">
        <f>""</f>
        <v/>
      </c>
      <c r="CN148" t="str">
        <f>""</f>
        <v/>
      </c>
      <c r="CO148" t="str">
        <f>""</f>
        <v/>
      </c>
      <c r="CP148" t="str">
        <f>""</f>
        <v/>
      </c>
      <c r="CQ148" t="str">
        <f>""</f>
        <v/>
      </c>
      <c r="CR148" t="str">
        <f>""</f>
        <v/>
      </c>
      <c r="CS148" t="str">
        <f>""</f>
        <v/>
      </c>
      <c r="CT148" t="str">
        <f>""</f>
        <v/>
      </c>
      <c r="CU148" t="str">
        <f>""</f>
        <v/>
      </c>
      <c r="CV148" t="str">
        <f>""</f>
        <v/>
      </c>
      <c r="CW148" t="str">
        <f>""</f>
        <v/>
      </c>
      <c r="CX148" t="str">
        <f>""</f>
        <v/>
      </c>
      <c r="CY148" t="str">
        <f>""</f>
        <v/>
      </c>
      <c r="CZ148" t="str">
        <f>""</f>
        <v/>
      </c>
      <c r="DA148" t="str">
        <f>""</f>
        <v/>
      </c>
      <c r="DB148" t="str">
        <f>""</f>
        <v/>
      </c>
      <c r="DC148" t="str">
        <f>""</f>
        <v/>
      </c>
      <c r="DD148" t="str">
        <f>""</f>
        <v/>
      </c>
      <c r="DE148" t="str">
        <f>""</f>
        <v/>
      </c>
      <c r="DF148" t="str">
        <f>""</f>
        <v/>
      </c>
      <c r="DG148" t="str">
        <f>""</f>
        <v/>
      </c>
      <c r="DH148" t="str">
        <f>""</f>
        <v/>
      </c>
      <c r="DI148" t="str">
        <f>""</f>
        <v/>
      </c>
      <c r="DJ148" t="str">
        <f>""</f>
        <v/>
      </c>
      <c r="DK148" t="str">
        <f>""</f>
        <v/>
      </c>
      <c r="DL148" t="str">
        <f>""</f>
        <v/>
      </c>
      <c r="DM148" t="str">
        <f>""</f>
        <v/>
      </c>
      <c r="DN148" t="str">
        <f>""</f>
        <v/>
      </c>
      <c r="DO148" t="str">
        <f>""</f>
        <v/>
      </c>
      <c r="DP148" t="str">
        <f>""</f>
        <v/>
      </c>
      <c r="DQ148" t="str">
        <f>""</f>
        <v/>
      </c>
      <c r="DR148" t="str">
        <f>""</f>
        <v/>
      </c>
      <c r="DS148" t="str">
        <f>""</f>
        <v/>
      </c>
      <c r="DT148" t="str">
        <f>""</f>
        <v/>
      </c>
      <c r="DU148" t="str">
        <f>""</f>
        <v/>
      </c>
    </row>
    <row r="149" spans="1:125" x14ac:dyDescent="0.25">
      <c r="A149" t="str">
        <f>"    Svenska Handelsbanken AB"</f>
        <v xml:space="preserve">    Svenska Handelsbanken AB</v>
      </c>
      <c r="B149" t="str">
        <f>"SHBA SS Equity"</f>
        <v>SHBA SS Equity</v>
      </c>
      <c r="C149" t="str">
        <f t="shared" si="9"/>
        <v>BS016</v>
      </c>
      <c r="D149" t="str">
        <f t="shared" si="10"/>
        <v>BS_COMM_LOAN</v>
      </c>
      <c r="E149" t="str">
        <f t="shared" si="11"/>
        <v>Dynamic</v>
      </c>
      <c r="F149">
        <f ca="1">IF(AND(ISNUMBER($F$352),$B$208=1),$F$352,HLOOKUP(INDIRECT(ADDRESS(2,COLUMN())),OFFSET($BN$2,0,0,ROW()-1,60),ROW()-1,FALSE))</f>
        <v>95085.186600000001</v>
      </c>
      <c r="G149">
        <f ca="1">IF(AND(ISNUMBER($G$352),$B$208=1),$G$352,HLOOKUP(INDIRECT(ADDRESS(2,COLUMN())),OFFSET($BN$2,0,0,ROW()-1,60),ROW()-1,FALSE))</f>
        <v>96499.748739999995</v>
      </c>
      <c r="H149">
        <f ca="1">IF(AND(ISNUMBER($H$352),$B$208=1),$H$352,HLOOKUP(INDIRECT(ADDRESS(2,COLUMN())),OFFSET($BN$2,0,0,ROW()-1,60),ROW()-1,FALSE))</f>
        <v>96406.709499999997</v>
      </c>
      <c r="I149">
        <f ca="1">IF(AND(ISNUMBER($I$352),$B$208=1),$I$352,HLOOKUP(INDIRECT(ADDRESS(2,COLUMN())),OFFSET($BN$2,0,0,ROW()-1,60),ROW()-1,FALSE))</f>
        <v>94825.466249999998</v>
      </c>
      <c r="J149">
        <f ca="1">IF(AND(ISNUMBER($J$352),$B$208=1),$J$352,HLOOKUP(INDIRECT(ADDRESS(2,COLUMN())),OFFSET($BN$2,0,0,ROW()-1,60),ROW()-1,FALSE))</f>
        <v>99260.552330000006</v>
      </c>
      <c r="K149">
        <f ca="1">IF(AND(ISNUMBER($K$352),$B$208=1),$K$352,HLOOKUP(INDIRECT(ADDRESS(2,COLUMN())),OFFSET($BN$2,0,0,ROW()-1,60),ROW()-1,FALSE))</f>
        <v>94954.46286</v>
      </c>
      <c r="L149">
        <f ca="1">IF(AND(ISNUMBER($L$352),$B$208=1),$L$352,HLOOKUP(INDIRECT(ADDRESS(2,COLUMN())),OFFSET($BN$2,0,0,ROW()-1,60),ROW()-1,FALSE))</f>
        <v>95392.425669999997</v>
      </c>
      <c r="M149">
        <f ca="1">IF(AND(ISNUMBER($M$352),$B$208=1),$M$352,HLOOKUP(INDIRECT(ADDRESS(2,COLUMN())),OFFSET($BN$2,0,0,ROW()-1,60),ROW()-1,FALSE))</f>
        <v>97709.89877</v>
      </c>
      <c r="N149">
        <f ca="1">IF(AND(ISNUMBER($N$352),$B$208=1),$N$352,HLOOKUP(INDIRECT(ADDRESS(2,COLUMN())),OFFSET($BN$2,0,0,ROW()-1,60),ROW()-1,FALSE))</f>
        <v>98410.192379999993</v>
      </c>
      <c r="O149">
        <f ca="1">IF(AND(ISNUMBER($O$352),$B$208=1),$O$352,HLOOKUP(INDIRECT(ADDRESS(2,COLUMN())),OFFSET($BN$2,0,0,ROW()-1,60),ROW()-1,FALSE))</f>
        <v>95451.690749999994</v>
      </c>
      <c r="P149">
        <f ca="1">IF(AND(ISNUMBER($P$352),$B$208=1),$P$352,HLOOKUP(INDIRECT(ADDRESS(2,COLUMN())),OFFSET($BN$2,0,0,ROW()-1,60),ROW()-1,FALSE))</f>
        <v>95015.664059999996</v>
      </c>
      <c r="Q149">
        <f ca="1">IF(AND(ISNUMBER($Q$352),$B$208=1),$Q$352,HLOOKUP(INDIRECT(ADDRESS(2,COLUMN())),OFFSET($BN$2,0,0,ROW()-1,60),ROW()-1,FALSE))</f>
        <v>95424.630290000001</v>
      </c>
      <c r="R149">
        <f ca="1">IF(AND(ISNUMBER($R$352),$B$208=1),$R$352,HLOOKUP(INDIRECT(ADDRESS(2,COLUMN())),OFFSET($BN$2,0,0,ROW()-1,60),ROW()-1,FALSE))</f>
        <v>93280.018330000006</v>
      </c>
      <c r="S149">
        <f ca="1">IF(AND(ISNUMBER($S$352),$B$208=1),$S$352,HLOOKUP(INDIRECT(ADDRESS(2,COLUMN())),OFFSET($BN$2,0,0,ROW()-1,60),ROW()-1,FALSE))</f>
        <v>106118.20419999999</v>
      </c>
      <c r="T149">
        <f ca="1">IF(AND(ISNUMBER($T$352),$B$208=1),$T$352,HLOOKUP(INDIRECT(ADDRESS(2,COLUMN())),OFFSET($BN$2,0,0,ROW()-1,60),ROW()-1,FALSE))</f>
        <v>105272.83560000001</v>
      </c>
      <c r="U149">
        <f ca="1">IF(AND(ISNUMBER($U$352),$B$208=1),$U$352,HLOOKUP(INDIRECT(ADDRESS(2,COLUMN())),OFFSET($BN$2,0,0,ROW()-1,60),ROW()-1,FALSE))</f>
        <v>104457.5849</v>
      </c>
      <c r="V149">
        <f ca="1">IF(AND(ISNUMBER($V$352),$B$208=1),$V$352,HLOOKUP(INDIRECT(ADDRESS(2,COLUMN())),OFFSET($BN$2,0,0,ROW()-1,60),ROW()-1,FALSE))</f>
        <v>103552.69409999999</v>
      </c>
      <c r="W149">
        <f ca="1">IF(AND(ISNUMBER($W$352),$B$208=1),$W$352,HLOOKUP(INDIRECT(ADDRESS(2,COLUMN())),OFFSET($BN$2,0,0,ROW()-1,60),ROW()-1,FALSE))</f>
        <v>100868.01639999999</v>
      </c>
      <c r="X149">
        <f ca="1">IF(AND(ISNUMBER($X$352),$B$208=1),$X$352,HLOOKUP(INDIRECT(ADDRESS(2,COLUMN())),OFFSET($BN$2,0,0,ROW()-1,60),ROW()-1,FALSE))</f>
        <v>101661.3891</v>
      </c>
      <c r="Y149">
        <f ca="1">IF(AND(ISNUMBER($Y$352),$B$208=1),$Y$352,HLOOKUP(INDIRECT(ADDRESS(2,COLUMN())),OFFSET($BN$2,0,0,ROW()-1,60),ROW()-1,FALSE))</f>
        <v>99064.263219999993</v>
      </c>
      <c r="Z149">
        <f ca="1">IF(AND(ISNUMBER($Z$352),$B$208=1),$Z$352,HLOOKUP(INDIRECT(ADDRESS(2,COLUMN())),OFFSET($BN$2,0,0,ROW()-1,60),ROW()-1,FALSE))</f>
        <v>101577.4752</v>
      </c>
      <c r="AA149">
        <f ca="1">IF(AND(ISNUMBER($AA$352),$B$208=1),$AA$352,HLOOKUP(INDIRECT(ADDRESS(2,COLUMN())),OFFSET($BN$2,0,0,ROW()-1,60),ROW()-1,FALSE))</f>
        <v>100178.19349999999</v>
      </c>
      <c r="AB149">
        <f ca="1">IF(AND(ISNUMBER($AB$352),$B$208=1),$AB$352,HLOOKUP(INDIRECT(ADDRESS(2,COLUMN())),OFFSET($BN$2,0,0,ROW()-1,60),ROW()-1,FALSE))</f>
        <v>99653.546889999998</v>
      </c>
      <c r="AC149">
        <f ca="1">IF(AND(ISNUMBER($AC$352),$B$208=1),$AC$352,HLOOKUP(INDIRECT(ADDRESS(2,COLUMN())),OFFSET($BN$2,0,0,ROW()-1,60),ROW()-1,FALSE))</f>
        <v>99919.788639999999</v>
      </c>
      <c r="AD149">
        <f ca="1">IF(AND(ISNUMBER($AD$352),$B$208=1),$AD$352,HLOOKUP(INDIRECT(ADDRESS(2,COLUMN())),OFFSET($BN$2,0,0,ROW()-1,60),ROW()-1,FALSE))</f>
        <v>97873.388990000007</v>
      </c>
      <c r="AE149">
        <f ca="1">IF(AND(ISNUMBER($AE$352),$B$208=1),$AE$352,HLOOKUP(INDIRECT(ADDRESS(2,COLUMN())),OFFSET($BN$2,0,0,ROW()-1,60),ROW()-1,FALSE))</f>
        <v>96970.01973</v>
      </c>
      <c r="AF149">
        <f ca="1">IF(AND(ISNUMBER($AF$352),$B$208=1),$AF$352,HLOOKUP(INDIRECT(ADDRESS(2,COLUMN())),OFFSET($BN$2,0,0,ROW()-1,60),ROW()-1,FALSE))</f>
        <v>96975.358470000006</v>
      </c>
      <c r="AG149">
        <f ca="1">IF(AND(ISNUMBER($AG$352),$B$208=1),$AG$352,HLOOKUP(INDIRECT(ADDRESS(2,COLUMN())),OFFSET($BN$2,0,0,ROW()-1,60),ROW()-1,FALSE))</f>
        <v>95543.208079999997</v>
      </c>
      <c r="AH149">
        <f ca="1">IF(AND(ISNUMBER($AH$352),$B$208=1),$AH$352,HLOOKUP(INDIRECT(ADDRESS(2,COLUMN())),OFFSET($BN$2,0,0,ROW()-1,60),ROW()-1,FALSE))</f>
        <v>95638.231469999999</v>
      </c>
      <c r="AI149">
        <f ca="1">IF(AND(ISNUMBER($AI$352),$B$208=1),$AI$352,HLOOKUP(INDIRECT(ADDRESS(2,COLUMN())),OFFSET($BN$2,0,0,ROW()-1,60),ROW()-1,FALSE))</f>
        <v>96014.040779999996</v>
      </c>
      <c r="AJ149">
        <f ca="1">IF(AND(ISNUMBER($AJ$352),$B$208=1),$AJ$352,HLOOKUP(INDIRECT(ADDRESS(2,COLUMN())),OFFSET($BN$2,0,0,ROW()-1,60),ROW()-1,FALSE))</f>
        <v>94415.099090000003</v>
      </c>
      <c r="AK149">
        <f ca="1">IF(AND(ISNUMBER($AK$352),$B$208=1),$AK$352,HLOOKUP(INDIRECT(ADDRESS(2,COLUMN())),OFFSET($BN$2,0,0,ROW()-1,60),ROW()-1,FALSE))</f>
        <v>94776.196540000004</v>
      </c>
      <c r="AL149">
        <f ca="1">IF(AND(ISNUMBER($AL$352),$B$208=1),$AL$352,HLOOKUP(INDIRECT(ADDRESS(2,COLUMN())),OFFSET($BN$2,0,0,ROW()-1,60),ROW()-1,FALSE))</f>
        <v>93249.671090000003</v>
      </c>
      <c r="AM149">
        <f ca="1">IF(AND(ISNUMBER($AM$352),$B$208=1),$AM$352,HLOOKUP(INDIRECT(ADDRESS(2,COLUMN())),OFFSET($BN$2,0,0,ROW()-1,60),ROW()-1,FALSE))</f>
        <v>94459.506049999996</v>
      </c>
      <c r="AN149">
        <f ca="1">IF(AND(ISNUMBER($AN$352),$B$208=1),$AN$352,HLOOKUP(INDIRECT(ADDRESS(2,COLUMN())),OFFSET($BN$2,0,0,ROW()-1,60),ROW()-1,FALSE))</f>
        <v>95673.139349999998</v>
      </c>
      <c r="AO149">
        <f ca="1">IF(AND(ISNUMBER($AO$352),$B$208=1),$AO$352,HLOOKUP(INDIRECT(ADDRESS(2,COLUMN())),OFFSET($BN$2,0,0,ROW()-1,60),ROW()-1,FALSE))</f>
        <v>95405.869699999996</v>
      </c>
      <c r="AP149">
        <f ca="1">IF(AND(ISNUMBER($AP$352),$B$208=1),$AP$352,HLOOKUP(INDIRECT(ADDRESS(2,COLUMN())),OFFSET($BN$2,0,0,ROW()-1,60),ROW()-1,FALSE))</f>
        <v>93715.820510000005</v>
      </c>
      <c r="AQ149" t="str">
        <f ca="1">IF(AND(ISNUMBER($AQ$352),$B$208=1),$AQ$352,HLOOKUP(INDIRECT(ADDRESS(2,COLUMN())),OFFSET($BN$2,0,0,ROW()-1,60),ROW()-1,FALSE))</f>
        <v/>
      </c>
      <c r="AR149" t="str">
        <f ca="1">IF(AND(ISNUMBER($AR$352),$B$208=1),$AR$352,HLOOKUP(INDIRECT(ADDRESS(2,COLUMN())),OFFSET($BN$2,0,0,ROW()-1,60),ROW()-1,FALSE))</f>
        <v/>
      </c>
      <c r="AS149" t="str">
        <f ca="1">IF(AND(ISNUMBER($AS$352),$B$208=1),$AS$352,HLOOKUP(INDIRECT(ADDRESS(2,COLUMN())),OFFSET($BN$2,0,0,ROW()-1,60),ROW()-1,FALSE))</f>
        <v/>
      </c>
      <c r="AT149">
        <f ca="1">IF(AND(ISNUMBER($AT$352),$B$208=1),$AT$352,HLOOKUP(INDIRECT(ADDRESS(2,COLUMN())),OFFSET($BN$2,0,0,ROW()-1,60),ROW()-1,FALSE))</f>
        <v>91401.56813</v>
      </c>
      <c r="AU149" t="str">
        <f ca="1">IF(AND(ISNUMBER($AU$352),$B$208=1),$AU$352,HLOOKUP(INDIRECT(ADDRESS(2,COLUMN())),OFFSET($BN$2,0,0,ROW()-1,60),ROW()-1,FALSE))</f>
        <v/>
      </c>
      <c r="AV149" t="str">
        <f ca="1">IF(AND(ISNUMBER($AV$352),$B$208=1),$AV$352,HLOOKUP(INDIRECT(ADDRESS(2,COLUMN())),OFFSET($BN$2,0,0,ROW()-1,60),ROW()-1,FALSE))</f>
        <v/>
      </c>
      <c r="AW149" t="str">
        <f ca="1">IF(AND(ISNUMBER($AW$352),$B$208=1),$AW$352,HLOOKUP(INDIRECT(ADDRESS(2,COLUMN())),OFFSET($BN$2,0,0,ROW()-1,60),ROW()-1,FALSE))</f>
        <v/>
      </c>
      <c r="AX149">
        <f ca="1">IF(AND(ISNUMBER($AX$352),$B$208=1),$AX$352,HLOOKUP(INDIRECT(ADDRESS(2,COLUMN())),OFFSET($BN$2,0,0,ROW()-1,60),ROW()-1,FALSE))</f>
        <v>91963.099539999996</v>
      </c>
      <c r="AY149" t="str">
        <f ca="1">IF(AND(ISNUMBER($AY$352),$B$208=1),$AY$352,HLOOKUP(INDIRECT(ADDRESS(2,COLUMN())),OFFSET($BN$2,0,0,ROW()-1,60),ROW()-1,FALSE))</f>
        <v/>
      </c>
      <c r="AZ149" t="str">
        <f ca="1">IF(AND(ISNUMBER($AZ$352),$B$208=1),$AZ$352,HLOOKUP(INDIRECT(ADDRESS(2,COLUMN())),OFFSET($BN$2,0,0,ROW()-1,60),ROW()-1,FALSE))</f>
        <v/>
      </c>
      <c r="BA149" t="str">
        <f ca="1">IF(AND(ISNUMBER($BA$352),$B$208=1),$BA$352,HLOOKUP(INDIRECT(ADDRESS(2,COLUMN())),OFFSET($BN$2,0,0,ROW()-1,60),ROW()-1,FALSE))</f>
        <v/>
      </c>
      <c r="BB149">
        <f ca="1">IF(AND(ISNUMBER($BB$352),$B$208=1),$BB$352,HLOOKUP(INDIRECT(ADDRESS(2,COLUMN())),OFFSET($BN$2,0,0,ROW()-1,60),ROW()-1,FALSE))</f>
        <v>96462.458710000006</v>
      </c>
      <c r="BC149" t="str">
        <f ca="1">IF(AND(ISNUMBER($BC$352),$B$208=1),$BC$352,HLOOKUP(INDIRECT(ADDRESS(2,COLUMN())),OFFSET($BN$2,0,0,ROW()-1,60),ROW()-1,FALSE))</f>
        <v/>
      </c>
      <c r="BD149" t="str">
        <f ca="1">IF(AND(ISNUMBER($BD$352),$B$208=1),$BD$352,HLOOKUP(INDIRECT(ADDRESS(2,COLUMN())),OFFSET($BN$2,0,0,ROW()-1,60),ROW()-1,FALSE))</f>
        <v/>
      </c>
      <c r="BE149" t="str">
        <f ca="1">IF(AND(ISNUMBER($BE$352),$B$208=1),$BE$352,HLOOKUP(INDIRECT(ADDRESS(2,COLUMN())),OFFSET($BN$2,0,0,ROW()-1,60),ROW()-1,FALSE))</f>
        <v/>
      </c>
      <c r="BF149" t="str">
        <f ca="1">IF(AND(ISNUMBER($BF$352),$B$208=1),$BF$352,HLOOKUP(INDIRECT(ADDRESS(2,COLUMN())),OFFSET($BN$2,0,0,ROW()-1,60),ROW()-1,FALSE))</f>
        <v/>
      </c>
      <c r="BG149" t="str">
        <f ca="1">IF(AND(ISNUMBER($BG$352),$B$208=1),$BG$352,HLOOKUP(INDIRECT(ADDRESS(2,COLUMN())),OFFSET($BN$2,0,0,ROW()-1,60),ROW()-1,FALSE))</f>
        <v/>
      </c>
      <c r="BH149" t="str">
        <f ca="1">IF(AND(ISNUMBER($BH$352),$B$208=1),$BH$352,HLOOKUP(INDIRECT(ADDRESS(2,COLUMN())),OFFSET($BN$2,0,0,ROW()-1,60),ROW()-1,FALSE))</f>
        <v/>
      </c>
      <c r="BI149" t="str">
        <f ca="1">IF(AND(ISNUMBER($BI$352),$B$208=1),$BI$352,HLOOKUP(INDIRECT(ADDRESS(2,COLUMN())),OFFSET($BN$2,0,0,ROW()-1,60),ROW()-1,FALSE))</f>
        <v/>
      </c>
      <c r="BJ149" t="str">
        <f ca="1">IF(AND(ISNUMBER($BJ$352),$B$208=1),$BJ$352,HLOOKUP(INDIRECT(ADDRESS(2,COLUMN())),OFFSET($BN$2,0,0,ROW()-1,60),ROW()-1,FALSE))</f>
        <v/>
      </c>
      <c r="BK149" t="str">
        <f ca="1">IF(AND(ISNUMBER($BK$352),$B$208=1),$BK$352,HLOOKUP(INDIRECT(ADDRESS(2,COLUMN())),OFFSET($BN$2,0,0,ROW()-1,60),ROW()-1,FALSE))</f>
        <v/>
      </c>
      <c r="BL149" t="str">
        <f ca="1">IF(AND(ISNUMBER($BL$352),$B$208=1),$BL$352,HLOOKUP(INDIRECT(ADDRESS(2,COLUMN())),OFFSET($BN$2,0,0,ROW()-1,60),ROW()-1,FALSE))</f>
        <v/>
      </c>
      <c r="BM149" t="str">
        <f ca="1">IF(AND(ISNUMBER($BM$352),$B$208=1),$BM$352,HLOOKUP(INDIRECT(ADDRESS(2,COLUMN())),OFFSET($BN$2,0,0,ROW()-1,60),ROW()-1,FALSE))</f>
        <v/>
      </c>
      <c r="BN149">
        <f>95085.1866</f>
        <v>95085.186600000001</v>
      </c>
      <c r="BO149">
        <f>96499.74874</f>
        <v>96499.748739999995</v>
      </c>
      <c r="BP149">
        <f>96406.7095</f>
        <v>96406.709499999997</v>
      </c>
      <c r="BQ149">
        <f>94825.46625</f>
        <v>94825.466249999998</v>
      </c>
      <c r="BR149">
        <f>99260.55233</f>
        <v>99260.552330000006</v>
      </c>
      <c r="BS149">
        <f>94954.46286</f>
        <v>94954.46286</v>
      </c>
      <c r="BT149">
        <f>95392.42567</f>
        <v>95392.425669999997</v>
      </c>
      <c r="BU149">
        <f>97709.89877</f>
        <v>97709.89877</v>
      </c>
      <c r="BV149">
        <f>98410.19238</f>
        <v>98410.192379999993</v>
      </c>
      <c r="BW149">
        <f>95451.69075</f>
        <v>95451.690749999994</v>
      </c>
      <c r="BX149">
        <f>95015.66406</f>
        <v>95015.664059999996</v>
      </c>
      <c r="BY149">
        <f>95424.63029</f>
        <v>95424.630290000001</v>
      </c>
      <c r="BZ149">
        <f>93280.01833</f>
        <v>93280.018330000006</v>
      </c>
      <c r="CA149">
        <f>106118.2042</f>
        <v>106118.20419999999</v>
      </c>
      <c r="CB149">
        <f>105272.8356</f>
        <v>105272.83560000001</v>
      </c>
      <c r="CC149">
        <f>104457.5849</f>
        <v>104457.5849</v>
      </c>
      <c r="CD149">
        <f>103552.6941</f>
        <v>103552.69409999999</v>
      </c>
      <c r="CE149">
        <f>100868.0164</f>
        <v>100868.01639999999</v>
      </c>
      <c r="CF149">
        <f>101661.3891</f>
        <v>101661.3891</v>
      </c>
      <c r="CG149">
        <f>99064.26322</f>
        <v>99064.263219999993</v>
      </c>
      <c r="CH149">
        <f>101577.4752</f>
        <v>101577.4752</v>
      </c>
      <c r="CI149">
        <f>100178.1935</f>
        <v>100178.19349999999</v>
      </c>
      <c r="CJ149">
        <f>99653.54689</f>
        <v>99653.546889999998</v>
      </c>
      <c r="CK149">
        <f>99919.78864</f>
        <v>99919.788639999999</v>
      </c>
      <c r="CL149">
        <f>97873.38899</f>
        <v>97873.388990000007</v>
      </c>
      <c r="CM149">
        <f>96970.01973</f>
        <v>96970.01973</v>
      </c>
      <c r="CN149">
        <f>96975.35847</f>
        <v>96975.358470000006</v>
      </c>
      <c r="CO149">
        <f>95543.20808</f>
        <v>95543.208079999997</v>
      </c>
      <c r="CP149">
        <f>95638.23147</f>
        <v>95638.231469999999</v>
      </c>
      <c r="CQ149">
        <f>96014.04078</f>
        <v>96014.040779999996</v>
      </c>
      <c r="CR149">
        <f>94415.09909</f>
        <v>94415.099090000003</v>
      </c>
      <c r="CS149">
        <f>94776.19654</f>
        <v>94776.196540000004</v>
      </c>
      <c r="CT149">
        <f>93249.67109</f>
        <v>93249.671090000003</v>
      </c>
      <c r="CU149">
        <f>94459.50605</f>
        <v>94459.506049999996</v>
      </c>
      <c r="CV149">
        <f>95673.13935</f>
        <v>95673.139349999998</v>
      </c>
      <c r="CW149">
        <f>95405.8697</f>
        <v>95405.869699999996</v>
      </c>
      <c r="CX149">
        <f>93715.82051</f>
        <v>93715.820510000005</v>
      </c>
      <c r="CY149" t="str">
        <f>""</f>
        <v/>
      </c>
      <c r="CZ149" t="str">
        <f>""</f>
        <v/>
      </c>
      <c r="DA149" t="str">
        <f>""</f>
        <v/>
      </c>
      <c r="DB149">
        <f>91401.56813</f>
        <v>91401.56813</v>
      </c>
      <c r="DC149" t="str">
        <f>""</f>
        <v/>
      </c>
      <c r="DD149" t="str">
        <f>""</f>
        <v/>
      </c>
      <c r="DE149" t="str">
        <f>""</f>
        <v/>
      </c>
      <c r="DF149">
        <f>91963.09954</f>
        <v>91963.099539999996</v>
      </c>
      <c r="DG149" t="str">
        <f>""</f>
        <v/>
      </c>
      <c r="DH149" t="str">
        <f>""</f>
        <v/>
      </c>
      <c r="DI149" t="str">
        <f>""</f>
        <v/>
      </c>
      <c r="DJ149">
        <f>96462.45871</f>
        <v>96462.458710000006</v>
      </c>
      <c r="DK149" t="str">
        <f>""</f>
        <v/>
      </c>
      <c r="DL149" t="str">
        <f>""</f>
        <v/>
      </c>
      <c r="DM149" t="str">
        <f>""</f>
        <v/>
      </c>
      <c r="DN149" t="str">
        <f>""</f>
        <v/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 x14ac:dyDescent="0.25">
      <c r="A150" t="str">
        <f>"    Swedbank AB"</f>
        <v xml:space="preserve">    Swedbank AB</v>
      </c>
      <c r="B150" t="str">
        <f>"SWEDA SS Equity"</f>
        <v>SWEDA SS Equity</v>
      </c>
      <c r="C150" t="str">
        <f t="shared" si="9"/>
        <v>BS016</v>
      </c>
      <c r="D150" t="str">
        <f t="shared" si="10"/>
        <v>BS_COMM_LOAN</v>
      </c>
      <c r="E150" t="str">
        <f t="shared" si="11"/>
        <v>Dynamic</v>
      </c>
      <c r="F150" t="str">
        <f ca="1">IF(AND(ISNUMBER($F$353),$B$208=1),$F$353,HLOOKUP(INDIRECT(ADDRESS(2,COLUMN())),OFFSET($BN$2,0,0,ROW()-1,60),ROW()-1,FALSE))</f>
        <v/>
      </c>
      <c r="G150">
        <f ca="1">IF(AND(ISNUMBER($G$353),$B$208=1),$G$353,HLOOKUP(INDIRECT(ADDRESS(2,COLUMN())),OFFSET($BN$2,0,0,ROW()-1,60),ROW()-1,FALSE))</f>
        <v>29094.11636</v>
      </c>
      <c r="H150">
        <f ca="1">IF(AND(ISNUMBER($H$353),$B$208=1),$H$353,HLOOKUP(INDIRECT(ADDRESS(2,COLUMN())),OFFSET($BN$2,0,0,ROW()-1,60),ROW()-1,FALSE))</f>
        <v>29242.413489999999</v>
      </c>
      <c r="I150">
        <f ca="1">IF(AND(ISNUMBER($I$353),$B$208=1),$I$353,HLOOKUP(INDIRECT(ADDRESS(2,COLUMN())),OFFSET($BN$2,0,0,ROW()-1,60),ROW()-1,FALSE))</f>
        <v>27971.357240000001</v>
      </c>
      <c r="J150">
        <f ca="1">IF(AND(ISNUMBER($J$353),$B$208=1),$J$353,HLOOKUP(INDIRECT(ADDRESS(2,COLUMN())),OFFSET($BN$2,0,0,ROW()-1,60),ROW()-1,FALSE))</f>
        <v>55042.743750000001</v>
      </c>
      <c r="K150">
        <f ca="1">IF(AND(ISNUMBER($K$353),$B$208=1),$K$353,HLOOKUP(INDIRECT(ADDRESS(2,COLUMN())),OFFSET($BN$2,0,0,ROW()-1,60),ROW()-1,FALSE))</f>
        <v>54884.362520000002</v>
      </c>
      <c r="L150">
        <f ca="1">IF(AND(ISNUMBER($L$353),$B$208=1),$L$353,HLOOKUP(INDIRECT(ADDRESS(2,COLUMN())),OFFSET($BN$2,0,0,ROW()-1,60),ROW()-1,FALSE))</f>
        <v>57907.09794</v>
      </c>
      <c r="M150">
        <f ca="1">IF(AND(ISNUMBER($M$353),$B$208=1),$M$353,HLOOKUP(INDIRECT(ADDRESS(2,COLUMN())),OFFSET($BN$2,0,0,ROW()-1,60),ROW()-1,FALSE))</f>
        <v>27984.336619999998</v>
      </c>
      <c r="N150">
        <f ca="1">IF(AND(ISNUMBER($N$353),$B$208=1),$N$353,HLOOKUP(INDIRECT(ADDRESS(2,COLUMN())),OFFSET($BN$2,0,0,ROW()-1,60),ROW()-1,FALSE))</f>
        <v>56091.223460000001</v>
      </c>
      <c r="O150">
        <f ca="1">IF(AND(ISNUMBER($O$353),$B$208=1),$O$353,HLOOKUP(INDIRECT(ADDRESS(2,COLUMN())),OFFSET($BN$2,0,0,ROW()-1,60),ROW()-1,FALSE))</f>
        <v>57961.584419999999</v>
      </c>
      <c r="P150">
        <f ca="1">IF(AND(ISNUMBER($P$353),$B$208=1),$P$353,HLOOKUP(INDIRECT(ADDRESS(2,COLUMN())),OFFSET($BN$2,0,0,ROW()-1,60),ROW()-1,FALSE))</f>
        <v>81744.803069999994</v>
      </c>
      <c r="Q150">
        <f ca="1">IF(AND(ISNUMBER($Q$353),$B$208=1),$Q$353,HLOOKUP(INDIRECT(ADDRESS(2,COLUMN())),OFFSET($BN$2,0,0,ROW()-1,60),ROW()-1,FALSE))</f>
        <v>56237.016490000002</v>
      </c>
      <c r="R150">
        <f ca="1">IF(AND(ISNUMBER($R$353),$B$208=1),$R$353,HLOOKUP(INDIRECT(ADDRESS(2,COLUMN())),OFFSET($BN$2,0,0,ROW()-1,60),ROW()-1,FALSE))</f>
        <v>53363.275110000002</v>
      </c>
      <c r="S150">
        <f ca="1">IF(AND(ISNUMBER($S$353),$B$208=1),$S$353,HLOOKUP(INDIRECT(ADDRESS(2,COLUMN())),OFFSET($BN$2,0,0,ROW()-1,60),ROW()-1,FALSE))</f>
        <v>53413.233910000003</v>
      </c>
      <c r="T150">
        <f ca="1">IF(AND(ISNUMBER($T$353),$B$208=1),$T$353,HLOOKUP(INDIRECT(ADDRESS(2,COLUMN())),OFFSET($BN$2,0,0,ROW()-1,60),ROW()-1,FALSE))</f>
        <v>53219.120759999998</v>
      </c>
      <c r="U150">
        <f ca="1">IF(AND(ISNUMBER($U$353),$B$208=1),$U$353,HLOOKUP(INDIRECT(ADDRESS(2,COLUMN())),OFFSET($BN$2,0,0,ROW()-1,60),ROW()-1,FALSE))</f>
        <v>52686.154649999997</v>
      </c>
      <c r="V150">
        <f ca="1">IF(AND(ISNUMBER($V$353),$B$208=1),$V$353,HLOOKUP(INDIRECT(ADDRESS(2,COLUMN())),OFFSET($BN$2,0,0,ROW()-1,60),ROW()-1,FALSE))</f>
        <v>54067.71905</v>
      </c>
      <c r="W150">
        <f ca="1">IF(AND(ISNUMBER($W$353),$B$208=1),$W$353,HLOOKUP(INDIRECT(ADDRESS(2,COLUMN())),OFFSET($BN$2,0,0,ROW()-1,60),ROW()-1,FALSE))</f>
        <v>52543.211750000002</v>
      </c>
      <c r="X150">
        <f ca="1">IF(AND(ISNUMBER($X$353),$B$208=1),$X$353,HLOOKUP(INDIRECT(ADDRESS(2,COLUMN())),OFFSET($BN$2,0,0,ROW()-1,60),ROW()-1,FALSE))</f>
        <v>53884.715649999998</v>
      </c>
      <c r="Y150">
        <f ca="1">IF(AND(ISNUMBER($Y$353),$B$208=1),$Y$353,HLOOKUP(INDIRECT(ADDRESS(2,COLUMN())),OFFSET($BN$2,0,0,ROW()-1,60),ROW()-1,FALSE))</f>
        <v>52661.708059999997</v>
      </c>
      <c r="Z150">
        <f ca="1">IF(AND(ISNUMBER($Z$353),$B$208=1),$Z$353,HLOOKUP(INDIRECT(ADDRESS(2,COLUMN())),OFFSET($BN$2,0,0,ROW()-1,60),ROW()-1,FALSE))</f>
        <v>53238.965550000001</v>
      </c>
      <c r="AA150">
        <f ca="1">IF(AND(ISNUMBER($AA$353),$B$208=1),$AA$353,HLOOKUP(INDIRECT(ADDRESS(2,COLUMN())),OFFSET($BN$2,0,0,ROW()-1,60),ROW()-1,FALSE))</f>
        <v>52850.146630000003</v>
      </c>
      <c r="AB150">
        <f ca="1">IF(AND(ISNUMBER($AB$353),$B$208=1),$AB$353,HLOOKUP(INDIRECT(ADDRESS(2,COLUMN())),OFFSET($BN$2,0,0,ROW()-1,60),ROW()-1,FALSE))</f>
        <v>54136.541810000002</v>
      </c>
      <c r="AC150">
        <f ca="1">IF(AND(ISNUMBER($AC$353),$B$208=1),$AC$353,HLOOKUP(INDIRECT(ADDRESS(2,COLUMN())),OFFSET($BN$2,0,0,ROW()-1,60),ROW()-1,FALSE))</f>
        <v>53811.313119999999</v>
      </c>
      <c r="AD150">
        <f ca="1">IF(AND(ISNUMBER($AD$353),$B$208=1),$AD$353,HLOOKUP(INDIRECT(ADDRESS(2,COLUMN())),OFFSET($BN$2,0,0,ROW()-1,60),ROW()-1,FALSE))</f>
        <v>54386.474820000003</v>
      </c>
      <c r="AE150">
        <f ca="1">IF(AND(ISNUMBER($AE$353),$B$208=1),$AE$353,HLOOKUP(INDIRECT(ADDRESS(2,COLUMN())),OFFSET($BN$2,0,0,ROW()-1,60),ROW()-1,FALSE))</f>
        <v>54092.297290000002</v>
      </c>
      <c r="AF150">
        <f ca="1">IF(AND(ISNUMBER($AF$353),$B$208=1),$AF$353,HLOOKUP(INDIRECT(ADDRESS(2,COLUMN())),OFFSET($BN$2,0,0,ROW()-1,60),ROW()-1,FALSE))</f>
        <v>53060.26311</v>
      </c>
      <c r="AG150">
        <f ca="1">IF(AND(ISNUMBER($AG$353),$B$208=1),$AG$353,HLOOKUP(INDIRECT(ADDRESS(2,COLUMN())),OFFSET($BN$2,0,0,ROW()-1,60),ROW()-1,FALSE))</f>
        <v>52140.967259999998</v>
      </c>
      <c r="AH150">
        <f ca="1">IF(AND(ISNUMBER($AH$353),$B$208=1),$AH$353,HLOOKUP(INDIRECT(ADDRESS(2,COLUMN())),OFFSET($BN$2,0,0,ROW()-1,60),ROW()-1,FALSE))</f>
        <v>53299.843339999999</v>
      </c>
      <c r="AI150">
        <f ca="1">IF(AND(ISNUMBER($AI$353),$B$208=1),$AI$353,HLOOKUP(INDIRECT(ADDRESS(2,COLUMN())),OFFSET($BN$2,0,0,ROW()-1,60),ROW()-1,FALSE))</f>
        <v>54494.419119999999</v>
      </c>
      <c r="AJ150">
        <f ca="1">IF(AND(ISNUMBER($AJ$353),$B$208=1),$AJ$353,HLOOKUP(INDIRECT(ADDRESS(2,COLUMN())),OFFSET($BN$2,0,0,ROW()-1,60),ROW()-1,FALSE))</f>
        <v>53805.016439999999</v>
      </c>
      <c r="AK150">
        <f ca="1">IF(AND(ISNUMBER($AK$353),$B$208=1),$AK$353,HLOOKUP(INDIRECT(ADDRESS(2,COLUMN())),OFFSET($BN$2,0,0,ROW()-1,60),ROW()-1,FALSE))</f>
        <v>54470.678330000002</v>
      </c>
      <c r="AL150">
        <f ca="1">IF(AND(ISNUMBER($AL$353),$B$208=1),$AL$353,HLOOKUP(INDIRECT(ADDRESS(2,COLUMN())),OFFSET($BN$2,0,0,ROW()-1,60),ROW()-1,FALSE))</f>
        <v>54733.187299999998</v>
      </c>
      <c r="AM150">
        <f ca="1">IF(AND(ISNUMBER($AM$353),$B$208=1),$AM$353,HLOOKUP(INDIRECT(ADDRESS(2,COLUMN())),OFFSET($BN$2,0,0,ROW()-1,60),ROW()-1,FALSE))</f>
        <v>55251.770049999999</v>
      </c>
      <c r="AN150">
        <f ca="1">IF(AND(ISNUMBER($AN$353),$B$208=1),$AN$353,HLOOKUP(INDIRECT(ADDRESS(2,COLUMN())),OFFSET($BN$2,0,0,ROW()-1,60),ROW()-1,FALSE))</f>
        <v>56074.290970000002</v>
      </c>
      <c r="AO150">
        <f ca="1">IF(AND(ISNUMBER($AO$353),$B$208=1),$AO$353,HLOOKUP(INDIRECT(ADDRESS(2,COLUMN())),OFFSET($BN$2,0,0,ROW()-1,60),ROW()-1,FALSE))</f>
        <v>55049.214019999999</v>
      </c>
      <c r="AP150">
        <f ca="1">IF(AND(ISNUMBER($AP$353),$B$208=1),$AP$353,HLOOKUP(INDIRECT(ADDRESS(2,COLUMN())),OFFSET($BN$2,0,0,ROW()-1,60),ROW()-1,FALSE))</f>
        <v>54865.137239999996</v>
      </c>
      <c r="AQ150">
        <f ca="1">IF(AND(ISNUMBER($AQ$353),$B$208=1),$AQ$353,HLOOKUP(INDIRECT(ADDRESS(2,COLUMN())),OFFSET($BN$2,0,0,ROW()-1,60),ROW()-1,FALSE))</f>
        <v>54346.009489999997</v>
      </c>
      <c r="AR150">
        <f ca="1">IF(AND(ISNUMBER($AR$353),$B$208=1),$AR$353,HLOOKUP(INDIRECT(ADDRESS(2,COLUMN())),OFFSET($BN$2,0,0,ROW()-1,60),ROW()-1,FALSE))</f>
        <v>54903.136339999997</v>
      </c>
      <c r="AS150">
        <f ca="1">IF(AND(ISNUMBER($AS$353),$B$208=1),$AS$353,HLOOKUP(INDIRECT(ADDRESS(2,COLUMN())),OFFSET($BN$2,0,0,ROW()-1,60),ROW()-1,FALSE))</f>
        <v>54451.553999999996</v>
      </c>
      <c r="AT150">
        <f ca="1">IF(AND(ISNUMBER($AT$353),$B$208=1),$AT$353,HLOOKUP(INDIRECT(ADDRESS(2,COLUMN())),OFFSET($BN$2,0,0,ROW()-1,60),ROW()-1,FALSE))</f>
        <v>52676.732360000002</v>
      </c>
      <c r="AU150">
        <f ca="1">IF(AND(ISNUMBER($AU$353),$B$208=1),$AU$353,HLOOKUP(INDIRECT(ADDRESS(2,COLUMN())),OFFSET($BN$2,0,0,ROW()-1,60),ROW()-1,FALSE))</f>
        <v>52346.840510000002</v>
      </c>
      <c r="AV150">
        <f ca="1">IF(AND(ISNUMBER($AV$353),$B$208=1),$AV$353,HLOOKUP(INDIRECT(ADDRESS(2,COLUMN())),OFFSET($BN$2,0,0,ROW()-1,60),ROW()-1,FALSE))</f>
        <v>50983.262360000001</v>
      </c>
      <c r="AW150">
        <f ca="1">IF(AND(ISNUMBER($AW$353),$B$208=1),$AW$353,HLOOKUP(INDIRECT(ADDRESS(2,COLUMN())),OFFSET($BN$2,0,0,ROW()-1,60),ROW()-1,FALSE))</f>
        <v>49135.689859999999</v>
      </c>
      <c r="AX150">
        <f ca="1">IF(AND(ISNUMBER($AX$353),$B$208=1),$AX$353,HLOOKUP(INDIRECT(ADDRESS(2,COLUMN())),OFFSET($BN$2,0,0,ROW()-1,60),ROW()-1,FALSE))</f>
        <v>49814.271959999998</v>
      </c>
      <c r="AY150">
        <f ca="1">IF(AND(ISNUMBER($AY$353),$B$208=1),$AY$353,HLOOKUP(INDIRECT(ADDRESS(2,COLUMN())),OFFSET($BN$2,0,0,ROW()-1,60),ROW()-1,FALSE))</f>
        <v>49641.115810000003</v>
      </c>
      <c r="AZ150">
        <f ca="1">IF(AND(ISNUMBER($AZ$353),$B$208=1),$AZ$353,HLOOKUP(INDIRECT(ADDRESS(2,COLUMN())),OFFSET($BN$2,0,0,ROW()-1,60),ROW()-1,FALSE))</f>
        <v>49900.569580000003</v>
      </c>
      <c r="BA150">
        <f ca="1">IF(AND(ISNUMBER($BA$353),$B$208=1),$BA$353,HLOOKUP(INDIRECT(ADDRESS(2,COLUMN())),OFFSET($BN$2,0,0,ROW()-1,60),ROW()-1,FALSE))</f>
        <v>51743.875039999999</v>
      </c>
      <c r="BB150">
        <f ca="1">IF(AND(ISNUMBER($BB$353),$B$208=1),$BB$353,HLOOKUP(INDIRECT(ADDRESS(2,COLUMN())),OFFSET($BN$2,0,0,ROW()-1,60),ROW()-1,FALSE))</f>
        <v>50731.949119999997</v>
      </c>
      <c r="BC150">
        <f ca="1">IF(AND(ISNUMBER($BC$353),$B$208=1),$BC$353,HLOOKUP(INDIRECT(ADDRESS(2,COLUMN())),OFFSET($BN$2,0,0,ROW()-1,60),ROW()-1,FALSE))</f>
        <v>52211.168740000001</v>
      </c>
      <c r="BD150">
        <f ca="1">IF(AND(ISNUMBER($BD$353),$B$208=1),$BD$353,HLOOKUP(INDIRECT(ADDRESS(2,COLUMN())),OFFSET($BN$2,0,0,ROW()-1,60),ROW()-1,FALSE))</f>
        <v>50042.78155</v>
      </c>
      <c r="BE150">
        <f ca="1">IF(AND(ISNUMBER($BE$353),$B$208=1),$BE$353,HLOOKUP(INDIRECT(ADDRESS(2,COLUMN())),OFFSET($BN$2,0,0,ROW()-1,60),ROW()-1,FALSE))</f>
        <v>58028.57546</v>
      </c>
      <c r="BF150">
        <f ca="1">IF(AND(ISNUMBER($BF$353),$B$208=1),$BF$353,HLOOKUP(INDIRECT(ADDRESS(2,COLUMN())),OFFSET($BN$2,0,0,ROW()-1,60),ROW()-1,FALSE))</f>
        <v>49230.671249999999</v>
      </c>
      <c r="BG150" t="str">
        <f ca="1">IF(AND(ISNUMBER($BG$353),$B$208=1),$BG$353,HLOOKUP(INDIRECT(ADDRESS(2,COLUMN())),OFFSET($BN$2,0,0,ROW()-1,60),ROW()-1,FALSE))</f>
        <v/>
      </c>
      <c r="BH150" t="str">
        <f ca="1">IF(AND(ISNUMBER($BH$353),$B$208=1),$BH$353,HLOOKUP(INDIRECT(ADDRESS(2,COLUMN())),OFFSET($BN$2,0,0,ROW()-1,60),ROW()-1,FALSE))</f>
        <v/>
      </c>
      <c r="BI150" t="str">
        <f ca="1">IF(AND(ISNUMBER($BI$353),$B$208=1),$BI$353,HLOOKUP(INDIRECT(ADDRESS(2,COLUMN())),OFFSET($BN$2,0,0,ROW()-1,60),ROW()-1,FALSE))</f>
        <v/>
      </c>
      <c r="BJ150">
        <f ca="1">IF(AND(ISNUMBER($BJ$353),$B$208=1),$BJ$353,HLOOKUP(INDIRECT(ADDRESS(2,COLUMN())),OFFSET($BN$2,0,0,ROW()-1,60),ROW()-1,FALSE))</f>
        <v>56413.682390000002</v>
      </c>
      <c r="BK150" t="str">
        <f ca="1">IF(AND(ISNUMBER($BK$353),$B$208=1),$BK$353,HLOOKUP(INDIRECT(ADDRESS(2,COLUMN())),OFFSET($BN$2,0,0,ROW()-1,60),ROW()-1,FALSE))</f>
        <v/>
      </c>
      <c r="BL150" t="str">
        <f ca="1">IF(AND(ISNUMBER($BL$353),$B$208=1),$BL$353,HLOOKUP(INDIRECT(ADDRESS(2,COLUMN())),OFFSET($BN$2,0,0,ROW()-1,60),ROW()-1,FALSE))</f>
        <v/>
      </c>
      <c r="BM150" t="str">
        <f ca="1">IF(AND(ISNUMBER($BM$353),$B$208=1),$BM$353,HLOOKUP(INDIRECT(ADDRESS(2,COLUMN())),OFFSET($BN$2,0,0,ROW()-1,60),ROW()-1,FALSE))</f>
        <v/>
      </c>
      <c r="BN150" t="str">
        <f>""</f>
        <v/>
      </c>
      <c r="BO150">
        <f>29094.11636</f>
        <v>29094.11636</v>
      </c>
      <c r="BP150">
        <f>29242.41349</f>
        <v>29242.413489999999</v>
      </c>
      <c r="BQ150">
        <f>27971.35724</f>
        <v>27971.357240000001</v>
      </c>
      <c r="BR150">
        <f>55042.74375</f>
        <v>55042.743750000001</v>
      </c>
      <c r="BS150">
        <f>54884.36252</f>
        <v>54884.362520000002</v>
      </c>
      <c r="BT150">
        <f>57907.09794</f>
        <v>57907.09794</v>
      </c>
      <c r="BU150">
        <f>27984.33662</f>
        <v>27984.336619999998</v>
      </c>
      <c r="BV150">
        <f>56091.22346</f>
        <v>56091.223460000001</v>
      </c>
      <c r="BW150">
        <f>57961.58442</f>
        <v>57961.584419999999</v>
      </c>
      <c r="BX150">
        <f>81744.80307</f>
        <v>81744.803069999994</v>
      </c>
      <c r="BY150">
        <f>56237.01649</f>
        <v>56237.016490000002</v>
      </c>
      <c r="BZ150">
        <f>53363.27511</f>
        <v>53363.275110000002</v>
      </c>
      <c r="CA150">
        <f>53413.23391</f>
        <v>53413.233910000003</v>
      </c>
      <c r="CB150">
        <f>53219.12076</f>
        <v>53219.120759999998</v>
      </c>
      <c r="CC150">
        <f>52686.15465</f>
        <v>52686.154649999997</v>
      </c>
      <c r="CD150">
        <f>54067.71905</f>
        <v>54067.71905</v>
      </c>
      <c r="CE150">
        <f>52543.21175</f>
        <v>52543.211750000002</v>
      </c>
      <c r="CF150">
        <f>53884.71565</f>
        <v>53884.715649999998</v>
      </c>
      <c r="CG150">
        <f>52661.70806</f>
        <v>52661.708059999997</v>
      </c>
      <c r="CH150">
        <f>53238.96555</f>
        <v>53238.965550000001</v>
      </c>
      <c r="CI150">
        <f>52850.14663</f>
        <v>52850.146630000003</v>
      </c>
      <c r="CJ150">
        <f>54136.54181</f>
        <v>54136.541810000002</v>
      </c>
      <c r="CK150">
        <f>53811.31312</f>
        <v>53811.313119999999</v>
      </c>
      <c r="CL150">
        <f>54386.47482</f>
        <v>54386.474820000003</v>
      </c>
      <c r="CM150">
        <f>54092.29729</f>
        <v>54092.297290000002</v>
      </c>
      <c r="CN150">
        <f>53060.26311</f>
        <v>53060.26311</v>
      </c>
      <c r="CO150">
        <f>52140.96726</f>
        <v>52140.967259999998</v>
      </c>
      <c r="CP150">
        <f>53299.84334</f>
        <v>53299.843339999999</v>
      </c>
      <c r="CQ150">
        <f>54494.41912</f>
        <v>54494.419119999999</v>
      </c>
      <c r="CR150">
        <f>53805.01644</f>
        <v>53805.016439999999</v>
      </c>
      <c r="CS150">
        <f>54470.67833</f>
        <v>54470.678330000002</v>
      </c>
      <c r="CT150">
        <f>54733.1873</f>
        <v>54733.187299999998</v>
      </c>
      <c r="CU150">
        <f>55251.77005</f>
        <v>55251.770049999999</v>
      </c>
      <c r="CV150">
        <f>56074.29097</f>
        <v>56074.290970000002</v>
      </c>
      <c r="CW150">
        <f>55049.21402</f>
        <v>55049.214019999999</v>
      </c>
      <c r="CX150">
        <f>54865.13724</f>
        <v>54865.137239999996</v>
      </c>
      <c r="CY150">
        <f>54346.00949</f>
        <v>54346.009489999997</v>
      </c>
      <c r="CZ150">
        <f>54903.13634</f>
        <v>54903.136339999997</v>
      </c>
      <c r="DA150">
        <f>54451.554</f>
        <v>54451.553999999996</v>
      </c>
      <c r="DB150">
        <f>52676.73236</f>
        <v>52676.732360000002</v>
      </c>
      <c r="DC150">
        <f>52346.84051</f>
        <v>52346.840510000002</v>
      </c>
      <c r="DD150">
        <f>50983.26236</f>
        <v>50983.262360000001</v>
      </c>
      <c r="DE150">
        <f>49135.68986</f>
        <v>49135.689859999999</v>
      </c>
      <c r="DF150">
        <f>49814.27196</f>
        <v>49814.271959999998</v>
      </c>
      <c r="DG150">
        <f>49641.11581</f>
        <v>49641.115810000003</v>
      </c>
      <c r="DH150">
        <f>49900.56958</f>
        <v>49900.569580000003</v>
      </c>
      <c r="DI150">
        <f>51743.87504</f>
        <v>51743.875039999999</v>
      </c>
      <c r="DJ150">
        <f>50731.94912</f>
        <v>50731.949119999997</v>
      </c>
      <c r="DK150">
        <f>52211.16874</f>
        <v>52211.168740000001</v>
      </c>
      <c r="DL150">
        <f>50042.78155</f>
        <v>50042.78155</v>
      </c>
      <c r="DM150">
        <f>58028.57546</f>
        <v>58028.57546</v>
      </c>
      <c r="DN150">
        <f>49230.67125</f>
        <v>49230.671249999999</v>
      </c>
      <c r="DO150" t="str">
        <f>""</f>
        <v/>
      </c>
      <c r="DP150" t="str">
        <f>""</f>
        <v/>
      </c>
      <c r="DQ150" t="str">
        <f>""</f>
        <v/>
      </c>
      <c r="DR150">
        <f>56413.68239</f>
        <v>56413.682390000002</v>
      </c>
      <c r="DS150" t="str">
        <f>""</f>
        <v/>
      </c>
      <c r="DT150" t="str">
        <f>""</f>
        <v/>
      </c>
      <c r="DU150" t="str">
        <f>""</f>
        <v/>
      </c>
    </row>
    <row r="151" spans="1:125" x14ac:dyDescent="0.25">
      <c r="A151" t="str">
        <f>"    Societe Generale SA"</f>
        <v xml:space="preserve">    Societe Generale SA</v>
      </c>
      <c r="B151" t="str">
        <f>"GLE FP Equity"</f>
        <v>GLE FP Equity</v>
      </c>
      <c r="C151" t="str">
        <f t="shared" si="9"/>
        <v>BS016</v>
      </c>
      <c r="D151" t="str">
        <f t="shared" si="10"/>
        <v>BS_COMM_LOAN</v>
      </c>
      <c r="E151" t="str">
        <f t="shared" si="11"/>
        <v>Dynamic</v>
      </c>
      <c r="F151" t="str">
        <f ca="1">IF(AND(ISNUMBER($F$354),$B$208=1),$F$354,HLOOKUP(INDIRECT(ADDRESS(2,COLUMN())),OFFSET($BN$2,0,0,ROW()-1,60),ROW()-1,FALSE))</f>
        <v/>
      </c>
      <c r="G151" t="str">
        <f ca="1">IF(AND(ISNUMBER($G$354),$B$208=1),$G$354,HLOOKUP(INDIRECT(ADDRESS(2,COLUMN())),OFFSET($BN$2,0,0,ROW()-1,60),ROW()-1,FALSE))</f>
        <v/>
      </c>
      <c r="H151" t="str">
        <f ca="1">IF(AND(ISNUMBER($H$354),$B$208=1),$H$354,HLOOKUP(INDIRECT(ADDRESS(2,COLUMN())),OFFSET($BN$2,0,0,ROW()-1,60),ROW()-1,FALSE))</f>
        <v/>
      </c>
      <c r="I151" t="str">
        <f ca="1">IF(AND(ISNUMBER($I$354),$B$208=1),$I$354,HLOOKUP(INDIRECT(ADDRESS(2,COLUMN())),OFFSET($BN$2,0,0,ROW()-1,60),ROW()-1,FALSE))</f>
        <v/>
      </c>
      <c r="J151" t="str">
        <f ca="1">IF(AND(ISNUMBER($J$354),$B$208=1),$J$354,HLOOKUP(INDIRECT(ADDRESS(2,COLUMN())),OFFSET($BN$2,0,0,ROW()-1,60),ROW()-1,FALSE))</f>
        <v/>
      </c>
      <c r="K151" t="str">
        <f ca="1">IF(AND(ISNUMBER($K$354),$B$208=1),$K$354,HLOOKUP(INDIRECT(ADDRESS(2,COLUMN())),OFFSET($BN$2,0,0,ROW()-1,60),ROW()-1,FALSE))</f>
        <v/>
      </c>
      <c r="L151" t="str">
        <f ca="1">IF(AND(ISNUMBER($L$354),$B$208=1),$L$354,HLOOKUP(INDIRECT(ADDRESS(2,COLUMN())),OFFSET($BN$2,0,0,ROW()-1,60),ROW()-1,FALSE))</f>
        <v/>
      </c>
      <c r="M151" t="str">
        <f ca="1">IF(AND(ISNUMBER($M$354),$B$208=1),$M$354,HLOOKUP(INDIRECT(ADDRESS(2,COLUMN())),OFFSET($BN$2,0,0,ROW()-1,60),ROW()-1,FALSE))</f>
        <v/>
      </c>
      <c r="N151" t="str">
        <f ca="1">IF(AND(ISNUMBER($N$354),$B$208=1),$N$354,HLOOKUP(INDIRECT(ADDRESS(2,COLUMN())),OFFSET($BN$2,0,0,ROW()-1,60),ROW()-1,FALSE))</f>
        <v/>
      </c>
      <c r="O151" t="str">
        <f ca="1">IF(AND(ISNUMBER($O$354),$B$208=1),$O$354,HLOOKUP(INDIRECT(ADDRESS(2,COLUMN())),OFFSET($BN$2,0,0,ROW()-1,60),ROW()-1,FALSE))</f>
        <v/>
      </c>
      <c r="P151" t="str">
        <f ca="1">IF(AND(ISNUMBER($P$354),$B$208=1),$P$354,HLOOKUP(INDIRECT(ADDRESS(2,COLUMN())),OFFSET($BN$2,0,0,ROW()-1,60),ROW()-1,FALSE))</f>
        <v/>
      </c>
      <c r="Q151" t="str">
        <f ca="1">IF(AND(ISNUMBER($Q$354),$B$208=1),$Q$354,HLOOKUP(INDIRECT(ADDRESS(2,COLUMN())),OFFSET($BN$2,0,0,ROW()-1,60),ROW()-1,FALSE))</f>
        <v/>
      </c>
      <c r="R151" t="str">
        <f ca="1">IF(AND(ISNUMBER($R$354),$B$208=1),$R$354,HLOOKUP(INDIRECT(ADDRESS(2,COLUMN())),OFFSET($BN$2,0,0,ROW()-1,60),ROW()-1,FALSE))</f>
        <v/>
      </c>
      <c r="S151" t="str">
        <f ca="1">IF(AND(ISNUMBER($S$354),$B$208=1),$S$354,HLOOKUP(INDIRECT(ADDRESS(2,COLUMN())),OFFSET($BN$2,0,0,ROW()-1,60),ROW()-1,FALSE))</f>
        <v/>
      </c>
      <c r="T151" t="str">
        <f ca="1">IF(AND(ISNUMBER($T$354),$B$208=1),$T$354,HLOOKUP(INDIRECT(ADDRESS(2,COLUMN())),OFFSET($BN$2,0,0,ROW()-1,60),ROW()-1,FALSE))</f>
        <v/>
      </c>
      <c r="U151" t="str">
        <f ca="1">IF(AND(ISNUMBER($U$354),$B$208=1),$U$354,HLOOKUP(INDIRECT(ADDRESS(2,COLUMN())),OFFSET($BN$2,0,0,ROW()-1,60),ROW()-1,FALSE))</f>
        <v/>
      </c>
      <c r="V151" t="str">
        <f ca="1">IF(AND(ISNUMBER($V$354),$B$208=1),$V$354,HLOOKUP(INDIRECT(ADDRESS(2,COLUMN())),OFFSET($BN$2,0,0,ROW()-1,60),ROW()-1,FALSE))</f>
        <v/>
      </c>
      <c r="W151" t="str">
        <f ca="1">IF(AND(ISNUMBER($W$354),$B$208=1),$W$354,HLOOKUP(INDIRECT(ADDRESS(2,COLUMN())),OFFSET($BN$2,0,0,ROW()-1,60),ROW()-1,FALSE))</f>
        <v/>
      </c>
      <c r="X151" t="str">
        <f ca="1">IF(AND(ISNUMBER($X$354),$B$208=1),$X$354,HLOOKUP(INDIRECT(ADDRESS(2,COLUMN())),OFFSET($BN$2,0,0,ROW()-1,60),ROW()-1,FALSE))</f>
        <v/>
      </c>
      <c r="Y151" t="str">
        <f ca="1">IF(AND(ISNUMBER($Y$354),$B$208=1),$Y$354,HLOOKUP(INDIRECT(ADDRESS(2,COLUMN())),OFFSET($BN$2,0,0,ROW()-1,60),ROW()-1,FALSE))</f>
        <v/>
      </c>
      <c r="Z151" t="str">
        <f ca="1">IF(AND(ISNUMBER($Z$354),$B$208=1),$Z$354,HLOOKUP(INDIRECT(ADDRESS(2,COLUMN())),OFFSET($BN$2,0,0,ROW()-1,60),ROW()-1,FALSE))</f>
        <v/>
      </c>
      <c r="AA151" t="str">
        <f ca="1">IF(AND(ISNUMBER($AA$354),$B$208=1),$AA$354,HLOOKUP(INDIRECT(ADDRESS(2,COLUMN())),OFFSET($BN$2,0,0,ROW()-1,60),ROW()-1,FALSE))</f>
        <v/>
      </c>
      <c r="AB151" t="str">
        <f ca="1">IF(AND(ISNUMBER($AB$354),$B$208=1),$AB$354,HLOOKUP(INDIRECT(ADDRESS(2,COLUMN())),OFFSET($BN$2,0,0,ROW()-1,60),ROW()-1,FALSE))</f>
        <v/>
      </c>
      <c r="AC151" t="str">
        <f ca="1">IF(AND(ISNUMBER($AC$354),$B$208=1),$AC$354,HLOOKUP(INDIRECT(ADDRESS(2,COLUMN())),OFFSET($BN$2,0,0,ROW()-1,60),ROW()-1,FALSE))</f>
        <v/>
      </c>
      <c r="AD151" t="str">
        <f ca="1">IF(AND(ISNUMBER($AD$354),$B$208=1),$AD$354,HLOOKUP(INDIRECT(ADDRESS(2,COLUMN())),OFFSET($BN$2,0,0,ROW()-1,60),ROW()-1,FALSE))</f>
        <v/>
      </c>
      <c r="AE151" t="str">
        <f ca="1">IF(AND(ISNUMBER($AE$354),$B$208=1),$AE$354,HLOOKUP(INDIRECT(ADDRESS(2,COLUMN())),OFFSET($BN$2,0,0,ROW()-1,60),ROW()-1,FALSE))</f>
        <v/>
      </c>
      <c r="AF151" t="str">
        <f ca="1">IF(AND(ISNUMBER($AF$354),$B$208=1),$AF$354,HLOOKUP(INDIRECT(ADDRESS(2,COLUMN())),OFFSET($BN$2,0,0,ROW()-1,60),ROW()-1,FALSE))</f>
        <v/>
      </c>
      <c r="AG151" t="str">
        <f ca="1">IF(AND(ISNUMBER($AG$354),$B$208=1),$AG$354,HLOOKUP(INDIRECT(ADDRESS(2,COLUMN())),OFFSET($BN$2,0,0,ROW()-1,60),ROW()-1,FALSE))</f>
        <v/>
      </c>
      <c r="AH151" t="str">
        <f ca="1">IF(AND(ISNUMBER($AH$354),$B$208=1),$AH$354,HLOOKUP(INDIRECT(ADDRESS(2,COLUMN())),OFFSET($BN$2,0,0,ROW()-1,60),ROW()-1,FALSE))</f>
        <v/>
      </c>
      <c r="AI151" t="str">
        <f ca="1">IF(AND(ISNUMBER($AI$354),$B$208=1),$AI$354,HLOOKUP(INDIRECT(ADDRESS(2,COLUMN())),OFFSET($BN$2,0,0,ROW()-1,60),ROW()-1,FALSE))</f>
        <v/>
      </c>
      <c r="AJ151" t="str">
        <f ca="1">IF(AND(ISNUMBER($AJ$354),$B$208=1),$AJ$354,HLOOKUP(INDIRECT(ADDRESS(2,COLUMN())),OFFSET($BN$2,0,0,ROW()-1,60),ROW()-1,FALSE))</f>
        <v/>
      </c>
      <c r="AK151" t="str">
        <f ca="1">IF(AND(ISNUMBER($AK$354),$B$208=1),$AK$354,HLOOKUP(INDIRECT(ADDRESS(2,COLUMN())),OFFSET($BN$2,0,0,ROW()-1,60),ROW()-1,FALSE))</f>
        <v/>
      </c>
      <c r="AL151" t="str">
        <f ca="1">IF(AND(ISNUMBER($AL$354),$B$208=1),$AL$354,HLOOKUP(INDIRECT(ADDRESS(2,COLUMN())),OFFSET($BN$2,0,0,ROW()-1,60),ROW()-1,FALSE))</f>
        <v/>
      </c>
      <c r="AM151" t="str">
        <f ca="1">IF(AND(ISNUMBER($AM$354),$B$208=1),$AM$354,HLOOKUP(INDIRECT(ADDRESS(2,COLUMN())),OFFSET($BN$2,0,0,ROW()-1,60),ROW()-1,FALSE))</f>
        <v/>
      </c>
      <c r="AN151" t="str">
        <f ca="1">IF(AND(ISNUMBER($AN$354),$B$208=1),$AN$354,HLOOKUP(INDIRECT(ADDRESS(2,COLUMN())),OFFSET($BN$2,0,0,ROW()-1,60),ROW()-1,FALSE))</f>
        <v/>
      </c>
      <c r="AO151" t="str">
        <f ca="1">IF(AND(ISNUMBER($AO$354),$B$208=1),$AO$354,HLOOKUP(INDIRECT(ADDRESS(2,COLUMN())),OFFSET($BN$2,0,0,ROW()-1,60),ROW()-1,FALSE))</f>
        <v/>
      </c>
      <c r="AP151" t="str">
        <f ca="1">IF(AND(ISNUMBER($AP$354),$B$208=1),$AP$354,HLOOKUP(INDIRECT(ADDRESS(2,COLUMN())),OFFSET($BN$2,0,0,ROW()-1,60),ROW()-1,FALSE))</f>
        <v/>
      </c>
      <c r="AQ151" t="str">
        <f ca="1">IF(AND(ISNUMBER($AQ$354),$B$208=1),$AQ$354,HLOOKUP(INDIRECT(ADDRESS(2,COLUMN())),OFFSET($BN$2,0,0,ROW()-1,60),ROW()-1,FALSE))</f>
        <v/>
      </c>
      <c r="AR151" t="str">
        <f ca="1">IF(AND(ISNUMBER($AR$354),$B$208=1),$AR$354,HLOOKUP(INDIRECT(ADDRESS(2,COLUMN())),OFFSET($BN$2,0,0,ROW()-1,60),ROW()-1,FALSE))</f>
        <v/>
      </c>
      <c r="AS151" t="str">
        <f ca="1">IF(AND(ISNUMBER($AS$354),$B$208=1),$AS$354,HLOOKUP(INDIRECT(ADDRESS(2,COLUMN())),OFFSET($BN$2,0,0,ROW()-1,60),ROW()-1,FALSE))</f>
        <v/>
      </c>
      <c r="AT151" t="str">
        <f ca="1">IF(AND(ISNUMBER($AT$354),$B$208=1),$AT$354,HLOOKUP(INDIRECT(ADDRESS(2,COLUMN())),OFFSET($BN$2,0,0,ROW()-1,60),ROW()-1,FALSE))</f>
        <v/>
      </c>
      <c r="AU151" t="str">
        <f ca="1">IF(AND(ISNUMBER($AU$354),$B$208=1),$AU$354,HLOOKUP(INDIRECT(ADDRESS(2,COLUMN())),OFFSET($BN$2,0,0,ROW()-1,60),ROW()-1,FALSE))</f>
        <v/>
      </c>
      <c r="AV151" t="str">
        <f ca="1">IF(AND(ISNUMBER($AV$354),$B$208=1),$AV$354,HLOOKUP(INDIRECT(ADDRESS(2,COLUMN())),OFFSET($BN$2,0,0,ROW()-1,60),ROW()-1,FALSE))</f>
        <v/>
      </c>
      <c r="AW151" t="str">
        <f ca="1">IF(AND(ISNUMBER($AW$354),$B$208=1),$AW$354,HLOOKUP(INDIRECT(ADDRESS(2,COLUMN())),OFFSET($BN$2,0,0,ROW()-1,60),ROW()-1,FALSE))</f>
        <v/>
      </c>
      <c r="AX151" t="str">
        <f ca="1">IF(AND(ISNUMBER($AX$354),$B$208=1),$AX$354,HLOOKUP(INDIRECT(ADDRESS(2,COLUMN())),OFFSET($BN$2,0,0,ROW()-1,60),ROW()-1,FALSE))</f>
        <v/>
      </c>
      <c r="AY151" t="str">
        <f ca="1">IF(AND(ISNUMBER($AY$354),$B$208=1),$AY$354,HLOOKUP(INDIRECT(ADDRESS(2,COLUMN())),OFFSET($BN$2,0,0,ROW()-1,60),ROW()-1,FALSE))</f>
        <v/>
      </c>
      <c r="AZ151" t="str">
        <f ca="1">IF(AND(ISNUMBER($AZ$354),$B$208=1),$AZ$354,HLOOKUP(INDIRECT(ADDRESS(2,COLUMN())),OFFSET($BN$2,0,0,ROW()-1,60),ROW()-1,FALSE))</f>
        <v/>
      </c>
      <c r="BA151" t="str">
        <f ca="1">IF(AND(ISNUMBER($BA$354),$B$208=1),$BA$354,HLOOKUP(INDIRECT(ADDRESS(2,COLUMN())),OFFSET($BN$2,0,0,ROW()-1,60),ROW()-1,FALSE))</f>
        <v/>
      </c>
      <c r="BB151" t="str">
        <f ca="1">IF(AND(ISNUMBER($BB$354),$B$208=1),$BB$354,HLOOKUP(INDIRECT(ADDRESS(2,COLUMN())),OFFSET($BN$2,0,0,ROW()-1,60),ROW()-1,FALSE))</f>
        <v/>
      </c>
      <c r="BC151" t="str">
        <f ca="1">IF(AND(ISNUMBER($BC$354),$B$208=1),$BC$354,HLOOKUP(INDIRECT(ADDRESS(2,COLUMN())),OFFSET($BN$2,0,0,ROW()-1,60),ROW()-1,FALSE))</f>
        <v/>
      </c>
      <c r="BD151" t="str">
        <f ca="1">IF(AND(ISNUMBER($BD$354),$B$208=1),$BD$354,HLOOKUP(INDIRECT(ADDRESS(2,COLUMN())),OFFSET($BN$2,0,0,ROW()-1,60),ROW()-1,FALSE))</f>
        <v/>
      </c>
      <c r="BE151" t="str">
        <f ca="1">IF(AND(ISNUMBER($BE$354),$B$208=1),$BE$354,HLOOKUP(INDIRECT(ADDRESS(2,COLUMN())),OFFSET($BN$2,0,0,ROW()-1,60),ROW()-1,FALSE))</f>
        <v/>
      </c>
      <c r="BF151" t="str">
        <f ca="1">IF(AND(ISNUMBER($BF$354),$B$208=1),$BF$354,HLOOKUP(INDIRECT(ADDRESS(2,COLUMN())),OFFSET($BN$2,0,0,ROW()-1,60),ROW()-1,FALSE))</f>
        <v/>
      </c>
      <c r="BG151" t="str">
        <f ca="1">IF(AND(ISNUMBER($BG$354),$B$208=1),$BG$354,HLOOKUP(INDIRECT(ADDRESS(2,COLUMN())),OFFSET($BN$2,0,0,ROW()-1,60),ROW()-1,FALSE))</f>
        <v/>
      </c>
      <c r="BH151" t="str">
        <f ca="1">IF(AND(ISNUMBER($BH$354),$B$208=1),$BH$354,HLOOKUP(INDIRECT(ADDRESS(2,COLUMN())),OFFSET($BN$2,0,0,ROW()-1,60),ROW()-1,FALSE))</f>
        <v/>
      </c>
      <c r="BI151" t="str">
        <f ca="1">IF(AND(ISNUMBER($BI$354),$B$208=1),$BI$354,HLOOKUP(INDIRECT(ADDRESS(2,COLUMN())),OFFSET($BN$2,0,0,ROW()-1,60),ROW()-1,FALSE))</f>
        <v/>
      </c>
      <c r="BJ151" t="str">
        <f ca="1">IF(AND(ISNUMBER($BJ$354),$B$208=1),$BJ$354,HLOOKUP(INDIRECT(ADDRESS(2,COLUMN())),OFFSET($BN$2,0,0,ROW()-1,60),ROW()-1,FALSE))</f>
        <v/>
      </c>
      <c r="BK151" t="str">
        <f ca="1">IF(AND(ISNUMBER($BK$354),$B$208=1),$BK$354,HLOOKUP(INDIRECT(ADDRESS(2,COLUMN())),OFFSET($BN$2,0,0,ROW()-1,60),ROW()-1,FALSE))</f>
        <v/>
      </c>
      <c r="BL151" t="str">
        <f ca="1">IF(AND(ISNUMBER($BL$354),$B$208=1),$BL$354,HLOOKUP(INDIRECT(ADDRESS(2,COLUMN())),OFFSET($BN$2,0,0,ROW()-1,60),ROW()-1,FALSE))</f>
        <v/>
      </c>
      <c r="BM151" t="str">
        <f ca="1">IF(AND(ISNUMBER($BM$354),$B$208=1),$BM$354,HLOOKUP(INDIRECT(ADDRESS(2,COLUMN())),OFFSET($BN$2,0,0,ROW()-1,60),ROW()-1,FALSE))</f>
        <v/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  <c r="BT151" t="str">
        <f>""</f>
        <v/>
      </c>
      <c r="BU151" t="str">
        <f>""</f>
        <v/>
      </c>
      <c r="BV151" t="str">
        <f>""</f>
        <v/>
      </c>
      <c r="BW151" t="str">
        <f>""</f>
        <v/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  <c r="CH151" t="str">
        <f>""</f>
        <v/>
      </c>
      <c r="CI151" t="str">
        <f>""</f>
        <v/>
      </c>
      <c r="CJ151" t="str">
        <f>""</f>
        <v/>
      </c>
      <c r="CK151" t="str">
        <f>""</f>
        <v/>
      </c>
      <c r="CL151" t="str">
        <f>""</f>
        <v/>
      </c>
      <c r="CM151" t="str">
        <f>""</f>
        <v/>
      </c>
      <c r="CN151" t="str">
        <f>""</f>
        <v/>
      </c>
      <c r="CO151" t="str">
        <f>""</f>
        <v/>
      </c>
      <c r="CP151" t="str">
        <f>""</f>
        <v/>
      </c>
      <c r="CQ151" t="str">
        <f>""</f>
        <v/>
      </c>
      <c r="CR151" t="str">
        <f>""</f>
        <v/>
      </c>
      <c r="CS151" t="str">
        <f>""</f>
        <v/>
      </c>
      <c r="CT151" t="str">
        <f>""</f>
        <v/>
      </c>
      <c r="CU151" t="str">
        <f>""</f>
        <v/>
      </c>
      <c r="CV151" t="str">
        <f>""</f>
        <v/>
      </c>
      <c r="CW151" t="str">
        <f>""</f>
        <v/>
      </c>
      <c r="CX151" t="str">
        <f>""</f>
        <v/>
      </c>
      <c r="CY151" t="str">
        <f>""</f>
        <v/>
      </c>
      <c r="CZ151" t="str">
        <f>""</f>
        <v/>
      </c>
      <c r="DA151" t="str">
        <f>""</f>
        <v/>
      </c>
      <c r="DB151" t="str">
        <f>""</f>
        <v/>
      </c>
      <c r="DC151" t="str">
        <f>""</f>
        <v/>
      </c>
      <c r="DD151" t="str">
        <f>""</f>
        <v/>
      </c>
      <c r="DE151" t="str">
        <f>""</f>
        <v/>
      </c>
      <c r="DF151" t="str">
        <f>""</f>
        <v/>
      </c>
      <c r="DG151" t="str">
        <f>""</f>
        <v/>
      </c>
      <c r="DH151" t="str">
        <f>""</f>
        <v/>
      </c>
      <c r="DI151" t="str">
        <f>""</f>
        <v/>
      </c>
      <c r="DJ151" t="str">
        <f>""</f>
        <v/>
      </c>
      <c r="DK151" t="str">
        <f>""</f>
        <v/>
      </c>
      <c r="DL151" t="str">
        <f>""</f>
        <v/>
      </c>
      <c r="DM151" t="str">
        <f>""</f>
        <v/>
      </c>
      <c r="DN151" t="str">
        <f>""</f>
        <v/>
      </c>
      <c r="DO151" t="str">
        <f>""</f>
        <v/>
      </c>
      <c r="DP151" t="str">
        <f>""</f>
        <v/>
      </c>
      <c r="DQ151" t="str">
        <f>""</f>
        <v/>
      </c>
      <c r="DR151" t="str">
        <f>""</f>
        <v/>
      </c>
      <c r="DS151" t="str">
        <f>""</f>
        <v/>
      </c>
      <c r="DT151" t="str">
        <f>""</f>
        <v/>
      </c>
      <c r="DU151" t="str">
        <f>""</f>
        <v/>
      </c>
    </row>
    <row r="152" spans="1:125" x14ac:dyDescent="0.25">
      <c r="A152" t="str">
        <f>"    Standard Chartered PLC"</f>
        <v xml:space="preserve">    Standard Chartered PLC</v>
      </c>
      <c r="B152" t="str">
        <f>"STAN LN Equity"</f>
        <v>STAN LN Equity</v>
      </c>
      <c r="C152" t="str">
        <f t="shared" si="9"/>
        <v>BS016</v>
      </c>
      <c r="D152" t="str">
        <f t="shared" si="10"/>
        <v>BS_COMM_LOAN</v>
      </c>
      <c r="E152" t="str">
        <f t="shared" si="11"/>
        <v>Dynamic</v>
      </c>
      <c r="F152">
        <f ca="1">IF(AND(ISNUMBER($F$355),$B$208=1),$F$355,HLOOKUP(INDIRECT(ADDRESS(2,COLUMN())),OFFSET($BN$2,0,0,ROW()-1,60),ROW()-1,FALSE))</f>
        <v>136384.1917</v>
      </c>
      <c r="G152" t="str">
        <f ca="1">IF(AND(ISNUMBER($G$355),$B$208=1),$G$355,HLOOKUP(INDIRECT(ADDRESS(2,COLUMN())),OFFSET($BN$2,0,0,ROW()-1,60),ROW()-1,FALSE))</f>
        <v/>
      </c>
      <c r="H152">
        <f ca="1">IF(AND(ISNUMBER($H$355),$B$208=1),$H$355,HLOOKUP(INDIRECT(ADDRESS(2,COLUMN())),OFFSET($BN$2,0,0,ROW()-1,60),ROW()-1,FALSE))</f>
        <v>127728.63009999999</v>
      </c>
      <c r="I152" t="str">
        <f ca="1">IF(AND(ISNUMBER($I$355),$B$208=1),$I$355,HLOOKUP(INDIRECT(ADDRESS(2,COLUMN())),OFFSET($BN$2,0,0,ROW()-1,60),ROW()-1,FALSE))</f>
        <v/>
      </c>
      <c r="J152">
        <f ca="1">IF(AND(ISNUMBER($J$355),$B$208=1),$J$355,HLOOKUP(INDIRECT(ADDRESS(2,COLUMN())),OFFSET($BN$2,0,0,ROW()-1,60),ROW()-1,FALSE))</f>
        <v>124131.4172</v>
      </c>
      <c r="K152" t="str">
        <f ca="1">IF(AND(ISNUMBER($K$355),$B$208=1),$K$355,HLOOKUP(INDIRECT(ADDRESS(2,COLUMN())),OFFSET($BN$2,0,0,ROW()-1,60),ROW()-1,FALSE))</f>
        <v/>
      </c>
      <c r="L152">
        <f ca="1">IF(AND(ISNUMBER($L$355),$B$208=1),$L$355,HLOOKUP(INDIRECT(ADDRESS(2,COLUMN())),OFFSET($BN$2,0,0,ROW()-1,60),ROW()-1,FALSE))</f>
        <v>122695.54859999999</v>
      </c>
      <c r="M152" t="str">
        <f ca="1">IF(AND(ISNUMBER($M$355),$B$208=1),$M$355,HLOOKUP(INDIRECT(ADDRESS(2,COLUMN())),OFFSET($BN$2,0,0,ROW()-1,60),ROW()-1,FALSE))</f>
        <v/>
      </c>
      <c r="N152">
        <f ca="1">IF(AND(ISNUMBER($N$355),$B$208=1),$N$355,HLOOKUP(INDIRECT(ADDRESS(2,COLUMN())),OFFSET($BN$2,0,0,ROW()-1,60),ROW()-1,FALSE))</f>
        <v>137093.6421</v>
      </c>
      <c r="O152" t="str">
        <f ca="1">IF(AND(ISNUMBER($O$355),$B$208=1),$O$355,HLOOKUP(INDIRECT(ADDRESS(2,COLUMN())),OFFSET($BN$2,0,0,ROW()-1,60),ROW()-1,FALSE))</f>
        <v/>
      </c>
      <c r="P152">
        <f ca="1">IF(AND(ISNUMBER($P$355),$B$208=1),$P$355,HLOOKUP(INDIRECT(ADDRESS(2,COLUMN())),OFFSET($BN$2,0,0,ROW()-1,60),ROW()-1,FALSE))</f>
        <v>131955.5471</v>
      </c>
      <c r="Q152" t="str">
        <f ca="1">IF(AND(ISNUMBER($Q$355),$B$208=1),$Q$355,HLOOKUP(INDIRECT(ADDRESS(2,COLUMN())),OFFSET($BN$2,0,0,ROW()-1,60),ROW()-1,FALSE))</f>
        <v/>
      </c>
      <c r="R152">
        <f ca="1">IF(AND(ISNUMBER($R$355),$B$208=1),$R$355,HLOOKUP(INDIRECT(ADDRESS(2,COLUMN())),OFFSET($BN$2,0,0,ROW()-1,60),ROW()-1,FALSE))</f>
        <v>128699.2798</v>
      </c>
      <c r="S152" t="str">
        <f ca="1">IF(AND(ISNUMBER($S$355),$B$208=1),$S$355,HLOOKUP(INDIRECT(ADDRESS(2,COLUMN())),OFFSET($BN$2,0,0,ROW()-1,60),ROW()-1,FALSE))</f>
        <v/>
      </c>
      <c r="T152">
        <f ca="1">IF(AND(ISNUMBER($T$355),$B$208=1),$T$355,HLOOKUP(INDIRECT(ADDRESS(2,COLUMN())),OFFSET($BN$2,0,0,ROW()-1,60),ROW()-1,FALSE))</f>
        <v>125105.0722</v>
      </c>
      <c r="U152" t="str">
        <f ca="1">IF(AND(ISNUMBER($U$355),$B$208=1),$U$355,HLOOKUP(INDIRECT(ADDRESS(2,COLUMN())),OFFSET($BN$2,0,0,ROW()-1,60),ROW()-1,FALSE))</f>
        <v/>
      </c>
      <c r="V152">
        <f ca="1">IF(AND(ISNUMBER($V$355),$B$208=1),$V$355,HLOOKUP(INDIRECT(ADDRESS(2,COLUMN())),OFFSET($BN$2,0,0,ROW()-1,60),ROW()-1,FALSE))</f>
        <v>113366.05319999999</v>
      </c>
      <c r="W152" t="str">
        <f ca="1">IF(AND(ISNUMBER($W$355),$B$208=1),$W$355,HLOOKUP(INDIRECT(ADDRESS(2,COLUMN())),OFFSET($BN$2,0,0,ROW()-1,60),ROW()-1,FALSE))</f>
        <v/>
      </c>
      <c r="X152">
        <f ca="1">IF(AND(ISNUMBER($X$355),$B$208=1),$X$355,HLOOKUP(INDIRECT(ADDRESS(2,COLUMN())),OFFSET($BN$2,0,0,ROW()-1,60),ROW()-1,FALSE))</f>
        <v>124295.117</v>
      </c>
      <c r="Y152" t="str">
        <f ca="1">IF(AND(ISNUMBER($Y$355),$B$208=1),$Y$355,HLOOKUP(INDIRECT(ADDRESS(2,COLUMN())),OFFSET($BN$2,0,0,ROW()-1,60),ROW()-1,FALSE))</f>
        <v/>
      </c>
      <c r="Z152">
        <f ca="1">IF(AND(ISNUMBER($Z$355),$B$208=1),$Z$355,HLOOKUP(INDIRECT(ADDRESS(2,COLUMN())),OFFSET($BN$2,0,0,ROW()-1,60),ROW()-1,FALSE))</f>
        <v>124314.7208</v>
      </c>
      <c r="AA152" t="str">
        <f ca="1">IF(AND(ISNUMBER($AA$355),$B$208=1),$AA$355,HLOOKUP(INDIRECT(ADDRESS(2,COLUMN())),OFFSET($BN$2,0,0,ROW()-1,60),ROW()-1,FALSE))</f>
        <v/>
      </c>
      <c r="AB152">
        <f ca="1">IF(AND(ISNUMBER($AB$355),$B$208=1),$AB$355,HLOOKUP(INDIRECT(ADDRESS(2,COLUMN())),OFFSET($BN$2,0,0,ROW()-1,60),ROW()-1,FALSE))</f>
        <v>123000.2641</v>
      </c>
      <c r="AC152" t="str">
        <f ca="1">IF(AND(ISNUMBER($AC$355),$B$208=1),$AC$355,HLOOKUP(INDIRECT(ADDRESS(2,COLUMN())),OFFSET($BN$2,0,0,ROW()-1,60),ROW()-1,FALSE))</f>
        <v/>
      </c>
      <c r="AD152">
        <f ca="1">IF(AND(ISNUMBER($AD$355),$B$208=1),$AD$355,HLOOKUP(INDIRECT(ADDRESS(2,COLUMN())),OFFSET($BN$2,0,0,ROW()-1,60),ROW()-1,FALSE))</f>
        <v>115827.803</v>
      </c>
      <c r="AE152" t="str">
        <f ca="1">IF(AND(ISNUMBER($AE$355),$B$208=1),$AE$355,HLOOKUP(INDIRECT(ADDRESS(2,COLUMN())),OFFSET($BN$2,0,0,ROW()-1,60),ROW()-1,FALSE))</f>
        <v/>
      </c>
      <c r="AF152">
        <f ca="1">IF(AND(ISNUMBER($AF$355),$B$208=1),$AF$355,HLOOKUP(INDIRECT(ADDRESS(2,COLUMN())),OFFSET($BN$2,0,0,ROW()-1,60),ROW()-1,FALSE))</f>
        <v>115326.71060000001</v>
      </c>
      <c r="AG152" t="str">
        <f ca="1">IF(AND(ISNUMBER($AG$355),$B$208=1),$AG$355,HLOOKUP(INDIRECT(ADDRESS(2,COLUMN())),OFFSET($BN$2,0,0,ROW()-1,60),ROW()-1,FALSE))</f>
        <v/>
      </c>
      <c r="AH152">
        <f ca="1">IF(AND(ISNUMBER($AH$355),$B$208=1),$AH$355,HLOOKUP(INDIRECT(ADDRESS(2,COLUMN())),OFFSET($BN$2,0,0,ROW()-1,60),ROW()-1,FALSE))</f>
        <v>130222.9246</v>
      </c>
      <c r="AI152" t="str">
        <f ca="1">IF(AND(ISNUMBER($AI$355),$B$208=1),$AI$355,HLOOKUP(INDIRECT(ADDRESS(2,COLUMN())),OFFSET($BN$2,0,0,ROW()-1,60),ROW()-1,FALSE))</f>
        <v/>
      </c>
      <c r="AJ152">
        <f ca="1">IF(AND(ISNUMBER($AJ$355),$B$208=1),$AJ$355,HLOOKUP(INDIRECT(ADDRESS(2,COLUMN())),OFFSET($BN$2,0,0,ROW()-1,60),ROW()-1,FALSE))</f>
        <v>128360.64139999999</v>
      </c>
      <c r="AK152" t="str">
        <f ca="1">IF(AND(ISNUMBER($AK$355),$B$208=1),$AK$355,HLOOKUP(INDIRECT(ADDRESS(2,COLUMN())),OFFSET($BN$2,0,0,ROW()-1,60),ROW()-1,FALSE))</f>
        <v/>
      </c>
      <c r="AL152">
        <f ca="1">IF(AND(ISNUMBER($AL$355),$B$208=1),$AL$355,HLOOKUP(INDIRECT(ADDRESS(2,COLUMN())),OFFSET($BN$2,0,0,ROW()-1,60),ROW()-1,FALSE))</f>
        <v>133878.82810000001</v>
      </c>
      <c r="AM152" t="str">
        <f ca="1">IF(AND(ISNUMBER($AM$355),$B$208=1),$AM$355,HLOOKUP(INDIRECT(ADDRESS(2,COLUMN())),OFFSET($BN$2,0,0,ROW()-1,60),ROW()-1,FALSE))</f>
        <v/>
      </c>
      <c r="AN152">
        <f ca="1">IF(AND(ISNUMBER($AN$355),$B$208=1),$AN$355,HLOOKUP(INDIRECT(ADDRESS(2,COLUMN())),OFFSET($BN$2,0,0,ROW()-1,60),ROW()-1,FALSE))</f>
        <v>132424.81709999999</v>
      </c>
      <c r="AO152" t="str">
        <f ca="1">IF(AND(ISNUMBER($AO$355),$B$208=1),$AO$355,HLOOKUP(INDIRECT(ADDRESS(2,COLUMN())),OFFSET($BN$2,0,0,ROW()-1,60),ROW()-1,FALSE))</f>
        <v/>
      </c>
      <c r="AP152" t="str">
        <f ca="1">IF(AND(ISNUMBER($AP$355),$B$208=1),$AP$355,HLOOKUP(INDIRECT(ADDRESS(2,COLUMN())),OFFSET($BN$2,0,0,ROW()-1,60),ROW()-1,FALSE))</f>
        <v/>
      </c>
      <c r="AQ152" t="str">
        <f ca="1">IF(AND(ISNUMBER($AQ$355),$B$208=1),$AQ$355,HLOOKUP(INDIRECT(ADDRESS(2,COLUMN())),OFFSET($BN$2,0,0,ROW()-1,60),ROW()-1,FALSE))</f>
        <v/>
      </c>
      <c r="AR152" t="str">
        <f ca="1">IF(AND(ISNUMBER($AR$355),$B$208=1),$AR$355,HLOOKUP(INDIRECT(ADDRESS(2,COLUMN())),OFFSET($BN$2,0,0,ROW()-1,60),ROW()-1,FALSE))</f>
        <v/>
      </c>
      <c r="AS152" t="str">
        <f ca="1">IF(AND(ISNUMBER($AS$355),$B$208=1),$AS$355,HLOOKUP(INDIRECT(ADDRESS(2,COLUMN())),OFFSET($BN$2,0,0,ROW()-1,60),ROW()-1,FALSE))</f>
        <v/>
      </c>
      <c r="AT152" t="str">
        <f ca="1">IF(AND(ISNUMBER($AT$355),$B$208=1),$AT$355,HLOOKUP(INDIRECT(ADDRESS(2,COLUMN())),OFFSET($BN$2,0,0,ROW()-1,60),ROW()-1,FALSE))</f>
        <v/>
      </c>
      <c r="AU152" t="str">
        <f ca="1">IF(AND(ISNUMBER($AU$355),$B$208=1),$AU$355,HLOOKUP(INDIRECT(ADDRESS(2,COLUMN())),OFFSET($BN$2,0,0,ROW()-1,60),ROW()-1,FALSE))</f>
        <v/>
      </c>
      <c r="AV152" t="str">
        <f ca="1">IF(AND(ISNUMBER($AV$355),$B$208=1),$AV$355,HLOOKUP(INDIRECT(ADDRESS(2,COLUMN())),OFFSET($BN$2,0,0,ROW()-1,60),ROW()-1,FALSE))</f>
        <v/>
      </c>
      <c r="AW152" t="str">
        <f ca="1">IF(AND(ISNUMBER($AW$355),$B$208=1),$AW$355,HLOOKUP(INDIRECT(ADDRESS(2,COLUMN())),OFFSET($BN$2,0,0,ROW()-1,60),ROW()-1,FALSE))</f>
        <v/>
      </c>
      <c r="AX152" t="str">
        <f ca="1">IF(AND(ISNUMBER($AX$355),$B$208=1),$AX$355,HLOOKUP(INDIRECT(ADDRESS(2,COLUMN())),OFFSET($BN$2,0,0,ROW()-1,60),ROW()-1,FALSE))</f>
        <v/>
      </c>
      <c r="AY152" t="str">
        <f ca="1">IF(AND(ISNUMBER($AY$355),$B$208=1),$AY$355,HLOOKUP(INDIRECT(ADDRESS(2,COLUMN())),OFFSET($BN$2,0,0,ROW()-1,60),ROW()-1,FALSE))</f>
        <v/>
      </c>
      <c r="AZ152" t="str">
        <f ca="1">IF(AND(ISNUMBER($AZ$355),$B$208=1),$AZ$355,HLOOKUP(INDIRECT(ADDRESS(2,COLUMN())),OFFSET($BN$2,0,0,ROW()-1,60),ROW()-1,FALSE))</f>
        <v/>
      </c>
      <c r="BA152" t="str">
        <f ca="1">IF(AND(ISNUMBER($BA$355),$B$208=1),$BA$355,HLOOKUP(INDIRECT(ADDRESS(2,COLUMN())),OFFSET($BN$2,0,0,ROW()-1,60),ROW()-1,FALSE))</f>
        <v/>
      </c>
      <c r="BB152" t="str">
        <f ca="1">IF(AND(ISNUMBER($BB$355),$B$208=1),$BB$355,HLOOKUP(INDIRECT(ADDRESS(2,COLUMN())),OFFSET($BN$2,0,0,ROW()-1,60),ROW()-1,FALSE))</f>
        <v/>
      </c>
      <c r="BC152" t="str">
        <f ca="1">IF(AND(ISNUMBER($BC$355),$B$208=1),$BC$355,HLOOKUP(INDIRECT(ADDRESS(2,COLUMN())),OFFSET($BN$2,0,0,ROW()-1,60),ROW()-1,FALSE))</f>
        <v/>
      </c>
      <c r="BD152" t="str">
        <f ca="1">IF(AND(ISNUMBER($BD$355),$B$208=1),$BD$355,HLOOKUP(INDIRECT(ADDRESS(2,COLUMN())),OFFSET($BN$2,0,0,ROW()-1,60),ROW()-1,FALSE))</f>
        <v/>
      </c>
      <c r="BE152" t="str">
        <f ca="1">IF(AND(ISNUMBER($BE$355),$B$208=1),$BE$355,HLOOKUP(INDIRECT(ADDRESS(2,COLUMN())),OFFSET($BN$2,0,0,ROW()-1,60),ROW()-1,FALSE))</f>
        <v/>
      </c>
      <c r="BF152" t="str">
        <f ca="1">IF(AND(ISNUMBER($BF$355),$B$208=1),$BF$355,HLOOKUP(INDIRECT(ADDRESS(2,COLUMN())),OFFSET($BN$2,0,0,ROW()-1,60),ROW()-1,FALSE))</f>
        <v/>
      </c>
      <c r="BG152" t="str">
        <f ca="1">IF(AND(ISNUMBER($BG$355),$B$208=1),$BG$355,HLOOKUP(INDIRECT(ADDRESS(2,COLUMN())),OFFSET($BN$2,0,0,ROW()-1,60),ROW()-1,FALSE))</f>
        <v/>
      </c>
      <c r="BH152" t="str">
        <f ca="1">IF(AND(ISNUMBER($BH$355),$B$208=1),$BH$355,HLOOKUP(INDIRECT(ADDRESS(2,COLUMN())),OFFSET($BN$2,0,0,ROW()-1,60),ROW()-1,FALSE))</f>
        <v/>
      </c>
      <c r="BI152" t="str">
        <f ca="1">IF(AND(ISNUMBER($BI$355),$B$208=1),$BI$355,HLOOKUP(INDIRECT(ADDRESS(2,COLUMN())),OFFSET($BN$2,0,0,ROW()-1,60),ROW()-1,FALSE))</f>
        <v/>
      </c>
      <c r="BJ152" t="str">
        <f ca="1">IF(AND(ISNUMBER($BJ$355),$B$208=1),$BJ$355,HLOOKUP(INDIRECT(ADDRESS(2,COLUMN())),OFFSET($BN$2,0,0,ROW()-1,60),ROW()-1,FALSE))</f>
        <v/>
      </c>
      <c r="BK152" t="str">
        <f ca="1">IF(AND(ISNUMBER($BK$355),$B$208=1),$BK$355,HLOOKUP(INDIRECT(ADDRESS(2,COLUMN())),OFFSET($BN$2,0,0,ROW()-1,60),ROW()-1,FALSE))</f>
        <v/>
      </c>
      <c r="BL152" t="str">
        <f ca="1">IF(AND(ISNUMBER($BL$355),$B$208=1),$BL$355,HLOOKUP(INDIRECT(ADDRESS(2,COLUMN())),OFFSET($BN$2,0,0,ROW()-1,60),ROW()-1,FALSE))</f>
        <v/>
      </c>
      <c r="BM152" t="str">
        <f ca="1">IF(AND(ISNUMBER($BM$355),$B$208=1),$BM$355,HLOOKUP(INDIRECT(ADDRESS(2,COLUMN())),OFFSET($BN$2,0,0,ROW()-1,60),ROW()-1,FALSE))</f>
        <v/>
      </c>
      <c r="BN152">
        <f>136384.1917</f>
        <v>136384.1917</v>
      </c>
      <c r="BO152" t="str">
        <f>""</f>
        <v/>
      </c>
      <c r="BP152">
        <f>127728.6301</f>
        <v>127728.63009999999</v>
      </c>
      <c r="BQ152" t="str">
        <f>""</f>
        <v/>
      </c>
      <c r="BR152">
        <f>124131.4172</f>
        <v>124131.4172</v>
      </c>
      <c r="BS152" t="str">
        <f>""</f>
        <v/>
      </c>
      <c r="BT152">
        <f>122695.5486</f>
        <v>122695.54859999999</v>
      </c>
      <c r="BU152" t="str">
        <f>""</f>
        <v/>
      </c>
      <c r="BV152">
        <f>137093.6421</f>
        <v>137093.6421</v>
      </c>
      <c r="BW152" t="str">
        <f>""</f>
        <v/>
      </c>
      <c r="BX152">
        <f>131955.5471</f>
        <v>131955.5471</v>
      </c>
      <c r="BY152" t="str">
        <f>""</f>
        <v/>
      </c>
      <c r="BZ152">
        <f>128699.2798</f>
        <v>128699.2798</v>
      </c>
      <c r="CA152" t="str">
        <f>""</f>
        <v/>
      </c>
      <c r="CB152">
        <f>125105.0722</f>
        <v>125105.0722</v>
      </c>
      <c r="CC152" t="str">
        <f>""</f>
        <v/>
      </c>
      <c r="CD152">
        <f>113366.0532</f>
        <v>113366.05319999999</v>
      </c>
      <c r="CE152" t="str">
        <f>""</f>
        <v/>
      </c>
      <c r="CF152">
        <f>124295.117</f>
        <v>124295.117</v>
      </c>
      <c r="CG152" t="str">
        <f>""</f>
        <v/>
      </c>
      <c r="CH152">
        <f>124314.7208</f>
        <v>124314.7208</v>
      </c>
      <c r="CI152" t="str">
        <f>""</f>
        <v/>
      </c>
      <c r="CJ152">
        <f>123000.2641</f>
        <v>123000.2641</v>
      </c>
      <c r="CK152" t="str">
        <f>""</f>
        <v/>
      </c>
      <c r="CL152">
        <f>115827.803</f>
        <v>115827.803</v>
      </c>
      <c r="CM152" t="str">
        <f>""</f>
        <v/>
      </c>
      <c r="CN152">
        <f>115326.7106</f>
        <v>115326.71060000001</v>
      </c>
      <c r="CO152" t="str">
        <f>""</f>
        <v/>
      </c>
      <c r="CP152">
        <f>130222.9246</f>
        <v>130222.9246</v>
      </c>
      <c r="CQ152" t="str">
        <f>""</f>
        <v/>
      </c>
      <c r="CR152">
        <f>128360.6414</f>
        <v>128360.64139999999</v>
      </c>
      <c r="CS152" t="str">
        <f>""</f>
        <v/>
      </c>
      <c r="CT152">
        <f>133878.8281</f>
        <v>133878.82810000001</v>
      </c>
      <c r="CU152" t="str">
        <f>""</f>
        <v/>
      </c>
      <c r="CV152">
        <f>132424.8171</f>
        <v>132424.81709999999</v>
      </c>
      <c r="CW152" t="str">
        <f>""</f>
        <v/>
      </c>
      <c r="CX152" t="str">
        <f>""</f>
        <v/>
      </c>
      <c r="CY152" t="str">
        <f>""</f>
        <v/>
      </c>
      <c r="CZ152" t="str">
        <f>""</f>
        <v/>
      </c>
      <c r="DA152" t="str">
        <f>""</f>
        <v/>
      </c>
      <c r="DB152" t="str">
        <f>""</f>
        <v/>
      </c>
      <c r="DC152" t="str">
        <f>""</f>
        <v/>
      </c>
      <c r="DD152" t="str">
        <f>""</f>
        <v/>
      </c>
      <c r="DE152" t="str">
        <f>""</f>
        <v/>
      </c>
      <c r="DF152" t="str">
        <f>""</f>
        <v/>
      </c>
      <c r="DG152" t="str">
        <f>""</f>
        <v/>
      </c>
      <c r="DH152" t="str">
        <f>""</f>
        <v/>
      </c>
      <c r="DI152" t="str">
        <f>""</f>
        <v/>
      </c>
      <c r="DJ152" t="str">
        <f>""</f>
        <v/>
      </c>
      <c r="DK152" t="str">
        <f>""</f>
        <v/>
      </c>
      <c r="DL152" t="str">
        <f>""</f>
        <v/>
      </c>
      <c r="DM152" t="str">
        <f>""</f>
        <v/>
      </c>
      <c r="DN152" t="str">
        <f>""</f>
        <v/>
      </c>
      <c r="DO152" t="str">
        <f>""</f>
        <v/>
      </c>
      <c r="DP152" t="str">
        <f>""</f>
        <v/>
      </c>
      <c r="DQ152" t="str">
        <f>""</f>
        <v/>
      </c>
      <c r="DR152" t="str">
        <f>""</f>
        <v/>
      </c>
      <c r="DS152" t="str">
        <f>""</f>
        <v/>
      </c>
      <c r="DT152" t="str">
        <f>""</f>
        <v/>
      </c>
      <c r="DU152" t="str">
        <f>""</f>
        <v/>
      </c>
    </row>
    <row r="153" spans="1:125" x14ac:dyDescent="0.25">
      <c r="A153" t="str">
        <f>"    UBS Group AG"</f>
        <v xml:space="preserve">    UBS Group AG</v>
      </c>
      <c r="B153" t="str">
        <f>"UBSG SW Equity"</f>
        <v>UBSG SW Equity</v>
      </c>
      <c r="C153" t="str">
        <f t="shared" si="9"/>
        <v>BS016</v>
      </c>
      <c r="D153" t="str">
        <f t="shared" si="10"/>
        <v>BS_COMM_LOAN</v>
      </c>
      <c r="E153" t="str">
        <f t="shared" si="11"/>
        <v>Dynamic</v>
      </c>
      <c r="F153">
        <f ca="1">IF(AND(ISNUMBER($F$356),$B$208=1),$F$356,HLOOKUP(INDIRECT(ADDRESS(2,COLUMN())),OFFSET($BN$2,0,0,ROW()-1,60),ROW()-1,FALSE))</f>
        <v>24985.988979999998</v>
      </c>
      <c r="G153">
        <f ca="1">IF(AND(ISNUMBER($G$356),$B$208=1),$G$356,HLOOKUP(INDIRECT(ADDRESS(2,COLUMN())),OFFSET($BN$2,0,0,ROW()-1,60),ROW()-1,FALSE))</f>
        <v>22116.971649999999</v>
      </c>
      <c r="H153">
        <f ca="1">IF(AND(ISNUMBER($H$356),$B$208=1),$H$356,HLOOKUP(INDIRECT(ADDRESS(2,COLUMN())),OFFSET($BN$2,0,0,ROW()-1,60),ROW()-1,FALSE))</f>
        <v>23584.359840000001</v>
      </c>
      <c r="I153">
        <f ca="1">IF(AND(ISNUMBER($I$356),$B$208=1),$I$356,HLOOKUP(INDIRECT(ADDRESS(2,COLUMN())),OFFSET($BN$2,0,0,ROW()-1,60),ROW()-1,FALSE))</f>
        <v>21128.927609999999</v>
      </c>
      <c r="J153">
        <f ca="1">IF(AND(ISNUMBER($J$356),$B$208=1),$J$356,HLOOKUP(INDIRECT(ADDRESS(2,COLUMN())),OFFSET($BN$2,0,0,ROW()-1,60),ROW()-1,FALSE))</f>
        <v>19013.919020000001</v>
      </c>
      <c r="K153">
        <f ca="1">IF(AND(ISNUMBER($K$356),$B$208=1),$K$356,HLOOKUP(INDIRECT(ADDRESS(2,COLUMN())),OFFSET($BN$2,0,0,ROW()-1,60),ROW()-1,FALSE))</f>
        <v>23266.212889999999</v>
      </c>
      <c r="L153">
        <f ca="1">IF(AND(ISNUMBER($L$356),$B$208=1),$L$356,HLOOKUP(INDIRECT(ADDRESS(2,COLUMN())),OFFSET($BN$2,0,0,ROW()-1,60),ROW()-1,FALSE))</f>
        <v>19726.140319999999</v>
      </c>
      <c r="M153">
        <f ca="1">IF(AND(ISNUMBER($M$356),$B$208=1),$M$356,HLOOKUP(INDIRECT(ADDRESS(2,COLUMN())),OFFSET($BN$2,0,0,ROW()-1,60),ROW()-1,FALSE))</f>
        <v>19344.00589</v>
      </c>
      <c r="N153">
        <f ca="1">IF(AND(ISNUMBER($N$356),$B$208=1),$N$356,HLOOKUP(INDIRECT(ADDRESS(2,COLUMN())),OFFSET($BN$2,0,0,ROW()-1,60),ROW()-1,FALSE))</f>
        <v>16409.298849999999</v>
      </c>
      <c r="O153">
        <f ca="1">IF(AND(ISNUMBER($O$356),$B$208=1),$O$356,HLOOKUP(INDIRECT(ADDRESS(2,COLUMN())),OFFSET($BN$2,0,0,ROW()-1,60),ROW()-1,FALSE))</f>
        <v>22992.849849999999</v>
      </c>
      <c r="P153">
        <f ca="1">IF(AND(ISNUMBER($P$356),$B$208=1),$P$356,HLOOKUP(INDIRECT(ADDRESS(2,COLUMN())),OFFSET($BN$2,0,0,ROW()-1,60),ROW()-1,FALSE))</f>
        <v>18400.267100000001</v>
      </c>
      <c r="Q153">
        <f ca="1">IF(AND(ISNUMBER($Q$356),$B$208=1),$Q$356,HLOOKUP(INDIRECT(ADDRESS(2,COLUMN())),OFFSET($BN$2,0,0,ROW()-1,60),ROW()-1,FALSE))</f>
        <v>18734.885399999999</v>
      </c>
      <c r="R153">
        <f ca="1">IF(AND(ISNUMBER($R$356),$B$208=1),$R$356,HLOOKUP(INDIRECT(ADDRESS(2,COLUMN())),OFFSET($BN$2,0,0,ROW()-1,60),ROW()-1,FALSE))</f>
        <v>19180.572629999999</v>
      </c>
      <c r="S153">
        <f ca="1">IF(AND(ISNUMBER($S$356),$B$208=1),$S$356,HLOOKUP(INDIRECT(ADDRESS(2,COLUMN())),OFFSET($BN$2,0,0,ROW()-1,60),ROW()-1,FALSE))</f>
        <v>17929.30602</v>
      </c>
      <c r="T153">
        <f ca="1">IF(AND(ISNUMBER($T$356),$B$208=1),$T$356,HLOOKUP(INDIRECT(ADDRESS(2,COLUMN())),OFFSET($BN$2,0,0,ROW()-1,60),ROW()-1,FALSE))</f>
        <v>19419.360280000001</v>
      </c>
      <c r="U153">
        <f ca="1">IF(AND(ISNUMBER($U$356),$B$208=1),$U$356,HLOOKUP(INDIRECT(ADDRESS(2,COLUMN())),OFFSET($BN$2,0,0,ROW()-1,60),ROW()-1,FALSE))</f>
        <v>20596.595740000001</v>
      </c>
      <c r="V153">
        <f ca="1">IF(AND(ISNUMBER($V$356),$B$208=1),$V$356,HLOOKUP(INDIRECT(ADDRESS(2,COLUMN())),OFFSET($BN$2,0,0,ROW()-1,60),ROW()-1,FALSE))</f>
        <v>20170.961149999999</v>
      </c>
      <c r="W153">
        <f ca="1">IF(AND(ISNUMBER($W$356),$B$208=1),$W$356,HLOOKUP(INDIRECT(ADDRESS(2,COLUMN())),OFFSET($BN$2,0,0,ROW()-1,60),ROW()-1,FALSE))</f>
        <v>17855.31479</v>
      </c>
      <c r="X153">
        <f ca="1">IF(AND(ISNUMBER($X$356),$B$208=1),$X$356,HLOOKUP(INDIRECT(ADDRESS(2,COLUMN())),OFFSET($BN$2,0,0,ROW()-1,60),ROW()-1,FALSE))</f>
        <v>17653.651160000001</v>
      </c>
      <c r="Y153">
        <f ca="1">IF(AND(ISNUMBER($Y$356),$B$208=1),$Y$356,HLOOKUP(INDIRECT(ADDRESS(2,COLUMN())),OFFSET($BN$2,0,0,ROW()-1,60),ROW()-1,FALSE))</f>
        <v>18520.645339999999</v>
      </c>
      <c r="Z153">
        <f ca="1">IF(AND(ISNUMBER($Z$356),$B$208=1),$Z$356,HLOOKUP(INDIRECT(ADDRESS(2,COLUMN())),OFFSET($BN$2,0,0,ROW()-1,60),ROW()-1,FALSE))</f>
        <v>16036.15638</v>
      </c>
      <c r="AA153">
        <f ca="1">IF(AND(ISNUMBER($AA$356),$B$208=1),$AA$356,HLOOKUP(INDIRECT(ADDRESS(2,COLUMN())),OFFSET($BN$2,0,0,ROW()-1,60),ROW()-1,FALSE))</f>
        <v>16190.956620000001</v>
      </c>
      <c r="AB153">
        <f ca="1">IF(AND(ISNUMBER($AB$356),$B$208=1),$AB$356,HLOOKUP(INDIRECT(ADDRESS(2,COLUMN())),OFFSET($BN$2,0,0,ROW()-1,60),ROW()-1,FALSE))</f>
        <v>14891.27564</v>
      </c>
      <c r="AC153">
        <f ca="1">IF(AND(ISNUMBER($AC$356),$B$208=1),$AC$356,HLOOKUP(INDIRECT(ADDRESS(2,COLUMN())),OFFSET($BN$2,0,0,ROW()-1,60),ROW()-1,FALSE))</f>
        <v>14504.054899999999</v>
      </c>
      <c r="AD153">
        <f ca="1">IF(AND(ISNUMBER($AD$356),$B$208=1),$AD$356,HLOOKUP(INDIRECT(ADDRESS(2,COLUMN())),OFFSET($BN$2,0,0,ROW()-1,60),ROW()-1,FALSE))</f>
        <v>65165.909879999999</v>
      </c>
      <c r="AE153">
        <f ca="1">IF(AND(ISNUMBER($AE$356),$B$208=1),$AE$356,HLOOKUP(INDIRECT(ADDRESS(2,COLUMN())),OFFSET($BN$2,0,0,ROW()-1,60),ROW()-1,FALSE))</f>
        <v>65971.241599999994</v>
      </c>
      <c r="AF153">
        <f ca="1">IF(AND(ISNUMBER($AF$356),$B$208=1),$AF$356,HLOOKUP(INDIRECT(ADDRESS(2,COLUMN())),OFFSET($BN$2,0,0,ROW()-1,60),ROW()-1,FALSE))</f>
        <v>15770.317719999999</v>
      </c>
      <c r="AG153">
        <f ca="1">IF(AND(ISNUMBER($AG$356),$B$208=1),$AG$356,HLOOKUP(INDIRECT(ADDRESS(2,COLUMN())),OFFSET($BN$2,0,0,ROW()-1,60),ROW()-1,FALSE))</f>
        <v>16427.354589999999</v>
      </c>
      <c r="AH153">
        <f ca="1">IF(AND(ISNUMBER($AH$356),$B$208=1),$AH$356,HLOOKUP(INDIRECT(ADDRESS(2,COLUMN())),OFFSET($BN$2,0,0,ROW()-1,60),ROW()-1,FALSE))</f>
        <v>15568.956910000001</v>
      </c>
      <c r="AI153" t="str">
        <f ca="1">IF(AND(ISNUMBER($AI$356),$B$208=1),$AI$356,HLOOKUP(INDIRECT(ADDRESS(2,COLUMN())),OFFSET($BN$2,0,0,ROW()-1,60),ROW()-1,FALSE))</f>
        <v/>
      </c>
      <c r="AJ153">
        <f ca="1">IF(AND(ISNUMBER($AJ$356),$B$208=1),$AJ$356,HLOOKUP(INDIRECT(ADDRESS(2,COLUMN())),OFFSET($BN$2,0,0,ROW()-1,60),ROW()-1,FALSE))</f>
        <v>270665.03110000002</v>
      </c>
      <c r="AK153" t="str">
        <f ca="1">IF(AND(ISNUMBER($AK$356),$B$208=1),$AK$356,HLOOKUP(INDIRECT(ADDRESS(2,COLUMN())),OFFSET($BN$2,0,0,ROW()-1,60),ROW()-1,FALSE))</f>
        <v/>
      </c>
      <c r="AL153">
        <f ca="1">IF(AND(ISNUMBER($AL$356),$B$208=1),$AL$356,HLOOKUP(INDIRECT(ADDRESS(2,COLUMN())),OFFSET($BN$2,0,0,ROW()-1,60),ROW()-1,FALSE))</f>
        <v>18423.049589999999</v>
      </c>
      <c r="AM153" t="str">
        <f ca="1">IF(AND(ISNUMBER($AM$356),$B$208=1),$AM$356,HLOOKUP(INDIRECT(ADDRESS(2,COLUMN())),OFFSET($BN$2,0,0,ROW()-1,60),ROW()-1,FALSE))</f>
        <v/>
      </c>
      <c r="AN153" t="str">
        <f ca="1">IF(AND(ISNUMBER($AN$356),$B$208=1),$AN$356,HLOOKUP(INDIRECT(ADDRESS(2,COLUMN())),OFFSET($BN$2,0,0,ROW()-1,60),ROW()-1,FALSE))</f>
        <v/>
      </c>
      <c r="AO153" t="str">
        <f ca="1">IF(AND(ISNUMBER($AO$356),$B$208=1),$AO$356,HLOOKUP(INDIRECT(ADDRESS(2,COLUMN())),OFFSET($BN$2,0,0,ROW()-1,60),ROW()-1,FALSE))</f>
        <v/>
      </c>
      <c r="AP153">
        <f ca="1">IF(AND(ISNUMBER($AP$356),$B$208=1),$AP$356,HLOOKUP(INDIRECT(ADDRESS(2,COLUMN())),OFFSET($BN$2,0,0,ROW()-1,60),ROW()-1,FALSE))</f>
        <v>19800.712899999999</v>
      </c>
      <c r="AQ153" t="str">
        <f ca="1">IF(AND(ISNUMBER($AQ$356),$B$208=1),$AQ$356,HLOOKUP(INDIRECT(ADDRESS(2,COLUMN())),OFFSET($BN$2,0,0,ROW()-1,60),ROW()-1,FALSE))</f>
        <v/>
      </c>
      <c r="AR153" t="str">
        <f ca="1">IF(AND(ISNUMBER($AR$356),$B$208=1),$AR$356,HLOOKUP(INDIRECT(ADDRESS(2,COLUMN())),OFFSET($BN$2,0,0,ROW()-1,60),ROW()-1,FALSE))</f>
        <v/>
      </c>
      <c r="AS153" t="str">
        <f ca="1">IF(AND(ISNUMBER($AS$356),$B$208=1),$AS$356,HLOOKUP(INDIRECT(ADDRESS(2,COLUMN())),OFFSET($BN$2,0,0,ROW()-1,60),ROW()-1,FALSE))</f>
        <v/>
      </c>
      <c r="AT153">
        <f ca="1">IF(AND(ISNUMBER($AT$356),$B$208=1),$AT$356,HLOOKUP(INDIRECT(ADDRESS(2,COLUMN())),OFFSET($BN$2,0,0,ROW()-1,60),ROW()-1,FALSE))</f>
        <v>18599.406790000001</v>
      </c>
      <c r="AU153" t="str">
        <f ca="1">IF(AND(ISNUMBER($AU$356),$B$208=1),$AU$356,HLOOKUP(INDIRECT(ADDRESS(2,COLUMN())),OFFSET($BN$2,0,0,ROW()-1,60),ROW()-1,FALSE))</f>
        <v/>
      </c>
      <c r="AV153" t="str">
        <f ca="1">IF(AND(ISNUMBER($AV$356),$B$208=1),$AV$356,HLOOKUP(INDIRECT(ADDRESS(2,COLUMN())),OFFSET($BN$2,0,0,ROW()-1,60),ROW()-1,FALSE))</f>
        <v/>
      </c>
      <c r="AW153" t="str">
        <f ca="1">IF(AND(ISNUMBER($AW$356),$B$208=1),$AW$356,HLOOKUP(INDIRECT(ADDRESS(2,COLUMN())),OFFSET($BN$2,0,0,ROW()-1,60),ROW()-1,FALSE))</f>
        <v/>
      </c>
      <c r="AX153">
        <f ca="1">IF(AND(ISNUMBER($AX$356),$B$208=1),$AX$356,HLOOKUP(INDIRECT(ADDRESS(2,COLUMN())),OFFSET($BN$2,0,0,ROW()-1,60),ROW()-1,FALSE))</f>
        <v>18539.276409999999</v>
      </c>
      <c r="AY153" t="str">
        <f ca="1">IF(AND(ISNUMBER($AY$356),$B$208=1),$AY$356,HLOOKUP(INDIRECT(ADDRESS(2,COLUMN())),OFFSET($BN$2,0,0,ROW()-1,60),ROW()-1,FALSE))</f>
        <v/>
      </c>
      <c r="AZ153" t="str">
        <f ca="1">IF(AND(ISNUMBER($AZ$356),$B$208=1),$AZ$356,HLOOKUP(INDIRECT(ADDRESS(2,COLUMN())),OFFSET($BN$2,0,0,ROW()-1,60),ROW()-1,FALSE))</f>
        <v/>
      </c>
      <c r="BA153" t="str">
        <f ca="1">IF(AND(ISNUMBER($BA$356),$B$208=1),$BA$356,HLOOKUP(INDIRECT(ADDRESS(2,COLUMN())),OFFSET($BN$2,0,0,ROW()-1,60),ROW()-1,FALSE))</f>
        <v/>
      </c>
      <c r="BB153">
        <f ca="1">IF(AND(ISNUMBER($BB$356),$B$208=1),$BB$356,HLOOKUP(INDIRECT(ADDRESS(2,COLUMN())),OFFSET($BN$2,0,0,ROW()-1,60),ROW()-1,FALSE))</f>
        <v>18575.844420000001</v>
      </c>
      <c r="BC153" t="str">
        <f ca="1">IF(AND(ISNUMBER($BC$356),$B$208=1),$BC$356,HLOOKUP(INDIRECT(ADDRESS(2,COLUMN())),OFFSET($BN$2,0,0,ROW()-1,60),ROW()-1,FALSE))</f>
        <v/>
      </c>
      <c r="BD153" t="str">
        <f ca="1">IF(AND(ISNUMBER($BD$356),$B$208=1),$BD$356,HLOOKUP(INDIRECT(ADDRESS(2,COLUMN())),OFFSET($BN$2,0,0,ROW()-1,60),ROW()-1,FALSE))</f>
        <v/>
      </c>
      <c r="BE153" t="str">
        <f ca="1">IF(AND(ISNUMBER($BE$356),$B$208=1),$BE$356,HLOOKUP(INDIRECT(ADDRESS(2,COLUMN())),OFFSET($BN$2,0,0,ROW()-1,60),ROW()-1,FALSE))</f>
        <v/>
      </c>
      <c r="BF153">
        <f ca="1">IF(AND(ISNUMBER($BF$356),$B$208=1),$BF$356,HLOOKUP(INDIRECT(ADDRESS(2,COLUMN())),OFFSET($BN$2,0,0,ROW()-1,60),ROW()-1,FALSE))</f>
        <v>17464.887739999998</v>
      </c>
      <c r="BG153" t="str">
        <f ca="1">IF(AND(ISNUMBER($BG$356),$B$208=1),$BG$356,HLOOKUP(INDIRECT(ADDRESS(2,COLUMN())),OFFSET($BN$2,0,0,ROW()-1,60),ROW()-1,FALSE))</f>
        <v/>
      </c>
      <c r="BH153" t="str">
        <f ca="1">IF(AND(ISNUMBER($BH$356),$B$208=1),$BH$356,HLOOKUP(INDIRECT(ADDRESS(2,COLUMN())),OFFSET($BN$2,0,0,ROW()-1,60),ROW()-1,FALSE))</f>
        <v/>
      </c>
      <c r="BI153" t="str">
        <f ca="1">IF(AND(ISNUMBER($BI$356),$B$208=1),$BI$356,HLOOKUP(INDIRECT(ADDRESS(2,COLUMN())),OFFSET($BN$2,0,0,ROW()-1,60),ROW()-1,FALSE))</f>
        <v/>
      </c>
      <c r="BJ153">
        <f ca="1">IF(AND(ISNUMBER($BJ$356),$B$208=1),$BJ$356,HLOOKUP(INDIRECT(ADDRESS(2,COLUMN())),OFFSET($BN$2,0,0,ROW()-1,60),ROW()-1,FALSE))</f>
        <v>16312.427739999999</v>
      </c>
      <c r="BK153" t="str">
        <f ca="1">IF(AND(ISNUMBER($BK$356),$B$208=1),$BK$356,HLOOKUP(INDIRECT(ADDRESS(2,COLUMN())),OFFSET($BN$2,0,0,ROW()-1,60),ROW()-1,FALSE))</f>
        <v/>
      </c>
      <c r="BL153" t="str">
        <f ca="1">IF(AND(ISNUMBER($BL$356),$B$208=1),$BL$356,HLOOKUP(INDIRECT(ADDRESS(2,COLUMN())),OFFSET($BN$2,0,0,ROW()-1,60),ROW()-1,FALSE))</f>
        <v/>
      </c>
      <c r="BM153" t="str">
        <f ca="1">IF(AND(ISNUMBER($BM$356),$B$208=1),$BM$356,HLOOKUP(INDIRECT(ADDRESS(2,COLUMN())),OFFSET($BN$2,0,0,ROW()-1,60),ROW()-1,FALSE))</f>
        <v/>
      </c>
      <c r="BN153">
        <f>24985.98898</f>
        <v>24985.988979999998</v>
      </c>
      <c r="BO153">
        <f>22116.97165</f>
        <v>22116.971649999999</v>
      </c>
      <c r="BP153">
        <f>23584.35984</f>
        <v>23584.359840000001</v>
      </c>
      <c r="BQ153">
        <f>21128.92761</f>
        <v>21128.927609999999</v>
      </c>
      <c r="BR153">
        <f>19013.91902</f>
        <v>19013.919020000001</v>
      </c>
      <c r="BS153">
        <f>23266.21289</f>
        <v>23266.212889999999</v>
      </c>
      <c r="BT153">
        <f>19726.14032</f>
        <v>19726.140319999999</v>
      </c>
      <c r="BU153">
        <f>19344.00589</f>
        <v>19344.00589</v>
      </c>
      <c r="BV153">
        <f>16409.29885</f>
        <v>16409.298849999999</v>
      </c>
      <c r="BW153">
        <f>22992.84985</f>
        <v>22992.849849999999</v>
      </c>
      <c r="BX153">
        <f>18400.2671</f>
        <v>18400.267100000001</v>
      </c>
      <c r="BY153">
        <f>18734.8854</f>
        <v>18734.885399999999</v>
      </c>
      <c r="BZ153">
        <f>19180.57263</f>
        <v>19180.572629999999</v>
      </c>
      <c r="CA153">
        <f>17929.30602</f>
        <v>17929.30602</v>
      </c>
      <c r="CB153">
        <f>19419.36028</f>
        <v>19419.360280000001</v>
      </c>
      <c r="CC153">
        <f>20596.59574</f>
        <v>20596.595740000001</v>
      </c>
      <c r="CD153">
        <f>20170.96115</f>
        <v>20170.961149999999</v>
      </c>
      <c r="CE153">
        <f>17855.31479</f>
        <v>17855.31479</v>
      </c>
      <c r="CF153">
        <f>17653.65116</f>
        <v>17653.651160000001</v>
      </c>
      <c r="CG153">
        <f>18520.64534</f>
        <v>18520.645339999999</v>
      </c>
      <c r="CH153">
        <f>16036.15638</f>
        <v>16036.15638</v>
      </c>
      <c r="CI153">
        <f>16190.95662</f>
        <v>16190.956620000001</v>
      </c>
      <c r="CJ153">
        <f>14891.27564</f>
        <v>14891.27564</v>
      </c>
      <c r="CK153">
        <f>14504.0549</f>
        <v>14504.054899999999</v>
      </c>
      <c r="CL153">
        <f>65165.90988</f>
        <v>65165.909879999999</v>
      </c>
      <c r="CM153">
        <f>65971.2416</f>
        <v>65971.241599999994</v>
      </c>
      <c r="CN153">
        <f>15770.31772</f>
        <v>15770.317719999999</v>
      </c>
      <c r="CO153">
        <f>16427.35459</f>
        <v>16427.354589999999</v>
      </c>
      <c r="CP153">
        <f>15568.95691</f>
        <v>15568.956910000001</v>
      </c>
      <c r="CQ153" t="str">
        <f>""</f>
        <v/>
      </c>
      <c r="CR153">
        <f>270665.0311</f>
        <v>270665.03110000002</v>
      </c>
      <c r="CS153" t="str">
        <f>""</f>
        <v/>
      </c>
      <c r="CT153">
        <f>18423.04959</f>
        <v>18423.049589999999</v>
      </c>
      <c r="CU153" t="str">
        <f>""</f>
        <v/>
      </c>
      <c r="CV153" t="str">
        <f>""</f>
        <v/>
      </c>
      <c r="CW153" t="str">
        <f>""</f>
        <v/>
      </c>
      <c r="CX153">
        <f>19800.7129</f>
        <v>19800.712899999999</v>
      </c>
      <c r="CY153" t="str">
        <f>""</f>
        <v/>
      </c>
      <c r="CZ153" t="str">
        <f>""</f>
        <v/>
      </c>
      <c r="DA153" t="str">
        <f>""</f>
        <v/>
      </c>
      <c r="DB153">
        <f>18599.40679</f>
        <v>18599.406790000001</v>
      </c>
      <c r="DC153" t="str">
        <f>""</f>
        <v/>
      </c>
      <c r="DD153" t="str">
        <f>""</f>
        <v/>
      </c>
      <c r="DE153" t="str">
        <f>""</f>
        <v/>
      </c>
      <c r="DF153">
        <f>18539.27641</f>
        <v>18539.276409999999</v>
      </c>
      <c r="DG153" t="str">
        <f>""</f>
        <v/>
      </c>
      <c r="DH153" t="str">
        <f>""</f>
        <v/>
      </c>
      <c r="DI153" t="str">
        <f>""</f>
        <v/>
      </c>
      <c r="DJ153">
        <f>18575.84442</f>
        <v>18575.844420000001</v>
      </c>
      <c r="DK153" t="str">
        <f>""</f>
        <v/>
      </c>
      <c r="DL153" t="str">
        <f>""</f>
        <v/>
      </c>
      <c r="DM153" t="str">
        <f>""</f>
        <v/>
      </c>
      <c r="DN153">
        <f>17464.88774</f>
        <v>17464.887739999998</v>
      </c>
      <c r="DO153" t="str">
        <f>""</f>
        <v/>
      </c>
      <c r="DP153" t="str">
        <f>""</f>
        <v/>
      </c>
      <c r="DQ153" t="str">
        <f>""</f>
        <v/>
      </c>
      <c r="DR153">
        <f>16312.42774</f>
        <v>16312.427739999999</v>
      </c>
      <c r="DS153" t="str">
        <f>""</f>
        <v/>
      </c>
      <c r="DT153" t="str">
        <f>""</f>
        <v/>
      </c>
      <c r="DU153" t="str">
        <f>""</f>
        <v/>
      </c>
    </row>
    <row r="154" spans="1:125" x14ac:dyDescent="0.25">
      <c r="A154" t="str">
        <f>"    UniCredit SpA"</f>
        <v xml:space="preserve">    UniCredit SpA</v>
      </c>
      <c r="B154" t="str">
        <f>"UCG IM Equity"</f>
        <v>UCG IM Equity</v>
      </c>
      <c r="C154" t="str">
        <f t="shared" si="9"/>
        <v>BS016</v>
      </c>
      <c r="D154" t="str">
        <f t="shared" si="10"/>
        <v>BS_COMM_LOAN</v>
      </c>
      <c r="E154" t="str">
        <f t="shared" si="11"/>
        <v>Dynamic</v>
      </c>
      <c r="F154" t="str">
        <f ca="1">IF(AND(ISNUMBER($F$357),$B$208=1),$F$357,HLOOKUP(INDIRECT(ADDRESS(2,COLUMN())),OFFSET($BN$2,0,0,ROW()-1,60),ROW()-1,FALSE))</f>
        <v/>
      </c>
      <c r="G154" t="str">
        <f ca="1">IF(AND(ISNUMBER($G$357),$B$208=1),$G$357,HLOOKUP(INDIRECT(ADDRESS(2,COLUMN())),OFFSET($BN$2,0,0,ROW()-1,60),ROW()-1,FALSE))</f>
        <v/>
      </c>
      <c r="H154" t="str">
        <f ca="1">IF(AND(ISNUMBER($H$357),$B$208=1),$H$357,HLOOKUP(INDIRECT(ADDRESS(2,COLUMN())),OFFSET($BN$2,0,0,ROW()-1,60),ROW()-1,FALSE))</f>
        <v/>
      </c>
      <c r="I154" t="str">
        <f ca="1">IF(AND(ISNUMBER($I$357),$B$208=1),$I$357,HLOOKUP(INDIRECT(ADDRESS(2,COLUMN())),OFFSET($BN$2,0,0,ROW()-1,60),ROW()-1,FALSE))</f>
        <v/>
      </c>
      <c r="J154" t="str">
        <f ca="1">IF(AND(ISNUMBER($J$357),$B$208=1),$J$357,HLOOKUP(INDIRECT(ADDRESS(2,COLUMN())),OFFSET($BN$2,0,0,ROW()-1,60),ROW()-1,FALSE))</f>
        <v/>
      </c>
      <c r="K154" t="str">
        <f ca="1">IF(AND(ISNUMBER($K$357),$B$208=1),$K$357,HLOOKUP(INDIRECT(ADDRESS(2,COLUMN())),OFFSET($BN$2,0,0,ROW()-1,60),ROW()-1,FALSE))</f>
        <v/>
      </c>
      <c r="L154" t="str">
        <f ca="1">IF(AND(ISNUMBER($L$357),$B$208=1),$L$357,HLOOKUP(INDIRECT(ADDRESS(2,COLUMN())),OFFSET($BN$2,0,0,ROW()-1,60),ROW()-1,FALSE))</f>
        <v/>
      </c>
      <c r="M154" t="str">
        <f ca="1">IF(AND(ISNUMBER($M$357),$B$208=1),$M$357,HLOOKUP(INDIRECT(ADDRESS(2,COLUMN())),OFFSET($BN$2,0,0,ROW()-1,60),ROW()-1,FALSE))</f>
        <v/>
      </c>
      <c r="N154" t="str">
        <f ca="1">IF(AND(ISNUMBER($N$357),$B$208=1),$N$357,HLOOKUP(INDIRECT(ADDRESS(2,COLUMN())),OFFSET($BN$2,0,0,ROW()-1,60),ROW()-1,FALSE))</f>
        <v/>
      </c>
      <c r="O154" t="str">
        <f ca="1">IF(AND(ISNUMBER($O$357),$B$208=1),$O$357,HLOOKUP(INDIRECT(ADDRESS(2,COLUMN())),OFFSET($BN$2,0,0,ROW()-1,60),ROW()-1,FALSE))</f>
        <v/>
      </c>
      <c r="P154" t="str">
        <f ca="1">IF(AND(ISNUMBER($P$357),$B$208=1),$P$357,HLOOKUP(INDIRECT(ADDRESS(2,COLUMN())),OFFSET($BN$2,0,0,ROW()-1,60),ROW()-1,FALSE))</f>
        <v/>
      </c>
      <c r="Q154" t="str">
        <f ca="1">IF(AND(ISNUMBER($Q$357),$B$208=1),$Q$357,HLOOKUP(INDIRECT(ADDRESS(2,COLUMN())),OFFSET($BN$2,0,0,ROW()-1,60),ROW()-1,FALSE))</f>
        <v/>
      </c>
      <c r="R154" t="str">
        <f ca="1">IF(AND(ISNUMBER($R$357),$B$208=1),$R$357,HLOOKUP(INDIRECT(ADDRESS(2,COLUMN())),OFFSET($BN$2,0,0,ROW()-1,60),ROW()-1,FALSE))</f>
        <v/>
      </c>
      <c r="S154" t="str">
        <f ca="1">IF(AND(ISNUMBER($S$357),$B$208=1),$S$357,HLOOKUP(INDIRECT(ADDRESS(2,COLUMN())),OFFSET($BN$2,0,0,ROW()-1,60),ROW()-1,FALSE))</f>
        <v/>
      </c>
      <c r="T154" t="str">
        <f ca="1">IF(AND(ISNUMBER($T$357),$B$208=1),$T$357,HLOOKUP(INDIRECT(ADDRESS(2,COLUMN())),OFFSET($BN$2,0,0,ROW()-1,60),ROW()-1,FALSE))</f>
        <v/>
      </c>
      <c r="U154" t="str">
        <f ca="1">IF(AND(ISNUMBER($U$357),$B$208=1),$U$357,HLOOKUP(INDIRECT(ADDRESS(2,COLUMN())),OFFSET($BN$2,0,0,ROW()-1,60),ROW()-1,FALSE))</f>
        <v/>
      </c>
      <c r="V154" t="str">
        <f ca="1">IF(AND(ISNUMBER($V$357),$B$208=1),$V$357,HLOOKUP(INDIRECT(ADDRESS(2,COLUMN())),OFFSET($BN$2,0,0,ROW()-1,60),ROW()-1,FALSE))</f>
        <v/>
      </c>
      <c r="W154" t="str">
        <f ca="1">IF(AND(ISNUMBER($W$357),$B$208=1),$W$357,HLOOKUP(INDIRECT(ADDRESS(2,COLUMN())),OFFSET($BN$2,0,0,ROW()-1,60),ROW()-1,FALSE))</f>
        <v/>
      </c>
      <c r="X154" t="str">
        <f ca="1">IF(AND(ISNUMBER($X$357),$B$208=1),$X$357,HLOOKUP(INDIRECT(ADDRESS(2,COLUMN())),OFFSET($BN$2,0,0,ROW()-1,60),ROW()-1,FALSE))</f>
        <v/>
      </c>
      <c r="Y154" t="str">
        <f ca="1">IF(AND(ISNUMBER($Y$357),$B$208=1),$Y$357,HLOOKUP(INDIRECT(ADDRESS(2,COLUMN())),OFFSET($BN$2,0,0,ROW()-1,60),ROW()-1,FALSE))</f>
        <v/>
      </c>
      <c r="Z154" t="str">
        <f ca="1">IF(AND(ISNUMBER($Z$357),$B$208=1),$Z$357,HLOOKUP(INDIRECT(ADDRESS(2,COLUMN())),OFFSET($BN$2,0,0,ROW()-1,60),ROW()-1,FALSE))</f>
        <v/>
      </c>
      <c r="AA154" t="str">
        <f ca="1">IF(AND(ISNUMBER($AA$357),$B$208=1),$AA$357,HLOOKUP(INDIRECT(ADDRESS(2,COLUMN())),OFFSET($BN$2,0,0,ROW()-1,60),ROW()-1,FALSE))</f>
        <v/>
      </c>
      <c r="AB154" t="str">
        <f ca="1">IF(AND(ISNUMBER($AB$357),$B$208=1),$AB$357,HLOOKUP(INDIRECT(ADDRESS(2,COLUMN())),OFFSET($BN$2,0,0,ROW()-1,60),ROW()-1,FALSE))</f>
        <v/>
      </c>
      <c r="AC154" t="str">
        <f ca="1">IF(AND(ISNUMBER($AC$357),$B$208=1),$AC$357,HLOOKUP(INDIRECT(ADDRESS(2,COLUMN())),OFFSET($BN$2,0,0,ROW()-1,60),ROW()-1,FALSE))</f>
        <v/>
      </c>
      <c r="AD154" t="str">
        <f ca="1">IF(AND(ISNUMBER($AD$357),$B$208=1),$AD$357,HLOOKUP(INDIRECT(ADDRESS(2,COLUMN())),OFFSET($BN$2,0,0,ROW()-1,60),ROW()-1,FALSE))</f>
        <v/>
      </c>
      <c r="AE154" t="str">
        <f ca="1">IF(AND(ISNUMBER($AE$357),$B$208=1),$AE$357,HLOOKUP(INDIRECT(ADDRESS(2,COLUMN())),OFFSET($BN$2,0,0,ROW()-1,60),ROW()-1,FALSE))</f>
        <v/>
      </c>
      <c r="AF154" t="str">
        <f ca="1">IF(AND(ISNUMBER($AF$357),$B$208=1),$AF$357,HLOOKUP(INDIRECT(ADDRESS(2,COLUMN())),OFFSET($BN$2,0,0,ROW()-1,60),ROW()-1,FALSE))</f>
        <v/>
      </c>
      <c r="AG154" t="str">
        <f ca="1">IF(AND(ISNUMBER($AG$357),$B$208=1),$AG$357,HLOOKUP(INDIRECT(ADDRESS(2,COLUMN())),OFFSET($BN$2,0,0,ROW()-1,60),ROW()-1,FALSE))</f>
        <v/>
      </c>
      <c r="AH154" t="str">
        <f ca="1">IF(AND(ISNUMBER($AH$357),$B$208=1),$AH$357,HLOOKUP(INDIRECT(ADDRESS(2,COLUMN())),OFFSET($BN$2,0,0,ROW()-1,60),ROW()-1,FALSE))</f>
        <v/>
      </c>
      <c r="AI154" t="str">
        <f ca="1">IF(AND(ISNUMBER($AI$357),$B$208=1),$AI$357,HLOOKUP(INDIRECT(ADDRESS(2,COLUMN())),OFFSET($BN$2,0,0,ROW()-1,60),ROW()-1,FALSE))</f>
        <v/>
      </c>
      <c r="AJ154" t="str">
        <f ca="1">IF(AND(ISNUMBER($AJ$357),$B$208=1),$AJ$357,HLOOKUP(INDIRECT(ADDRESS(2,COLUMN())),OFFSET($BN$2,0,0,ROW()-1,60),ROW()-1,FALSE))</f>
        <v/>
      </c>
      <c r="AK154" t="str">
        <f ca="1">IF(AND(ISNUMBER($AK$357),$B$208=1),$AK$357,HLOOKUP(INDIRECT(ADDRESS(2,COLUMN())),OFFSET($BN$2,0,0,ROW()-1,60),ROW()-1,FALSE))</f>
        <v/>
      </c>
      <c r="AL154" t="str">
        <f ca="1">IF(AND(ISNUMBER($AL$357),$B$208=1),$AL$357,HLOOKUP(INDIRECT(ADDRESS(2,COLUMN())),OFFSET($BN$2,0,0,ROW()-1,60),ROW()-1,FALSE))</f>
        <v/>
      </c>
      <c r="AM154" t="str">
        <f ca="1">IF(AND(ISNUMBER($AM$357),$B$208=1),$AM$357,HLOOKUP(INDIRECT(ADDRESS(2,COLUMN())),OFFSET($BN$2,0,0,ROW()-1,60),ROW()-1,FALSE))</f>
        <v/>
      </c>
      <c r="AN154" t="str">
        <f ca="1">IF(AND(ISNUMBER($AN$357),$B$208=1),$AN$357,HLOOKUP(INDIRECT(ADDRESS(2,COLUMN())),OFFSET($BN$2,0,0,ROW()-1,60),ROW()-1,FALSE))</f>
        <v/>
      </c>
      <c r="AO154" t="str">
        <f ca="1">IF(AND(ISNUMBER($AO$357),$B$208=1),$AO$357,HLOOKUP(INDIRECT(ADDRESS(2,COLUMN())),OFFSET($BN$2,0,0,ROW()-1,60),ROW()-1,FALSE))</f>
        <v/>
      </c>
      <c r="AP154" t="str">
        <f ca="1">IF(AND(ISNUMBER($AP$357),$B$208=1),$AP$357,HLOOKUP(INDIRECT(ADDRESS(2,COLUMN())),OFFSET($BN$2,0,0,ROW()-1,60),ROW()-1,FALSE))</f>
        <v/>
      </c>
      <c r="AQ154" t="str">
        <f ca="1">IF(AND(ISNUMBER($AQ$357),$B$208=1),$AQ$357,HLOOKUP(INDIRECT(ADDRESS(2,COLUMN())),OFFSET($BN$2,0,0,ROW()-1,60),ROW()-1,FALSE))</f>
        <v/>
      </c>
      <c r="AR154" t="str">
        <f ca="1">IF(AND(ISNUMBER($AR$357),$B$208=1),$AR$357,HLOOKUP(INDIRECT(ADDRESS(2,COLUMN())),OFFSET($BN$2,0,0,ROW()-1,60),ROW()-1,FALSE))</f>
        <v/>
      </c>
      <c r="AS154" t="str">
        <f ca="1">IF(AND(ISNUMBER($AS$357),$B$208=1),$AS$357,HLOOKUP(INDIRECT(ADDRESS(2,COLUMN())),OFFSET($BN$2,0,0,ROW()-1,60),ROW()-1,FALSE))</f>
        <v/>
      </c>
      <c r="AT154" t="str">
        <f ca="1">IF(AND(ISNUMBER($AT$357),$B$208=1),$AT$357,HLOOKUP(INDIRECT(ADDRESS(2,COLUMN())),OFFSET($BN$2,0,0,ROW()-1,60),ROW()-1,FALSE))</f>
        <v/>
      </c>
      <c r="AU154" t="str">
        <f ca="1">IF(AND(ISNUMBER($AU$357),$B$208=1),$AU$357,HLOOKUP(INDIRECT(ADDRESS(2,COLUMN())),OFFSET($BN$2,0,0,ROW()-1,60),ROW()-1,FALSE))</f>
        <v/>
      </c>
      <c r="AV154" t="str">
        <f ca="1">IF(AND(ISNUMBER($AV$357),$B$208=1),$AV$357,HLOOKUP(INDIRECT(ADDRESS(2,COLUMN())),OFFSET($BN$2,0,0,ROW()-1,60),ROW()-1,FALSE))</f>
        <v/>
      </c>
      <c r="AW154" t="str">
        <f ca="1">IF(AND(ISNUMBER($AW$357),$B$208=1),$AW$357,HLOOKUP(INDIRECT(ADDRESS(2,COLUMN())),OFFSET($BN$2,0,0,ROW()-1,60),ROW()-1,FALSE))</f>
        <v/>
      </c>
      <c r="AX154" t="str">
        <f ca="1">IF(AND(ISNUMBER($AX$357),$B$208=1),$AX$357,HLOOKUP(INDIRECT(ADDRESS(2,COLUMN())),OFFSET($BN$2,0,0,ROW()-1,60),ROW()-1,FALSE))</f>
        <v/>
      </c>
      <c r="AY154" t="str">
        <f ca="1">IF(AND(ISNUMBER($AY$357),$B$208=1),$AY$357,HLOOKUP(INDIRECT(ADDRESS(2,COLUMN())),OFFSET($BN$2,0,0,ROW()-1,60),ROW()-1,FALSE))</f>
        <v/>
      </c>
      <c r="AZ154" t="str">
        <f ca="1">IF(AND(ISNUMBER($AZ$357),$B$208=1),$AZ$357,HLOOKUP(INDIRECT(ADDRESS(2,COLUMN())),OFFSET($BN$2,0,0,ROW()-1,60),ROW()-1,FALSE))</f>
        <v/>
      </c>
      <c r="BA154" t="str">
        <f ca="1">IF(AND(ISNUMBER($BA$357),$B$208=1),$BA$357,HLOOKUP(INDIRECT(ADDRESS(2,COLUMN())),OFFSET($BN$2,0,0,ROW()-1,60),ROW()-1,FALSE))</f>
        <v/>
      </c>
      <c r="BB154" t="str">
        <f ca="1">IF(AND(ISNUMBER($BB$357),$B$208=1),$BB$357,HLOOKUP(INDIRECT(ADDRESS(2,COLUMN())),OFFSET($BN$2,0,0,ROW()-1,60),ROW()-1,FALSE))</f>
        <v/>
      </c>
      <c r="BC154" t="str">
        <f ca="1">IF(AND(ISNUMBER($BC$357),$B$208=1),$BC$357,HLOOKUP(INDIRECT(ADDRESS(2,COLUMN())),OFFSET($BN$2,0,0,ROW()-1,60),ROW()-1,FALSE))</f>
        <v/>
      </c>
      <c r="BD154" t="str">
        <f ca="1">IF(AND(ISNUMBER($BD$357),$B$208=1),$BD$357,HLOOKUP(INDIRECT(ADDRESS(2,COLUMN())),OFFSET($BN$2,0,0,ROW()-1,60),ROW()-1,FALSE))</f>
        <v/>
      </c>
      <c r="BE154" t="str">
        <f ca="1">IF(AND(ISNUMBER($BE$357),$B$208=1),$BE$357,HLOOKUP(INDIRECT(ADDRESS(2,COLUMN())),OFFSET($BN$2,0,0,ROW()-1,60),ROW()-1,FALSE))</f>
        <v/>
      </c>
      <c r="BF154" t="str">
        <f ca="1">IF(AND(ISNUMBER($BF$357),$B$208=1),$BF$357,HLOOKUP(INDIRECT(ADDRESS(2,COLUMN())),OFFSET($BN$2,0,0,ROW()-1,60),ROW()-1,FALSE))</f>
        <v/>
      </c>
      <c r="BG154" t="str">
        <f ca="1">IF(AND(ISNUMBER($BG$357),$B$208=1),$BG$357,HLOOKUP(INDIRECT(ADDRESS(2,COLUMN())),OFFSET($BN$2,0,0,ROW()-1,60),ROW()-1,FALSE))</f>
        <v/>
      </c>
      <c r="BH154" t="str">
        <f ca="1">IF(AND(ISNUMBER($BH$357),$B$208=1),$BH$357,HLOOKUP(INDIRECT(ADDRESS(2,COLUMN())),OFFSET($BN$2,0,0,ROW()-1,60),ROW()-1,FALSE))</f>
        <v/>
      </c>
      <c r="BI154" t="str">
        <f ca="1">IF(AND(ISNUMBER($BI$357),$B$208=1),$BI$357,HLOOKUP(INDIRECT(ADDRESS(2,COLUMN())),OFFSET($BN$2,0,0,ROW()-1,60),ROW()-1,FALSE))</f>
        <v/>
      </c>
      <c r="BJ154" t="str">
        <f ca="1">IF(AND(ISNUMBER($BJ$357),$B$208=1),$BJ$357,HLOOKUP(INDIRECT(ADDRESS(2,COLUMN())),OFFSET($BN$2,0,0,ROW()-1,60),ROW()-1,FALSE))</f>
        <v/>
      </c>
      <c r="BK154" t="str">
        <f ca="1">IF(AND(ISNUMBER($BK$357),$B$208=1),$BK$357,HLOOKUP(INDIRECT(ADDRESS(2,COLUMN())),OFFSET($BN$2,0,0,ROW()-1,60),ROW()-1,FALSE))</f>
        <v/>
      </c>
      <c r="BL154" t="str">
        <f ca="1">IF(AND(ISNUMBER($BL$357),$B$208=1),$BL$357,HLOOKUP(INDIRECT(ADDRESS(2,COLUMN())),OFFSET($BN$2,0,0,ROW()-1,60),ROW()-1,FALSE))</f>
        <v/>
      </c>
      <c r="BM154" t="str">
        <f ca="1">IF(AND(ISNUMBER($BM$357),$B$208=1),$BM$357,HLOOKUP(INDIRECT(ADDRESS(2,COLUMN())),OFFSET($BN$2,0,0,ROW()-1,60),ROW()-1,FALSE))</f>
        <v/>
      </c>
      <c r="BN154" t="str">
        <f>""</f>
        <v/>
      </c>
      <c r="BO154" t="str">
        <f>""</f>
        <v/>
      </c>
      <c r="BP154" t="str">
        <f>""</f>
        <v/>
      </c>
      <c r="BQ154" t="str">
        <f>""</f>
        <v/>
      </c>
      <c r="BR154" t="str">
        <f>""</f>
        <v/>
      </c>
      <c r="BS154" t="str">
        <f>""</f>
        <v/>
      </c>
      <c r="BT154" t="str">
        <f>""</f>
        <v/>
      </c>
      <c r="BU154" t="str">
        <f>""</f>
        <v/>
      </c>
      <c r="BV154" t="str">
        <f>""</f>
        <v/>
      </c>
      <c r="BW154" t="str">
        <f>""</f>
        <v/>
      </c>
      <c r="BX154" t="str">
        <f>""</f>
        <v/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""</f>
        <v/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  <c r="CH154" t="str">
        <f>""</f>
        <v/>
      </c>
      <c r="CI154" t="str">
        <f>""</f>
        <v/>
      </c>
      <c r="CJ154" t="str">
        <f>""</f>
        <v/>
      </c>
      <c r="CK154" t="str">
        <f>""</f>
        <v/>
      </c>
      <c r="CL154" t="str">
        <f>""</f>
        <v/>
      </c>
      <c r="CM154" t="str">
        <f>""</f>
        <v/>
      </c>
      <c r="CN154" t="str">
        <f>""</f>
        <v/>
      </c>
      <c r="CO154" t="str">
        <f>""</f>
        <v/>
      </c>
      <c r="CP154" t="str">
        <f>""</f>
        <v/>
      </c>
      <c r="CQ154" t="str">
        <f>""</f>
        <v/>
      </c>
      <c r="CR154" t="str">
        <f>""</f>
        <v/>
      </c>
      <c r="CS154" t="str">
        <f>""</f>
        <v/>
      </c>
      <c r="CT154" t="str">
        <f>""</f>
        <v/>
      </c>
      <c r="CU154" t="str">
        <f>""</f>
        <v/>
      </c>
      <c r="CV154" t="str">
        <f>""</f>
        <v/>
      </c>
      <c r="CW154" t="str">
        <f>""</f>
        <v/>
      </c>
      <c r="CX154" t="str">
        <f>""</f>
        <v/>
      </c>
      <c r="CY154" t="str">
        <f>""</f>
        <v/>
      </c>
      <c r="CZ154" t="str">
        <f>""</f>
        <v/>
      </c>
      <c r="DA154" t="str">
        <f>""</f>
        <v/>
      </c>
      <c r="DB154" t="str">
        <f>""</f>
        <v/>
      </c>
      <c r="DC154" t="str">
        <f>""</f>
        <v/>
      </c>
      <c r="DD154" t="str">
        <f>""</f>
        <v/>
      </c>
      <c r="DE154" t="str">
        <f>""</f>
        <v/>
      </c>
      <c r="DF154" t="str">
        <f>""</f>
        <v/>
      </c>
      <c r="DG154" t="str">
        <f>""</f>
        <v/>
      </c>
      <c r="DH154" t="str">
        <f>""</f>
        <v/>
      </c>
      <c r="DI154" t="str">
        <f>""</f>
        <v/>
      </c>
      <c r="DJ154" t="str">
        <f>""</f>
        <v/>
      </c>
      <c r="DK154" t="str">
        <f>""</f>
        <v/>
      </c>
      <c r="DL154" t="str">
        <f>""</f>
        <v/>
      </c>
      <c r="DM154" t="str">
        <f>""</f>
        <v/>
      </c>
      <c r="DN154" t="str">
        <f>""</f>
        <v/>
      </c>
      <c r="DO154" t="str">
        <f>""</f>
        <v/>
      </c>
      <c r="DP154" t="str">
        <f>""</f>
        <v/>
      </c>
      <c r="DQ154" t="str">
        <f>""</f>
        <v/>
      </c>
      <c r="DR154" t="str">
        <f>""</f>
        <v/>
      </c>
      <c r="DS154" t="str">
        <f>""</f>
        <v/>
      </c>
      <c r="DT154" t="str">
        <f>""</f>
        <v/>
      </c>
      <c r="DU154" t="str">
        <f>""</f>
        <v/>
      </c>
    </row>
    <row r="155" spans="1:125" x14ac:dyDescent="0.25">
      <c r="A155" t="str">
        <f>"-- Other Loans"</f>
        <v>-- Other Loans</v>
      </c>
      <c r="B155" t="str">
        <f>""</f>
        <v/>
      </c>
      <c r="E155" t="str">
        <f>"Sum"</f>
        <v>Sum</v>
      </c>
      <c r="F155">
        <f ca="1">IF(ISERROR(IF(SUM($F$156:$F$192) = 0, "", SUM($F$156:$F$192))), "", (IF(SUM($F$156:$F$192) = 0, "", SUM($F$156:$F$192))))</f>
        <v>1549250.0007471</v>
      </c>
      <c r="G155">
        <f ca="1">IF(ISERROR(IF(SUM($G$156:$G$192) = 0, "", SUM($G$156:$G$192))), "", (IF(SUM($G$156:$G$192) = 0, "", SUM($G$156:$G$192))))</f>
        <v>972947.64792249992</v>
      </c>
      <c r="H155">
        <f ca="1">IF(ISERROR(IF(SUM($H$156:$H$192) = 0, "", SUM($H$156:$H$192))), "", (IF(SUM($H$156:$H$192) = 0, "", SUM($H$156:$H$192))))</f>
        <v>1623944.6721661002</v>
      </c>
      <c r="I155">
        <f ca="1">IF(ISERROR(IF(SUM($I$156:$I$192) = 0, "", SUM($I$156:$I$192))), "", (IF(SUM($I$156:$I$192) = 0, "", SUM($I$156:$I$192))))</f>
        <v>822852.70559999999</v>
      </c>
      <c r="J155">
        <f ca="1">IF(ISERROR(IF(SUM($J$156:$J$192) = 0, "", SUM($J$156:$J$192))), "", (IF(SUM($J$156:$J$192) = 0, "", SUM($J$156:$J$192))))</f>
        <v>1755472.5487629999</v>
      </c>
      <c r="K155">
        <f ca="1">IF(ISERROR(IF(SUM($K$156:$K$192) = 0, "", SUM($K$156:$K$192))), "", (IF(SUM($K$156:$K$192) = 0, "", SUM($K$156:$K$192))))</f>
        <v>876503.98858240002</v>
      </c>
      <c r="L155">
        <f ca="1">IF(ISERROR(IF(SUM($L$156:$L$192) = 0, "", SUM($L$156:$L$192))), "", (IF(SUM($L$156:$L$192) = 0, "", SUM($L$156:$L$192))))</f>
        <v>1708445.6378373997</v>
      </c>
      <c r="M155">
        <f ca="1">IF(ISERROR(IF(SUM($M$156:$M$192) = 0, "", SUM($M$156:$M$192))), "", (IF(SUM($M$156:$M$192) = 0, "", SUM($M$156:$M$192))))</f>
        <v>688500.61973100004</v>
      </c>
      <c r="N155">
        <f ca="1">IF(ISERROR(IF(SUM($N$156:$N$192) = 0, "", SUM($N$156:$N$192))), "", (IF(SUM($N$156:$N$192) = 0, "", SUM($N$156:$N$192))))</f>
        <v>1711885.804334</v>
      </c>
      <c r="O155">
        <f ca="1">IF(ISERROR(IF(SUM($O$156:$O$192) = 0, "", SUM($O$156:$O$192))), "", (IF(SUM($O$156:$O$192) = 0, "", SUM($O$156:$O$192))))</f>
        <v>710530.84584199998</v>
      </c>
      <c r="P155">
        <f ca="1">IF(ISERROR(IF(SUM($P$156:$P$192) = 0, "", SUM($P$156:$P$192))), "", (IF(SUM($P$156:$P$192) = 0, "", SUM($P$156:$P$192))))</f>
        <v>1546106.6671808998</v>
      </c>
      <c r="Q155">
        <f ca="1">IF(ISERROR(IF(SUM($Q$156:$Q$192) = 0, "", SUM($Q$156:$Q$192))), "", (IF(SUM($Q$156:$Q$192) = 0, "", SUM($Q$156:$Q$192))))</f>
        <v>967276.02128900005</v>
      </c>
      <c r="R155">
        <f ca="1">IF(ISERROR(IF(SUM($R$156:$R$192) = 0, "", SUM($R$156:$R$192))), "", (IF(SUM($R$156:$R$192) = 0, "", SUM($R$156:$R$192))))</f>
        <v>1243264.6271856099</v>
      </c>
      <c r="S155">
        <f ca="1">IF(ISERROR(IF(SUM($S$156:$S$192) = 0, "", SUM($S$156:$S$192))), "", (IF(SUM($S$156:$S$192) = 0, "", SUM($S$156:$S$192))))</f>
        <v>730652.00922369992</v>
      </c>
      <c r="T155">
        <f ca="1">IF(ISERROR(IF(SUM($T$156:$T$192) = 0, "", SUM($T$156:$T$192))), "", (IF(SUM($T$156:$T$192) = 0, "", SUM($T$156:$T$192))))</f>
        <v>1558887.9055261603</v>
      </c>
      <c r="U155">
        <f ca="1">IF(ISERROR(IF(SUM($U$156:$U$192) = 0, "", SUM($U$156:$U$192))), "", (IF(SUM($U$156:$U$192) = 0, "", SUM($U$156:$U$192))))</f>
        <v>740702.44497737987</v>
      </c>
      <c r="V155">
        <f ca="1">IF(ISERROR(IF(SUM($V$156:$V$192) = 0, "", SUM($V$156:$V$192))), "", (IF(SUM($V$156:$V$192) = 0, "", SUM($V$156:$V$192))))</f>
        <v>1187971.2528008001</v>
      </c>
      <c r="W155">
        <f ca="1">IF(ISERROR(IF(SUM($W$156:$W$192) = 0, "", SUM($W$156:$W$192))), "", (IF(SUM($W$156:$W$192) = 0, "", SUM($W$156:$W$192))))</f>
        <v>778913.19647326099</v>
      </c>
      <c r="X155">
        <f ca="1">IF(ISERROR(IF(SUM($X$156:$X$192) = 0, "", SUM($X$156:$X$192))), "", (IF(SUM($X$156:$X$192) = 0, "", SUM($X$156:$X$192))))</f>
        <v>1220109.5956218201</v>
      </c>
      <c r="Y155">
        <f ca="1">IF(ISERROR(IF(SUM($Y$156:$Y$192) = 0, "", SUM($Y$156:$Y$192))), "", (IF(SUM($Y$156:$Y$192) = 0, "", SUM($Y$156:$Y$192))))</f>
        <v>631663.38415497006</v>
      </c>
      <c r="Z155">
        <f ca="1">IF(ISERROR(IF(SUM($Z$156:$Z$192) = 0, "", SUM($Z$156:$Z$192))), "", (IF(SUM($Z$156:$Z$192) = 0, "", SUM($Z$156:$Z$192))))</f>
        <v>1254673.253713618</v>
      </c>
      <c r="AA155">
        <f ca="1">IF(ISERROR(IF(SUM($AA$156:$AA$192) = 0, "", SUM($AA$156:$AA$192))), "", (IF(SUM($AA$156:$AA$192) = 0, "", SUM($AA$156:$AA$192))))</f>
        <v>828178.740273142</v>
      </c>
      <c r="AB155">
        <f ca="1">IF(ISERROR(IF(SUM($AB$156:$AB$192) = 0, "", SUM($AB$156:$AB$192))), "", (IF(SUM($AB$156:$AB$192) = 0, "", SUM($AB$156:$AB$192))))</f>
        <v>1309655.4855510998</v>
      </c>
      <c r="AC155">
        <f ca="1">IF(ISERROR(IF(SUM($AC$156:$AC$192) = 0, "", SUM($AC$156:$AC$192))), "", (IF(SUM($AC$156:$AC$192) = 0, "", SUM($AC$156:$AC$192))))</f>
        <v>844920.48232646601</v>
      </c>
      <c r="AD155">
        <f ca="1">IF(ISERROR(IF(SUM($AD$156:$AD$192) = 0, "", SUM($AD$156:$AD$192))), "", (IF(SUM($AD$156:$AD$192) = 0, "", SUM($AD$156:$AD$192))))</f>
        <v>1096908.0222920999</v>
      </c>
      <c r="AE155">
        <f ca="1">IF(ISERROR(IF(SUM($AE$156:$AE$192) = 0, "", SUM($AE$156:$AE$192))), "", (IF(SUM($AE$156:$AE$192) = 0, "", SUM($AE$156:$AE$192))))</f>
        <v>681746.68114135996</v>
      </c>
      <c r="AF155">
        <f ca="1">IF(ISERROR(IF(SUM($AF$156:$AF$192) = 0, "", SUM($AF$156:$AF$192))), "", (IF(SUM($AF$156:$AF$192) = 0, "", SUM($AF$156:$AF$192))))</f>
        <v>1333034.95433108</v>
      </c>
      <c r="AG155">
        <f ca="1">IF(ISERROR(IF(SUM($AG$156:$AG$192) = 0, "", SUM($AG$156:$AG$192))), "", (IF(SUM($AG$156:$AG$192) = 0, "", SUM($AG$156:$AG$192))))</f>
        <v>860410.4278218</v>
      </c>
      <c r="AH155">
        <f ca="1">IF(ISERROR(IF(SUM($AH$156:$AH$192) = 0, "", SUM($AH$156:$AH$192))), "", (IF(SUM($AH$156:$AH$192) = 0, "", SUM($AH$156:$AH$192))))</f>
        <v>949844.54386920016</v>
      </c>
      <c r="AI155">
        <f ca="1">IF(ISERROR(IF(SUM($AI$156:$AI$192) = 0, "", SUM($AI$156:$AI$192))), "", (IF(SUM($AI$156:$AI$192) = 0, "", SUM($AI$156:$AI$192))))</f>
        <v>530861.51221493992</v>
      </c>
      <c r="AJ155">
        <f ca="1">IF(ISERROR(IF(SUM($AJ$156:$AJ$192) = 0, "", SUM($AJ$156:$AJ$192))), "", (IF(SUM($AJ$156:$AJ$192) = 0, "", SUM($AJ$156:$AJ$192))))</f>
        <v>881592.4523318999</v>
      </c>
      <c r="AK155">
        <f ca="1">IF(ISERROR(IF(SUM($AK$156:$AK$192) = 0, "", SUM($AK$156:$AK$192))), "", (IF(SUM($AK$156:$AK$192) = 0, "", SUM($AK$156:$AK$192))))</f>
        <v>310798.17174116999</v>
      </c>
      <c r="AL155">
        <f ca="1">IF(ISERROR(IF(SUM($AL$156:$AL$192) = 0, "", SUM($AL$156:$AL$192))), "", (IF(SUM($AL$156:$AL$192) = 0, "", SUM($AL$156:$AL$192))))</f>
        <v>983566.95546780003</v>
      </c>
      <c r="AM155">
        <f ca="1">IF(ISERROR(IF(SUM($AM$156:$AM$192) = 0, "", SUM($AM$156:$AM$192))), "", (IF(SUM($AM$156:$AM$192) = 0, "", SUM($AM$156:$AM$192))))</f>
        <v>516332.86066939007</v>
      </c>
      <c r="AN155">
        <f ca="1">IF(ISERROR(IF(SUM($AN$156:$AN$192) = 0, "", SUM($AN$156:$AN$192))), "", (IF(SUM($AN$156:$AN$192) = 0, "", SUM($AN$156:$AN$192))))</f>
        <v>823403.72776889999</v>
      </c>
      <c r="AO155">
        <f ca="1">IF(ISERROR(IF(SUM($AO$156:$AO$192) = 0, "", SUM($AO$156:$AO$192))), "", (IF(SUM($AO$156:$AO$192) = 0, "", SUM($AO$156:$AO$192))))</f>
        <v>746257.26108860003</v>
      </c>
      <c r="AP155">
        <f ca="1">IF(ISERROR(IF(SUM($AP$156:$AP$192) = 0, "", SUM($AP$156:$AP$192))), "", (IF(SUM($AP$156:$AP$192) = 0, "", SUM($AP$156:$AP$192))))</f>
        <v>1288403.5728465002</v>
      </c>
      <c r="AQ155">
        <f ca="1">IF(ISERROR(IF(SUM($AQ$156:$AQ$192) = 0, "", SUM($AQ$156:$AQ$192))), "", (IF(SUM($AQ$156:$AQ$192) = 0, "", SUM($AQ$156:$AQ$192))))</f>
        <v>514165.32513278007</v>
      </c>
      <c r="AR155">
        <f ca="1">IF(ISERROR(IF(SUM($AR$156:$AR$192) = 0, "", SUM($AR$156:$AR$192))), "", (IF(SUM($AR$156:$AR$192) = 0, "", SUM($AR$156:$AR$192))))</f>
        <v>652356.23660159984</v>
      </c>
      <c r="AS155">
        <f ca="1">IF(ISERROR(IF(SUM($AS$156:$AS$192) = 0, "", SUM($AS$156:$AS$192))), "", (IF(SUM($AS$156:$AS$192) = 0, "", SUM($AS$156:$AS$192))))</f>
        <v>490494.75922599999</v>
      </c>
      <c r="AT155">
        <f ca="1">IF(ISERROR(IF(SUM($AT$156:$AT$192) = 0, "", SUM($AT$156:$AT$192))), "", (IF(SUM($AT$156:$AT$192) = 0, "", SUM($AT$156:$AT$192))))</f>
        <v>815299.1713327202</v>
      </c>
      <c r="AU155">
        <f ca="1">IF(ISERROR(IF(SUM($AU$156:$AU$192) = 0, "", SUM($AU$156:$AU$192))), "", (IF(SUM($AU$156:$AU$192) = 0, "", SUM($AU$156:$AU$192))))</f>
        <v>516942.10949280002</v>
      </c>
      <c r="AV155">
        <f ca="1">IF(ISERROR(IF(SUM($AV$156:$AV$192) = 0, "", SUM($AV$156:$AV$192))), "", (IF(SUM($AV$156:$AV$192) = 0, "", SUM($AV$156:$AV$192))))</f>
        <v>708722.05516462016</v>
      </c>
      <c r="AW155">
        <f ca="1">IF(ISERROR(IF(SUM($AW$156:$AW$192) = 0, "", SUM($AW$156:$AW$192))), "", (IF(SUM($AW$156:$AW$192) = 0, "", SUM($AW$156:$AW$192))))</f>
        <v>530342.31988829991</v>
      </c>
      <c r="AX155">
        <f ca="1">IF(ISERROR(IF(SUM($AX$156:$AX$192) = 0, "", SUM($AX$156:$AX$192))), "", (IF(SUM($AX$156:$AX$192) = 0, "", SUM($AX$156:$AX$192))))</f>
        <v>800687.47536309005</v>
      </c>
      <c r="AY155">
        <f ca="1">IF(ISERROR(IF(SUM($AY$156:$AY$192) = 0, "", SUM($AY$156:$AY$192))), "", (IF(SUM($AY$156:$AY$192) = 0, "", SUM($AY$156:$AY$192))))</f>
        <v>573511.34714950004</v>
      </c>
      <c r="AZ155">
        <f ca="1">IF(ISERROR(IF(SUM($AZ$156:$AZ$192) = 0, "", SUM($AZ$156:$AZ$192))), "", (IF(SUM($AZ$156:$AZ$192) = 0, "", SUM($AZ$156:$AZ$192))))</f>
        <v>615392.41135069996</v>
      </c>
      <c r="BA155">
        <f ca="1">IF(ISERROR(IF(SUM($BA$156:$BA$192) = 0, "", SUM($BA$156:$BA$192))), "", (IF(SUM($BA$156:$BA$192) = 0, "", SUM($BA$156:$BA$192))))</f>
        <v>550205.3690372</v>
      </c>
      <c r="BB155">
        <f ca="1">IF(ISERROR(IF(SUM($BB$156:$BB$192) = 0, "", SUM($BB$156:$BB$192))), "", (IF(SUM($BB$156:$BB$192) = 0, "", SUM($BB$156:$BB$192))))</f>
        <v>756217.1201768301</v>
      </c>
      <c r="BC155">
        <f ca="1">IF(ISERROR(IF(SUM($BC$156:$BC$192) = 0, "", SUM($BC$156:$BC$192))), "", (IF(SUM($BC$156:$BC$192) = 0, "", SUM($BC$156:$BC$192))))</f>
        <v>544214.35880839999</v>
      </c>
      <c r="BD155">
        <f ca="1">IF(ISERROR(IF(SUM($BD$156:$BD$192) = 0, "", SUM($BD$156:$BD$192))), "", (IF(SUM($BD$156:$BD$192) = 0, "", SUM($BD$156:$BD$192))))</f>
        <v>530718.21512280009</v>
      </c>
      <c r="BE155">
        <f ca="1">IF(ISERROR(IF(SUM($BE$156:$BE$192) = 0, "", SUM($BE$156:$BE$192))), "", (IF(SUM($BE$156:$BE$192) = 0, "", SUM($BE$156:$BE$192))))</f>
        <v>590428.83283209999</v>
      </c>
      <c r="BF155">
        <f ca="1">IF(ISERROR(IF(SUM($BF$156:$BF$192) = 0, "", SUM($BF$156:$BF$192))), "", (IF(SUM($BF$156:$BF$192) = 0, "", SUM($BF$156:$BF$192))))</f>
        <v>748248.72433639993</v>
      </c>
      <c r="BG155">
        <f ca="1">IF(ISERROR(IF(SUM($BG$156:$BG$192) = 0, "", SUM($BG$156:$BG$192))), "", (IF(SUM($BG$156:$BG$192) = 0, "", SUM($BG$156:$BG$192))))</f>
        <v>593030.31038699998</v>
      </c>
      <c r="BH155">
        <f ca="1">IF(ISERROR(IF(SUM($BH$156:$BH$192) = 0, "", SUM($BH$156:$BH$192))), "", (IF(SUM($BH$156:$BH$192) = 0, "", SUM($BH$156:$BH$192))))</f>
        <v>659316.48517700005</v>
      </c>
      <c r="BI155">
        <f ca="1">IF(ISERROR(IF(SUM($BI$156:$BI$192) = 0, "", SUM($BI$156:$BI$192))), "", (IF(SUM($BI$156:$BI$192) = 0, "", SUM($BI$156:$BI$192))))</f>
        <v>637133.51360699988</v>
      </c>
      <c r="BJ155">
        <f ca="1">IF(ISERROR(IF(SUM($BJ$156:$BJ$192) = 0, "", SUM($BJ$156:$BJ$192))), "", (IF(SUM($BJ$156:$BJ$192) = 0, "", SUM($BJ$156:$BJ$192))))</f>
        <v>667680.49055159697</v>
      </c>
      <c r="BK155">
        <f ca="1">IF(ISERROR(IF(SUM($BK$156:$BK$192) = 0, "", SUM($BK$156:$BK$192))), "", (IF(SUM($BK$156:$BK$192) = 0, "", SUM($BK$156:$BK$192))))</f>
        <v>583757.09909999999</v>
      </c>
      <c r="BL155">
        <f ca="1">IF(ISERROR(IF(SUM($BL$156:$BL$192) = 0, "", SUM($BL$156:$BL$192))), "", (IF(SUM($BL$156:$BL$192) = 0, "", SUM($BL$156:$BL$192))))</f>
        <v>619411.74018399999</v>
      </c>
      <c r="BM155">
        <f ca="1">IF(ISERROR(IF(SUM($BM$156:$BM$192) = 0, "", SUM($BM$156:$BM$192))), "", (IF(SUM($BM$156:$BM$192) = 0, "", SUM($BM$156:$BM$192))))</f>
        <v>436350.95699999999</v>
      </c>
      <c r="BN155">
        <f>1549250.001</f>
        <v>1549250.0009999999</v>
      </c>
      <c r="BO155">
        <f>972947.648</f>
        <v>972947.64800000004</v>
      </c>
      <c r="BP155">
        <f>1623944.672</f>
        <v>1623944.672</v>
      </c>
      <c r="BQ155">
        <f>822852.7056</f>
        <v>822852.70559999999</v>
      </c>
      <c r="BR155">
        <f>1755472.549</f>
        <v>1755472.5490000001</v>
      </c>
      <c r="BS155">
        <f>876503.9886</f>
        <v>876503.98860000004</v>
      </c>
      <c r="BT155">
        <f>1708445.638</f>
        <v>1708445.638</v>
      </c>
      <c r="BU155">
        <f>688500.6197</f>
        <v>688500.61970000004</v>
      </c>
      <c r="BV155">
        <f>1711885.804</f>
        <v>1711885.804</v>
      </c>
      <c r="BW155">
        <f>710530.8459</f>
        <v>710530.84589999996</v>
      </c>
      <c r="BX155">
        <f>1546106.667</f>
        <v>1546106.6669999999</v>
      </c>
      <c r="BY155">
        <f>967276.0213</f>
        <v>967276.02130000002</v>
      </c>
      <c r="BZ155">
        <f>1243264.627</f>
        <v>1243264.6270000001</v>
      </c>
      <c r="CA155">
        <f>730652.0093</f>
        <v>730652.00930000003</v>
      </c>
      <c r="CB155">
        <f>1558887.906</f>
        <v>1558887.906</v>
      </c>
      <c r="CC155">
        <f>740702.445</f>
        <v>740702.44499999995</v>
      </c>
      <c r="CD155">
        <f>1187971.253</f>
        <v>1187971.253</v>
      </c>
      <c r="CE155">
        <f>778913.1965</f>
        <v>778913.19649999996</v>
      </c>
      <c r="CF155">
        <f>1220109.596</f>
        <v>1220109.5959999999</v>
      </c>
      <c r="CG155">
        <f>631663.3842</f>
        <v>631663.38419999997</v>
      </c>
      <c r="CH155">
        <f>1254673.254</f>
        <v>1254673.254</v>
      </c>
      <c r="CI155">
        <f>828178.7403</f>
        <v>828178.74029999995</v>
      </c>
      <c r="CJ155">
        <f>1309655.486</f>
        <v>1309655.486</v>
      </c>
      <c r="CK155">
        <f>844920.4823</f>
        <v>844920.48230000003</v>
      </c>
      <c r="CL155">
        <f>1096908.022</f>
        <v>1096908.0220000001</v>
      </c>
      <c r="CM155">
        <f>681746.6812</f>
        <v>681746.68119999999</v>
      </c>
      <c r="CN155">
        <f>1333034.954</f>
        <v>1333034.9539999999</v>
      </c>
      <c r="CO155">
        <f>860410.4278</f>
        <v>860410.42779999995</v>
      </c>
      <c r="CP155">
        <f>949844.5439</f>
        <v>949844.54390000005</v>
      </c>
      <c r="CQ155">
        <f>530861.5122</f>
        <v>530861.5122</v>
      </c>
      <c r="CR155">
        <f>881592.4523</f>
        <v>881592.4523</v>
      </c>
      <c r="CS155">
        <f>310798.1717</f>
        <v>310798.17170000001</v>
      </c>
      <c r="CT155">
        <f>983566.9554</f>
        <v>983566.95539999998</v>
      </c>
      <c r="CU155">
        <f>516332.8607</f>
        <v>516332.86070000002</v>
      </c>
      <c r="CV155">
        <f>823403.7278</f>
        <v>823403.72779999999</v>
      </c>
      <c r="CW155">
        <f>746257.2611</f>
        <v>746257.2611</v>
      </c>
      <c r="CX155">
        <f>1288403.573</f>
        <v>1288403.5730000001</v>
      </c>
      <c r="CY155">
        <f>514165.3251</f>
        <v>514165.32510000002</v>
      </c>
      <c r="CZ155">
        <f>652356.2366</f>
        <v>652356.23659999995</v>
      </c>
      <c r="DA155">
        <f>490494.7592</f>
        <v>490494.75919999997</v>
      </c>
      <c r="DB155">
        <f>815299.1713</f>
        <v>815299.17130000005</v>
      </c>
      <c r="DC155">
        <f>516942.1095</f>
        <v>516942.10950000002</v>
      </c>
      <c r="DD155">
        <f>708722.0551</f>
        <v>708722.0551</v>
      </c>
      <c r="DE155">
        <f>530342.3199</f>
        <v>530342.3199</v>
      </c>
      <c r="DF155">
        <f>800687.4754</f>
        <v>800687.4754</v>
      </c>
      <c r="DG155">
        <f>573511.3472</f>
        <v>573511.34719999996</v>
      </c>
      <c r="DH155">
        <f>615392.4113</f>
        <v>615392.41130000004</v>
      </c>
      <c r="DI155">
        <f>550205.369</f>
        <v>550205.36899999995</v>
      </c>
      <c r="DJ155">
        <f>756217.1202</f>
        <v>756217.1202</v>
      </c>
      <c r="DK155">
        <f>544214.3588</f>
        <v>544214.35880000005</v>
      </c>
      <c r="DL155">
        <f>530718.2151</f>
        <v>530718.21510000003</v>
      </c>
      <c r="DM155">
        <f>590428.8328</f>
        <v>590428.83279999997</v>
      </c>
      <c r="DN155">
        <f>748248.7243</f>
        <v>748248.7243</v>
      </c>
      <c r="DO155">
        <f>593030.3104</f>
        <v>593030.31039999996</v>
      </c>
      <c r="DP155">
        <f>659316.4852</f>
        <v>659316.4852</v>
      </c>
      <c r="DQ155">
        <f>637133.5136</f>
        <v>637133.51359999995</v>
      </c>
      <c r="DR155">
        <f>667680.4906</f>
        <v>667680.49060000002</v>
      </c>
      <c r="DS155">
        <f>583757.0991</f>
        <v>583757.09909999999</v>
      </c>
      <c r="DT155">
        <f>619411.7402</f>
        <v>619411.7402</v>
      </c>
      <c r="DU155">
        <f>436350.957</f>
        <v>436350.95699999999</v>
      </c>
    </row>
    <row r="156" spans="1:125" x14ac:dyDescent="0.25">
      <c r="A156" t="str">
        <f>"    ABN AMRO Bank NV"</f>
        <v xml:space="preserve">    ABN AMRO Bank NV</v>
      </c>
      <c r="B156" t="str">
        <f>"ABN NA Equity"</f>
        <v>ABN NA Equity</v>
      </c>
      <c r="C156" t="str">
        <f t="shared" ref="C156:C192" si="12">"BS018"</f>
        <v>BS018</v>
      </c>
      <c r="D156" t="str">
        <f t="shared" ref="D156:D192" si="13">"BS_OTHER_LOAN"</f>
        <v>BS_OTHER_LOAN</v>
      </c>
      <c r="E156" t="str">
        <f t="shared" ref="E156:E192" si="14">"Dynamic"</f>
        <v>Dynamic</v>
      </c>
      <c r="F156">
        <f ca="1">IF(AND(ISNUMBER($F$358),$B$208=1),$F$358,HLOOKUP(INDIRECT(ADDRESS(2,COLUMN())),OFFSET($BN$2,0,0,ROW()-1,60),ROW()-1,FALSE))</f>
        <v>0</v>
      </c>
      <c r="G156">
        <f ca="1">IF(AND(ISNUMBER($G$358),$B$208=1),$G$358,HLOOKUP(INDIRECT(ADDRESS(2,COLUMN())),OFFSET($BN$2,0,0,ROW()-1,60),ROW()-1,FALSE))</f>
        <v>0</v>
      </c>
      <c r="H156">
        <f ca="1">IF(AND(ISNUMBER($H$358),$B$208=1),$H$358,HLOOKUP(INDIRECT(ADDRESS(2,COLUMN())),OFFSET($BN$2,0,0,ROW()-1,60),ROW()-1,FALSE))</f>
        <v>0</v>
      </c>
      <c r="I156" t="str">
        <f ca="1">IF(AND(ISNUMBER($I$358),$B$208=1),$I$358,HLOOKUP(INDIRECT(ADDRESS(2,COLUMN())),OFFSET($BN$2,0,0,ROW()-1,60),ROW()-1,FALSE))</f>
        <v/>
      </c>
      <c r="J156" t="str">
        <f ca="1">IF(AND(ISNUMBER($J$358),$B$208=1),$J$358,HLOOKUP(INDIRECT(ADDRESS(2,COLUMN())),OFFSET($BN$2,0,0,ROW()-1,60),ROW()-1,FALSE))</f>
        <v/>
      </c>
      <c r="K156" t="str">
        <f ca="1">IF(AND(ISNUMBER($K$358),$B$208=1),$K$358,HLOOKUP(INDIRECT(ADDRESS(2,COLUMN())),OFFSET($BN$2,0,0,ROW()-1,60),ROW()-1,FALSE))</f>
        <v/>
      </c>
      <c r="L156" t="str">
        <f ca="1">IF(AND(ISNUMBER($L$358),$B$208=1),$L$358,HLOOKUP(INDIRECT(ADDRESS(2,COLUMN())),OFFSET($BN$2,0,0,ROW()-1,60),ROW()-1,FALSE))</f>
        <v/>
      </c>
      <c r="M156" t="str">
        <f ca="1">IF(AND(ISNUMBER($M$358),$B$208=1),$M$358,HLOOKUP(INDIRECT(ADDRESS(2,COLUMN())),OFFSET($BN$2,0,0,ROW()-1,60),ROW()-1,FALSE))</f>
        <v/>
      </c>
      <c r="N156" t="str">
        <f ca="1">IF(AND(ISNUMBER($N$358),$B$208=1),$N$358,HLOOKUP(INDIRECT(ADDRESS(2,COLUMN())),OFFSET($BN$2,0,0,ROW()-1,60),ROW()-1,FALSE))</f>
        <v/>
      </c>
      <c r="O156" t="str">
        <f ca="1">IF(AND(ISNUMBER($O$358),$B$208=1),$O$358,HLOOKUP(INDIRECT(ADDRESS(2,COLUMN())),OFFSET($BN$2,0,0,ROW()-1,60),ROW()-1,FALSE))</f>
        <v/>
      </c>
      <c r="P156" t="str">
        <f ca="1">IF(AND(ISNUMBER($P$358),$B$208=1),$P$358,HLOOKUP(INDIRECT(ADDRESS(2,COLUMN())),OFFSET($BN$2,0,0,ROW()-1,60),ROW()-1,FALSE))</f>
        <v/>
      </c>
      <c r="Q156" t="str">
        <f ca="1">IF(AND(ISNUMBER($Q$358),$B$208=1),$Q$358,HLOOKUP(INDIRECT(ADDRESS(2,COLUMN())),OFFSET($BN$2,0,0,ROW()-1,60),ROW()-1,FALSE))</f>
        <v/>
      </c>
      <c r="R156">
        <f ca="1">IF(AND(ISNUMBER($R$358),$B$208=1),$R$358,HLOOKUP(INDIRECT(ADDRESS(2,COLUMN())),OFFSET($BN$2,0,0,ROW()-1,60),ROW()-1,FALSE))</f>
        <v>1951</v>
      </c>
      <c r="S156">
        <f ca="1">IF(AND(ISNUMBER($S$358),$B$208=1),$S$358,HLOOKUP(INDIRECT(ADDRESS(2,COLUMN())),OFFSET($BN$2,0,0,ROW()-1,60),ROW()-1,FALSE))</f>
        <v>2490</v>
      </c>
      <c r="T156">
        <f ca="1">IF(AND(ISNUMBER($T$358),$B$208=1),$T$358,HLOOKUP(INDIRECT(ADDRESS(2,COLUMN())),OFFSET($BN$2,0,0,ROW()-1,60),ROW()-1,FALSE))</f>
        <v>2804</v>
      </c>
      <c r="U156">
        <f ca="1">IF(AND(ISNUMBER($U$358),$B$208=1),$U$358,HLOOKUP(INDIRECT(ADDRESS(2,COLUMN())),OFFSET($BN$2,0,0,ROW()-1,60),ROW()-1,FALSE))</f>
        <v>3014</v>
      </c>
      <c r="V156">
        <f ca="1">IF(AND(ISNUMBER($V$358),$B$208=1),$V$358,HLOOKUP(INDIRECT(ADDRESS(2,COLUMN())),OFFSET($BN$2,0,0,ROW()-1,60),ROW()-1,FALSE))</f>
        <v>3838</v>
      </c>
      <c r="W156">
        <f ca="1">IF(AND(ISNUMBER($W$358),$B$208=1),$W$358,HLOOKUP(INDIRECT(ADDRESS(2,COLUMN())),OFFSET($BN$2,0,0,ROW()-1,60),ROW()-1,FALSE))</f>
        <v>3911</v>
      </c>
      <c r="X156">
        <f ca="1">IF(AND(ISNUMBER($X$358),$B$208=1),$X$358,HLOOKUP(INDIRECT(ADDRESS(2,COLUMN())),OFFSET($BN$2,0,0,ROW()-1,60),ROW()-1,FALSE))</f>
        <v>8903</v>
      </c>
      <c r="Y156">
        <f ca="1">IF(AND(ISNUMBER($Y$358),$B$208=1),$Y$358,HLOOKUP(INDIRECT(ADDRESS(2,COLUMN())),OFFSET($BN$2,0,0,ROW()-1,60),ROW()-1,FALSE))</f>
        <v>3659</v>
      </c>
      <c r="Z156">
        <f ca="1">IF(AND(ISNUMBER($Z$358),$B$208=1),$Z$358,HLOOKUP(INDIRECT(ADDRESS(2,COLUMN())),OFFSET($BN$2,0,0,ROW()-1,60),ROW()-1,FALSE))</f>
        <v>3342</v>
      </c>
      <c r="AA156">
        <f ca="1">IF(AND(ISNUMBER($AA$358),$B$208=1),$AA$358,HLOOKUP(INDIRECT(ADDRESS(2,COLUMN())),OFFSET($BN$2,0,0,ROW()-1,60),ROW()-1,FALSE))</f>
        <v>4452</v>
      </c>
      <c r="AB156">
        <f ca="1">IF(AND(ISNUMBER($AB$358),$B$208=1),$AB$358,HLOOKUP(INDIRECT(ADDRESS(2,COLUMN())),OFFSET($BN$2,0,0,ROW()-1,60),ROW()-1,FALSE))</f>
        <v>6527</v>
      </c>
      <c r="AC156">
        <f ca="1">IF(AND(ISNUMBER($AC$358),$B$208=1),$AC$358,HLOOKUP(INDIRECT(ADDRESS(2,COLUMN())),OFFSET($BN$2,0,0,ROW()-1,60),ROW()-1,FALSE))</f>
        <v>3434</v>
      </c>
      <c r="AD156">
        <f ca="1">IF(AND(ISNUMBER($AD$358),$B$208=1),$AD$358,HLOOKUP(INDIRECT(ADDRESS(2,COLUMN())),OFFSET($BN$2,0,0,ROW()-1,60),ROW()-1,FALSE))</f>
        <v>3185</v>
      </c>
      <c r="AE156">
        <f ca="1">IF(AND(ISNUMBER($AE$358),$B$208=1),$AE$358,HLOOKUP(INDIRECT(ADDRESS(2,COLUMN())),OFFSET($BN$2,0,0,ROW()-1,60),ROW()-1,FALSE))</f>
        <v>3150</v>
      </c>
      <c r="AF156">
        <f ca="1">IF(AND(ISNUMBER($AF$358),$B$208=1),$AF$358,HLOOKUP(INDIRECT(ADDRESS(2,COLUMN())),OFFSET($BN$2,0,0,ROW()-1,60),ROW()-1,FALSE))</f>
        <v>5857</v>
      </c>
      <c r="AG156">
        <f ca="1">IF(AND(ISNUMBER($AG$358),$B$208=1),$AG$358,HLOOKUP(INDIRECT(ADDRESS(2,COLUMN())),OFFSET($BN$2,0,0,ROW()-1,60),ROW()-1,FALSE))</f>
        <v>9964</v>
      </c>
      <c r="AH156">
        <f ca="1">IF(AND(ISNUMBER($AH$358),$B$208=1),$AH$358,HLOOKUP(INDIRECT(ADDRESS(2,COLUMN())),OFFSET($BN$2,0,0,ROW()-1,60),ROW()-1,FALSE))</f>
        <v>8975</v>
      </c>
      <c r="AI156">
        <f ca="1">IF(AND(ISNUMBER($AI$358),$B$208=1),$AI$358,HLOOKUP(INDIRECT(ADDRESS(2,COLUMN())),OFFSET($BN$2,0,0,ROW()-1,60),ROW()-1,FALSE))</f>
        <v>11893</v>
      </c>
      <c r="AJ156">
        <f ca="1">IF(AND(ISNUMBER($AJ$358),$B$208=1),$AJ$358,HLOOKUP(INDIRECT(ADDRESS(2,COLUMN())),OFFSET($BN$2,0,0,ROW()-1,60),ROW()-1,FALSE))</f>
        <v>11569</v>
      </c>
      <c r="AK156">
        <f ca="1">IF(AND(ISNUMBER($AK$358),$B$208=1),$AK$358,HLOOKUP(INDIRECT(ADDRESS(2,COLUMN())),OFFSET($BN$2,0,0,ROW()-1,60),ROW()-1,FALSE))</f>
        <v>12443</v>
      </c>
      <c r="AL156">
        <f ca="1">IF(AND(ISNUMBER($AL$358),$B$208=1),$AL$358,HLOOKUP(INDIRECT(ADDRESS(2,COLUMN())),OFFSET($BN$2,0,0,ROW()-1,60),ROW()-1,FALSE))</f>
        <v>7447</v>
      </c>
      <c r="AM156">
        <f ca="1">IF(AND(ISNUMBER($AM$358),$B$208=1),$AM$358,HLOOKUP(INDIRECT(ADDRESS(2,COLUMN())),OFFSET($BN$2,0,0,ROW()-1,60),ROW()-1,FALSE))</f>
        <v>30232</v>
      </c>
      <c r="AN156">
        <f ca="1">IF(AND(ISNUMBER($AN$358),$B$208=1),$AN$358,HLOOKUP(INDIRECT(ADDRESS(2,COLUMN())),OFFSET($BN$2,0,0,ROW()-1,60),ROW()-1,FALSE))</f>
        <v>8680</v>
      </c>
      <c r="AO156">
        <f ca="1">IF(AND(ISNUMBER($AO$358),$B$208=1),$AO$358,HLOOKUP(INDIRECT(ADDRESS(2,COLUMN())),OFFSET($BN$2,0,0,ROW()-1,60),ROW()-1,FALSE))</f>
        <v>13421</v>
      </c>
      <c r="AP156">
        <f ca="1">IF(AND(ISNUMBER($AP$358),$B$208=1),$AP$358,HLOOKUP(INDIRECT(ADDRESS(2,COLUMN())),OFFSET($BN$2,0,0,ROW()-1,60),ROW()-1,FALSE))</f>
        <v>6357</v>
      </c>
      <c r="AQ156">
        <f ca="1">IF(AND(ISNUMBER($AQ$358),$B$208=1),$AQ$358,HLOOKUP(INDIRECT(ADDRESS(2,COLUMN())),OFFSET($BN$2,0,0,ROW()-1,60),ROW()-1,FALSE))</f>
        <v>7255</v>
      </c>
      <c r="AR156">
        <f ca="1">IF(AND(ISNUMBER($AR$358),$B$208=1),$AR$358,HLOOKUP(INDIRECT(ADDRESS(2,COLUMN())),OFFSET($BN$2,0,0,ROW()-1,60),ROW()-1,FALSE))</f>
        <v>8421</v>
      </c>
      <c r="AS156" t="str">
        <f ca="1">IF(AND(ISNUMBER($AS$358),$B$208=1),$AS$358,HLOOKUP(INDIRECT(ADDRESS(2,COLUMN())),OFFSET($BN$2,0,0,ROW()-1,60),ROW()-1,FALSE))</f>
        <v/>
      </c>
      <c r="AT156">
        <f ca="1">IF(AND(ISNUMBER($AT$358),$B$208=1),$AT$358,HLOOKUP(INDIRECT(ADDRESS(2,COLUMN())),OFFSET($BN$2,0,0,ROW()-1,60),ROW()-1,FALSE))</f>
        <v>259</v>
      </c>
      <c r="AU156">
        <f ca="1">IF(AND(ISNUMBER($AU$358),$B$208=1),$AU$358,HLOOKUP(INDIRECT(ADDRESS(2,COLUMN())),OFFSET($BN$2,0,0,ROW()-1,60),ROW()-1,FALSE))</f>
        <v>43405</v>
      </c>
      <c r="AV156">
        <f ca="1">IF(AND(ISNUMBER($AV$358),$B$208=1),$AV$358,HLOOKUP(INDIRECT(ADDRESS(2,COLUMN())),OFFSET($BN$2,0,0,ROW()-1,60),ROW()-1,FALSE))</f>
        <v>33368</v>
      </c>
      <c r="AW156">
        <f ca="1">IF(AND(ISNUMBER($AW$358),$B$208=1),$AW$358,HLOOKUP(INDIRECT(ADDRESS(2,COLUMN())),OFFSET($BN$2,0,0,ROW()-1,60),ROW()-1,FALSE))</f>
        <v>29127</v>
      </c>
      <c r="AX156">
        <f ca="1">IF(AND(ISNUMBER($AX$358),$B$208=1),$AX$358,HLOOKUP(INDIRECT(ADDRESS(2,COLUMN())),OFFSET($BN$2,0,0,ROW()-1,60),ROW()-1,FALSE))</f>
        <v>2821</v>
      </c>
      <c r="AY156">
        <f ca="1">IF(AND(ISNUMBER($AY$358),$B$208=1),$AY$358,HLOOKUP(INDIRECT(ADDRESS(2,COLUMN())),OFFSET($BN$2,0,0,ROW()-1,60),ROW()-1,FALSE))</f>
        <v>22001</v>
      </c>
      <c r="AZ156">
        <f ca="1">IF(AND(ISNUMBER($AZ$358),$B$208=1),$AZ$358,HLOOKUP(INDIRECT(ADDRESS(2,COLUMN())),OFFSET($BN$2,0,0,ROW()-1,60),ROW()-1,FALSE))</f>
        <v>32258</v>
      </c>
      <c r="BA156">
        <f ca="1">IF(AND(ISNUMBER($BA$358),$B$208=1),$BA$358,HLOOKUP(INDIRECT(ADDRESS(2,COLUMN())),OFFSET($BN$2,0,0,ROW()-1,60),ROW()-1,FALSE))</f>
        <v>1217</v>
      </c>
      <c r="BB156">
        <f ca="1">IF(AND(ISNUMBER($BB$358),$B$208=1),$BB$358,HLOOKUP(INDIRECT(ADDRESS(2,COLUMN())),OFFSET($BN$2,0,0,ROW()-1,60),ROW()-1,FALSE))</f>
        <v>18764</v>
      </c>
      <c r="BC156" t="str">
        <f ca="1">IF(AND(ISNUMBER($BC$358),$B$208=1),$BC$358,HLOOKUP(INDIRECT(ADDRESS(2,COLUMN())),OFFSET($BN$2,0,0,ROW()-1,60),ROW()-1,FALSE))</f>
        <v/>
      </c>
      <c r="BD156" t="str">
        <f ca="1">IF(AND(ISNUMBER($BD$358),$B$208=1),$BD$358,HLOOKUP(INDIRECT(ADDRESS(2,COLUMN())),OFFSET($BN$2,0,0,ROW()-1,60),ROW()-1,FALSE))</f>
        <v/>
      </c>
      <c r="BE156" t="str">
        <f ca="1">IF(AND(ISNUMBER($BE$358),$B$208=1),$BE$358,HLOOKUP(INDIRECT(ADDRESS(2,COLUMN())),OFFSET($BN$2,0,0,ROW()-1,60),ROW()-1,FALSE))</f>
        <v/>
      </c>
      <c r="BF156" t="str">
        <f ca="1">IF(AND(ISNUMBER($BF$358),$B$208=1),$BF$358,HLOOKUP(INDIRECT(ADDRESS(2,COLUMN())),OFFSET($BN$2,0,0,ROW()-1,60),ROW()-1,FALSE))</f>
        <v/>
      </c>
      <c r="BG156" t="str">
        <f ca="1">IF(AND(ISNUMBER($BG$358),$B$208=1),$BG$358,HLOOKUP(INDIRECT(ADDRESS(2,COLUMN())),OFFSET($BN$2,0,0,ROW()-1,60),ROW()-1,FALSE))</f>
        <v/>
      </c>
      <c r="BH156" t="str">
        <f ca="1">IF(AND(ISNUMBER($BH$358),$B$208=1),$BH$358,HLOOKUP(INDIRECT(ADDRESS(2,COLUMN())),OFFSET($BN$2,0,0,ROW()-1,60),ROW()-1,FALSE))</f>
        <v/>
      </c>
      <c r="BI156" t="str">
        <f ca="1">IF(AND(ISNUMBER($BI$358),$B$208=1),$BI$358,HLOOKUP(INDIRECT(ADDRESS(2,COLUMN())),OFFSET($BN$2,0,0,ROW()-1,60),ROW()-1,FALSE))</f>
        <v/>
      </c>
      <c r="BJ156" t="str">
        <f ca="1">IF(AND(ISNUMBER($BJ$358),$B$208=1),$BJ$358,HLOOKUP(INDIRECT(ADDRESS(2,COLUMN())),OFFSET($BN$2,0,0,ROW()-1,60),ROW()-1,FALSE))</f>
        <v/>
      </c>
      <c r="BK156" t="str">
        <f ca="1">IF(AND(ISNUMBER($BK$358),$B$208=1),$BK$358,HLOOKUP(INDIRECT(ADDRESS(2,COLUMN())),OFFSET($BN$2,0,0,ROW()-1,60),ROW()-1,FALSE))</f>
        <v/>
      </c>
      <c r="BL156" t="str">
        <f ca="1">IF(AND(ISNUMBER($BL$358),$B$208=1),$BL$358,HLOOKUP(INDIRECT(ADDRESS(2,COLUMN())),OFFSET($BN$2,0,0,ROW()-1,60),ROW()-1,FALSE))</f>
        <v/>
      </c>
      <c r="BM156" t="str">
        <f ca="1">IF(AND(ISNUMBER($BM$358),$B$208=1),$BM$358,HLOOKUP(INDIRECT(ADDRESS(2,COLUMN())),OFFSET($BN$2,0,0,ROW()-1,60),ROW()-1,FALSE))</f>
        <v/>
      </c>
      <c r="BN156">
        <f>0</f>
        <v>0</v>
      </c>
      <c r="BO156">
        <f>0</f>
        <v>0</v>
      </c>
      <c r="BP156">
        <f>0</f>
        <v>0</v>
      </c>
      <c r="BQ156" t="str">
        <f>""</f>
        <v/>
      </c>
      <c r="BR156" t="str">
        <f>""</f>
        <v/>
      </c>
      <c r="BS156" t="str">
        <f>""</f>
        <v/>
      </c>
      <c r="BT156" t="str">
        <f>""</f>
        <v/>
      </c>
      <c r="BU156" t="str">
        <f>""</f>
        <v/>
      </c>
      <c r="BV156" t="str">
        <f>""</f>
        <v/>
      </c>
      <c r="BW156" t="str">
        <f>""</f>
        <v/>
      </c>
      <c r="BX156" t="str">
        <f>""</f>
        <v/>
      </c>
      <c r="BY156" t="str">
        <f>""</f>
        <v/>
      </c>
      <c r="BZ156">
        <f>1951</f>
        <v>1951</v>
      </c>
      <c r="CA156">
        <f>2490</f>
        <v>2490</v>
      </c>
      <c r="CB156">
        <f>2804</f>
        <v>2804</v>
      </c>
      <c r="CC156">
        <f>3014</f>
        <v>3014</v>
      </c>
      <c r="CD156">
        <f>3838</f>
        <v>3838</v>
      </c>
      <c r="CE156">
        <f>3911</f>
        <v>3911</v>
      </c>
      <c r="CF156">
        <f>8903</f>
        <v>8903</v>
      </c>
      <c r="CG156">
        <f>3659</f>
        <v>3659</v>
      </c>
      <c r="CH156">
        <f>3342</f>
        <v>3342</v>
      </c>
      <c r="CI156">
        <f>4452</f>
        <v>4452</v>
      </c>
      <c r="CJ156">
        <f>6527</f>
        <v>6527</v>
      </c>
      <c r="CK156">
        <f>3434</f>
        <v>3434</v>
      </c>
      <c r="CL156">
        <f>3185</f>
        <v>3185</v>
      </c>
      <c r="CM156">
        <f>3150</f>
        <v>3150</v>
      </c>
      <c r="CN156">
        <f>5857</f>
        <v>5857</v>
      </c>
      <c r="CO156">
        <f>9964</f>
        <v>9964</v>
      </c>
      <c r="CP156">
        <f>8975</f>
        <v>8975</v>
      </c>
      <c r="CQ156">
        <f>11893</f>
        <v>11893</v>
      </c>
      <c r="CR156">
        <f>11569</f>
        <v>11569</v>
      </c>
      <c r="CS156">
        <f>12443</f>
        <v>12443</v>
      </c>
      <c r="CT156">
        <f>7447</f>
        <v>7447</v>
      </c>
      <c r="CU156">
        <f>30232</f>
        <v>30232</v>
      </c>
      <c r="CV156">
        <f>8680</f>
        <v>8680</v>
      </c>
      <c r="CW156">
        <f>13421</f>
        <v>13421</v>
      </c>
      <c r="CX156">
        <f>6357</f>
        <v>6357</v>
      </c>
      <c r="CY156">
        <f>7255</f>
        <v>7255</v>
      </c>
      <c r="CZ156">
        <f>8421</f>
        <v>8421</v>
      </c>
      <c r="DA156" t="str">
        <f>""</f>
        <v/>
      </c>
      <c r="DB156">
        <f>259</f>
        <v>259</v>
      </c>
      <c r="DC156">
        <f>43405</f>
        <v>43405</v>
      </c>
      <c r="DD156">
        <f>33368</f>
        <v>33368</v>
      </c>
      <c r="DE156">
        <f>29127</f>
        <v>29127</v>
      </c>
      <c r="DF156">
        <f>2821</f>
        <v>2821</v>
      </c>
      <c r="DG156">
        <f>22001</f>
        <v>22001</v>
      </c>
      <c r="DH156">
        <f>32258</f>
        <v>32258</v>
      </c>
      <c r="DI156">
        <f>1217</f>
        <v>1217</v>
      </c>
      <c r="DJ156">
        <f>18764</f>
        <v>18764</v>
      </c>
      <c r="DK156" t="str">
        <f>""</f>
        <v/>
      </c>
      <c r="DL156" t="str">
        <f>""</f>
        <v/>
      </c>
      <c r="DM156" t="str">
        <f>""</f>
        <v/>
      </c>
      <c r="DN156" t="str">
        <f>""</f>
        <v/>
      </c>
      <c r="DO156" t="str">
        <f>""</f>
        <v/>
      </c>
      <c r="DP156" t="str">
        <f>""</f>
        <v/>
      </c>
      <c r="DQ156" t="str">
        <f>""</f>
        <v/>
      </c>
      <c r="DR156" t="str">
        <f>""</f>
        <v/>
      </c>
      <c r="DS156" t="str">
        <f>""</f>
        <v/>
      </c>
      <c r="DT156" t="str">
        <f>""</f>
        <v/>
      </c>
      <c r="DU156" t="str">
        <f>""</f>
        <v/>
      </c>
    </row>
    <row r="157" spans="1:125" x14ac:dyDescent="0.25">
      <c r="A157" t="str">
        <f>"    AIB Group PLC"</f>
        <v xml:space="preserve">    AIB Group PLC</v>
      </c>
      <c r="B157" t="str">
        <f>"AIBG ID Equity"</f>
        <v>AIBG ID Equity</v>
      </c>
      <c r="C157" t="str">
        <f t="shared" si="12"/>
        <v>BS018</v>
      </c>
      <c r="D157" t="str">
        <f t="shared" si="13"/>
        <v>BS_OTHER_LOAN</v>
      </c>
      <c r="E157" t="str">
        <f t="shared" si="14"/>
        <v>Dynamic</v>
      </c>
      <c r="F157" t="str">
        <f ca="1">IF(AND(ISNUMBER($F$359),$B$208=1),$F$359,HLOOKUP(INDIRECT(ADDRESS(2,COLUMN())),OFFSET($BN$2,0,0,ROW()-1,60),ROW()-1,FALSE))</f>
        <v/>
      </c>
      <c r="G157" t="str">
        <f ca="1">IF(AND(ISNUMBER($G$359),$B$208=1),$G$359,HLOOKUP(INDIRECT(ADDRESS(2,COLUMN())),OFFSET($BN$2,0,0,ROW()-1,60),ROW()-1,FALSE))</f>
        <v/>
      </c>
      <c r="H157" t="str">
        <f ca="1">IF(AND(ISNUMBER($H$359),$B$208=1),$H$359,HLOOKUP(INDIRECT(ADDRESS(2,COLUMN())),OFFSET($BN$2,0,0,ROW()-1,60),ROW()-1,FALSE))</f>
        <v/>
      </c>
      <c r="I157" t="str">
        <f ca="1">IF(AND(ISNUMBER($I$359),$B$208=1),$I$359,HLOOKUP(INDIRECT(ADDRESS(2,COLUMN())),OFFSET($BN$2,0,0,ROW()-1,60),ROW()-1,FALSE))</f>
        <v/>
      </c>
      <c r="J157" t="str">
        <f ca="1">IF(AND(ISNUMBER($J$359),$B$208=1),$J$359,HLOOKUP(INDIRECT(ADDRESS(2,COLUMN())),OFFSET($BN$2,0,0,ROW()-1,60),ROW()-1,FALSE))</f>
        <v/>
      </c>
      <c r="K157" t="str">
        <f ca="1">IF(AND(ISNUMBER($K$359),$B$208=1),$K$359,HLOOKUP(INDIRECT(ADDRESS(2,COLUMN())),OFFSET($BN$2,0,0,ROW()-1,60),ROW()-1,FALSE))</f>
        <v/>
      </c>
      <c r="L157" t="str">
        <f ca="1">IF(AND(ISNUMBER($L$359),$B$208=1),$L$359,HLOOKUP(INDIRECT(ADDRESS(2,COLUMN())),OFFSET($BN$2,0,0,ROW()-1,60),ROW()-1,FALSE))</f>
        <v/>
      </c>
      <c r="M157" t="str">
        <f ca="1">IF(AND(ISNUMBER($M$359),$B$208=1),$M$359,HLOOKUP(INDIRECT(ADDRESS(2,COLUMN())),OFFSET($BN$2,0,0,ROW()-1,60),ROW()-1,FALSE))</f>
        <v/>
      </c>
      <c r="N157" t="str">
        <f ca="1">IF(AND(ISNUMBER($N$359),$B$208=1),$N$359,HLOOKUP(INDIRECT(ADDRESS(2,COLUMN())),OFFSET($BN$2,0,0,ROW()-1,60),ROW()-1,FALSE))</f>
        <v/>
      </c>
      <c r="O157" t="str">
        <f ca="1">IF(AND(ISNUMBER($O$359),$B$208=1),$O$359,HLOOKUP(INDIRECT(ADDRESS(2,COLUMN())),OFFSET($BN$2,0,0,ROW()-1,60),ROW()-1,FALSE))</f>
        <v/>
      </c>
      <c r="P157" t="str">
        <f ca="1">IF(AND(ISNUMBER($P$359),$B$208=1),$P$359,HLOOKUP(INDIRECT(ADDRESS(2,COLUMN())),OFFSET($BN$2,0,0,ROW()-1,60),ROW()-1,FALSE))</f>
        <v/>
      </c>
      <c r="Q157" t="str">
        <f ca="1">IF(AND(ISNUMBER($Q$359),$B$208=1),$Q$359,HLOOKUP(INDIRECT(ADDRESS(2,COLUMN())),OFFSET($BN$2,0,0,ROW()-1,60),ROW()-1,FALSE))</f>
        <v/>
      </c>
      <c r="R157" t="str">
        <f ca="1">IF(AND(ISNUMBER($R$359),$B$208=1),$R$359,HLOOKUP(INDIRECT(ADDRESS(2,COLUMN())),OFFSET($BN$2,0,0,ROW()-1,60),ROW()-1,FALSE))</f>
        <v/>
      </c>
      <c r="S157" t="str">
        <f ca="1">IF(AND(ISNUMBER($S$359),$B$208=1),$S$359,HLOOKUP(INDIRECT(ADDRESS(2,COLUMN())),OFFSET($BN$2,0,0,ROW()-1,60),ROW()-1,FALSE))</f>
        <v/>
      </c>
      <c r="T157" t="str">
        <f ca="1">IF(AND(ISNUMBER($T$359),$B$208=1),$T$359,HLOOKUP(INDIRECT(ADDRESS(2,COLUMN())),OFFSET($BN$2,0,0,ROW()-1,60),ROW()-1,FALSE))</f>
        <v/>
      </c>
      <c r="U157" t="str">
        <f ca="1">IF(AND(ISNUMBER($U$359),$B$208=1),$U$359,HLOOKUP(INDIRECT(ADDRESS(2,COLUMN())),OFFSET($BN$2,0,0,ROW()-1,60),ROW()-1,FALSE))</f>
        <v/>
      </c>
      <c r="V157" t="str">
        <f ca="1">IF(AND(ISNUMBER($V$359),$B$208=1),$V$359,HLOOKUP(INDIRECT(ADDRESS(2,COLUMN())),OFFSET($BN$2,0,0,ROW()-1,60),ROW()-1,FALSE))</f>
        <v/>
      </c>
      <c r="W157" t="str">
        <f ca="1">IF(AND(ISNUMBER($W$359),$B$208=1),$W$359,HLOOKUP(INDIRECT(ADDRESS(2,COLUMN())),OFFSET($BN$2,0,0,ROW()-1,60),ROW()-1,FALSE))</f>
        <v/>
      </c>
      <c r="X157" t="str">
        <f ca="1">IF(AND(ISNUMBER($X$359),$B$208=1),$X$359,HLOOKUP(INDIRECT(ADDRESS(2,COLUMN())),OFFSET($BN$2,0,0,ROW()-1,60),ROW()-1,FALSE))</f>
        <v/>
      </c>
      <c r="Y157" t="str">
        <f ca="1">IF(AND(ISNUMBER($Y$359),$B$208=1),$Y$359,HLOOKUP(INDIRECT(ADDRESS(2,COLUMN())),OFFSET($BN$2,0,0,ROW()-1,60),ROW()-1,FALSE))</f>
        <v/>
      </c>
      <c r="Z157" t="str">
        <f ca="1">IF(AND(ISNUMBER($Z$359),$B$208=1),$Z$359,HLOOKUP(INDIRECT(ADDRESS(2,COLUMN())),OFFSET($BN$2,0,0,ROW()-1,60),ROW()-1,FALSE))</f>
        <v/>
      </c>
      <c r="AA157" t="str">
        <f ca="1">IF(AND(ISNUMBER($AA$359),$B$208=1),$AA$359,HLOOKUP(INDIRECT(ADDRESS(2,COLUMN())),OFFSET($BN$2,0,0,ROW()-1,60),ROW()-1,FALSE))</f>
        <v/>
      </c>
      <c r="AB157" t="str">
        <f ca="1">IF(AND(ISNUMBER($AB$359),$B$208=1),$AB$359,HLOOKUP(INDIRECT(ADDRESS(2,COLUMN())),OFFSET($BN$2,0,0,ROW()-1,60),ROW()-1,FALSE))</f>
        <v/>
      </c>
      <c r="AC157" t="str">
        <f ca="1">IF(AND(ISNUMBER($AC$359),$B$208=1),$AC$359,HLOOKUP(INDIRECT(ADDRESS(2,COLUMN())),OFFSET($BN$2,0,0,ROW()-1,60),ROW()-1,FALSE))</f>
        <v/>
      </c>
      <c r="AD157" t="str">
        <f ca="1">IF(AND(ISNUMBER($AD$359),$B$208=1),$AD$359,HLOOKUP(INDIRECT(ADDRESS(2,COLUMN())),OFFSET($BN$2,0,0,ROW()-1,60),ROW()-1,FALSE))</f>
        <v/>
      </c>
      <c r="AE157" t="str">
        <f ca="1">IF(AND(ISNUMBER($AE$359),$B$208=1),$AE$359,HLOOKUP(INDIRECT(ADDRESS(2,COLUMN())),OFFSET($BN$2,0,0,ROW()-1,60),ROW()-1,FALSE))</f>
        <v/>
      </c>
      <c r="AF157" t="str">
        <f ca="1">IF(AND(ISNUMBER($AF$359),$B$208=1),$AF$359,HLOOKUP(INDIRECT(ADDRESS(2,COLUMN())),OFFSET($BN$2,0,0,ROW()-1,60),ROW()-1,FALSE))</f>
        <v/>
      </c>
      <c r="AG157" t="str">
        <f ca="1">IF(AND(ISNUMBER($AG$359),$B$208=1),$AG$359,HLOOKUP(INDIRECT(ADDRESS(2,COLUMN())),OFFSET($BN$2,0,0,ROW()-1,60),ROW()-1,FALSE))</f>
        <v/>
      </c>
      <c r="AH157" t="str">
        <f ca="1">IF(AND(ISNUMBER($AH$359),$B$208=1),$AH$359,HLOOKUP(INDIRECT(ADDRESS(2,COLUMN())),OFFSET($BN$2,0,0,ROW()-1,60),ROW()-1,FALSE))</f>
        <v/>
      </c>
      <c r="AI157" t="str">
        <f ca="1">IF(AND(ISNUMBER($AI$359),$B$208=1),$AI$359,HLOOKUP(INDIRECT(ADDRESS(2,COLUMN())),OFFSET($BN$2,0,0,ROW()-1,60),ROW()-1,FALSE))</f>
        <v/>
      </c>
      <c r="AJ157" t="str">
        <f ca="1">IF(AND(ISNUMBER($AJ$359),$B$208=1),$AJ$359,HLOOKUP(INDIRECT(ADDRESS(2,COLUMN())),OFFSET($BN$2,0,0,ROW()-1,60),ROW()-1,FALSE))</f>
        <v/>
      </c>
      <c r="AK157" t="str">
        <f ca="1">IF(AND(ISNUMBER($AK$359),$B$208=1),$AK$359,HLOOKUP(INDIRECT(ADDRESS(2,COLUMN())),OFFSET($BN$2,0,0,ROW()-1,60),ROW()-1,FALSE))</f>
        <v/>
      </c>
      <c r="AL157" t="str">
        <f ca="1">IF(AND(ISNUMBER($AL$359),$B$208=1),$AL$359,HLOOKUP(INDIRECT(ADDRESS(2,COLUMN())),OFFSET($BN$2,0,0,ROW()-1,60),ROW()-1,FALSE))</f>
        <v/>
      </c>
      <c r="AM157" t="str">
        <f ca="1">IF(AND(ISNUMBER($AM$359),$B$208=1),$AM$359,HLOOKUP(INDIRECT(ADDRESS(2,COLUMN())),OFFSET($BN$2,0,0,ROW()-1,60),ROW()-1,FALSE))</f>
        <v/>
      </c>
      <c r="AN157" t="str">
        <f ca="1">IF(AND(ISNUMBER($AN$359),$B$208=1),$AN$359,HLOOKUP(INDIRECT(ADDRESS(2,COLUMN())),OFFSET($BN$2,0,0,ROW()-1,60),ROW()-1,FALSE))</f>
        <v/>
      </c>
      <c r="AO157" t="str">
        <f ca="1">IF(AND(ISNUMBER($AO$359),$B$208=1),$AO$359,HLOOKUP(INDIRECT(ADDRESS(2,COLUMN())),OFFSET($BN$2,0,0,ROW()-1,60),ROW()-1,FALSE))</f>
        <v/>
      </c>
      <c r="AP157" t="str">
        <f ca="1">IF(AND(ISNUMBER($AP$359),$B$208=1),$AP$359,HLOOKUP(INDIRECT(ADDRESS(2,COLUMN())),OFFSET($BN$2,0,0,ROW()-1,60),ROW()-1,FALSE))</f>
        <v/>
      </c>
      <c r="AQ157" t="str">
        <f ca="1">IF(AND(ISNUMBER($AQ$359),$B$208=1),$AQ$359,HLOOKUP(INDIRECT(ADDRESS(2,COLUMN())),OFFSET($BN$2,0,0,ROW()-1,60),ROW()-1,FALSE))</f>
        <v/>
      </c>
      <c r="AR157" t="str">
        <f ca="1">IF(AND(ISNUMBER($AR$359),$B$208=1),$AR$359,HLOOKUP(INDIRECT(ADDRESS(2,COLUMN())),OFFSET($BN$2,0,0,ROW()-1,60),ROW()-1,FALSE))</f>
        <v/>
      </c>
      <c r="AS157" t="str">
        <f ca="1">IF(AND(ISNUMBER($AS$359),$B$208=1),$AS$359,HLOOKUP(INDIRECT(ADDRESS(2,COLUMN())),OFFSET($BN$2,0,0,ROW()-1,60),ROW()-1,FALSE))</f>
        <v/>
      </c>
      <c r="AT157" t="str">
        <f ca="1">IF(AND(ISNUMBER($AT$359),$B$208=1),$AT$359,HLOOKUP(INDIRECT(ADDRESS(2,COLUMN())),OFFSET($BN$2,0,0,ROW()-1,60),ROW()-1,FALSE))</f>
        <v/>
      </c>
      <c r="AU157" t="str">
        <f ca="1">IF(AND(ISNUMBER($AU$359),$B$208=1),$AU$359,HLOOKUP(INDIRECT(ADDRESS(2,COLUMN())),OFFSET($BN$2,0,0,ROW()-1,60),ROW()-1,FALSE))</f>
        <v/>
      </c>
      <c r="AV157" t="str">
        <f ca="1">IF(AND(ISNUMBER($AV$359),$B$208=1),$AV$359,HLOOKUP(INDIRECT(ADDRESS(2,COLUMN())),OFFSET($BN$2,0,0,ROW()-1,60),ROW()-1,FALSE))</f>
        <v/>
      </c>
      <c r="AW157" t="str">
        <f ca="1">IF(AND(ISNUMBER($AW$359),$B$208=1),$AW$359,HLOOKUP(INDIRECT(ADDRESS(2,COLUMN())),OFFSET($BN$2,0,0,ROW()-1,60),ROW()-1,FALSE))</f>
        <v/>
      </c>
      <c r="AX157" t="str">
        <f ca="1">IF(AND(ISNUMBER($AX$359),$B$208=1),$AX$359,HLOOKUP(INDIRECT(ADDRESS(2,COLUMN())),OFFSET($BN$2,0,0,ROW()-1,60),ROW()-1,FALSE))</f>
        <v/>
      </c>
      <c r="AY157" t="str">
        <f ca="1">IF(AND(ISNUMBER($AY$359),$B$208=1),$AY$359,HLOOKUP(INDIRECT(ADDRESS(2,COLUMN())),OFFSET($BN$2,0,0,ROW()-1,60),ROW()-1,FALSE))</f>
        <v/>
      </c>
      <c r="AZ157" t="str">
        <f ca="1">IF(AND(ISNUMBER($AZ$359),$B$208=1),$AZ$359,HLOOKUP(INDIRECT(ADDRESS(2,COLUMN())),OFFSET($BN$2,0,0,ROW()-1,60),ROW()-1,FALSE))</f>
        <v/>
      </c>
      <c r="BA157" t="str">
        <f ca="1">IF(AND(ISNUMBER($BA$359),$B$208=1),$BA$359,HLOOKUP(INDIRECT(ADDRESS(2,COLUMN())),OFFSET($BN$2,0,0,ROW()-1,60),ROW()-1,FALSE))</f>
        <v/>
      </c>
      <c r="BB157" t="str">
        <f ca="1">IF(AND(ISNUMBER($BB$359),$B$208=1),$BB$359,HLOOKUP(INDIRECT(ADDRESS(2,COLUMN())),OFFSET($BN$2,0,0,ROW()-1,60),ROW()-1,FALSE))</f>
        <v/>
      </c>
      <c r="BC157" t="str">
        <f ca="1">IF(AND(ISNUMBER($BC$359),$B$208=1),$BC$359,HLOOKUP(INDIRECT(ADDRESS(2,COLUMN())),OFFSET($BN$2,0,0,ROW()-1,60),ROW()-1,FALSE))</f>
        <v/>
      </c>
      <c r="BD157" t="str">
        <f ca="1">IF(AND(ISNUMBER($BD$359),$B$208=1),$BD$359,HLOOKUP(INDIRECT(ADDRESS(2,COLUMN())),OFFSET($BN$2,0,0,ROW()-1,60),ROW()-1,FALSE))</f>
        <v/>
      </c>
      <c r="BE157" t="str">
        <f ca="1">IF(AND(ISNUMBER($BE$359),$B$208=1),$BE$359,HLOOKUP(INDIRECT(ADDRESS(2,COLUMN())),OFFSET($BN$2,0,0,ROW()-1,60),ROW()-1,FALSE))</f>
        <v/>
      </c>
      <c r="BF157" t="str">
        <f ca="1">IF(AND(ISNUMBER($BF$359),$B$208=1),$BF$359,HLOOKUP(INDIRECT(ADDRESS(2,COLUMN())),OFFSET($BN$2,0,0,ROW()-1,60),ROW()-1,FALSE))</f>
        <v/>
      </c>
      <c r="BG157" t="str">
        <f ca="1">IF(AND(ISNUMBER($BG$359),$B$208=1),$BG$359,HLOOKUP(INDIRECT(ADDRESS(2,COLUMN())),OFFSET($BN$2,0,0,ROW()-1,60),ROW()-1,FALSE))</f>
        <v/>
      </c>
      <c r="BH157" t="str">
        <f ca="1">IF(AND(ISNUMBER($BH$359),$B$208=1),$BH$359,HLOOKUP(INDIRECT(ADDRESS(2,COLUMN())),OFFSET($BN$2,0,0,ROW()-1,60),ROW()-1,FALSE))</f>
        <v/>
      </c>
      <c r="BI157" t="str">
        <f ca="1">IF(AND(ISNUMBER($BI$359),$B$208=1),$BI$359,HLOOKUP(INDIRECT(ADDRESS(2,COLUMN())),OFFSET($BN$2,0,0,ROW()-1,60),ROW()-1,FALSE))</f>
        <v/>
      </c>
      <c r="BJ157" t="str">
        <f ca="1">IF(AND(ISNUMBER($BJ$359),$B$208=1),$BJ$359,HLOOKUP(INDIRECT(ADDRESS(2,COLUMN())),OFFSET($BN$2,0,0,ROW()-1,60),ROW()-1,FALSE))</f>
        <v/>
      </c>
      <c r="BK157" t="str">
        <f ca="1">IF(AND(ISNUMBER($BK$359),$B$208=1),$BK$359,HLOOKUP(INDIRECT(ADDRESS(2,COLUMN())),OFFSET($BN$2,0,0,ROW()-1,60),ROW()-1,FALSE))</f>
        <v/>
      </c>
      <c r="BL157" t="str">
        <f ca="1">IF(AND(ISNUMBER($BL$359),$B$208=1),$BL$359,HLOOKUP(INDIRECT(ADDRESS(2,COLUMN())),OFFSET($BN$2,0,0,ROW()-1,60),ROW()-1,FALSE))</f>
        <v/>
      </c>
      <c r="BM157" t="str">
        <f ca="1">IF(AND(ISNUMBER($BM$359),$B$208=1),$BM$359,HLOOKUP(INDIRECT(ADDRESS(2,COLUMN())),OFFSET($BN$2,0,0,ROW()-1,60),ROW()-1,FALSE))</f>
        <v/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  <c r="CH157" t="str">
        <f>""</f>
        <v/>
      </c>
      <c r="CI157" t="str">
        <f>""</f>
        <v/>
      </c>
      <c r="CJ157" t="str">
        <f>""</f>
        <v/>
      </c>
      <c r="CK157" t="str">
        <f>""</f>
        <v/>
      </c>
      <c r="CL157" t="str">
        <f>""</f>
        <v/>
      </c>
      <c r="CM157" t="str">
        <f>""</f>
        <v/>
      </c>
      <c r="CN157" t="str">
        <f>""</f>
        <v/>
      </c>
      <c r="CO157" t="str">
        <f>""</f>
        <v/>
      </c>
      <c r="CP157" t="str">
        <f>""</f>
        <v/>
      </c>
      <c r="CQ157" t="str">
        <f>""</f>
        <v/>
      </c>
      <c r="CR157" t="str">
        <f>""</f>
        <v/>
      </c>
      <c r="CS157" t="str">
        <f>""</f>
        <v/>
      </c>
      <c r="CT157" t="str">
        <f>""</f>
        <v/>
      </c>
      <c r="CU157" t="str">
        <f>""</f>
        <v/>
      </c>
      <c r="CV157" t="str">
        <f>""</f>
        <v/>
      </c>
      <c r="CW157" t="str">
        <f>""</f>
        <v/>
      </c>
      <c r="CX157" t="str">
        <f>""</f>
        <v/>
      </c>
      <c r="CY157" t="str">
        <f>""</f>
        <v/>
      </c>
      <c r="CZ157" t="str">
        <f>""</f>
        <v/>
      </c>
      <c r="DA157" t="str">
        <f>""</f>
        <v/>
      </c>
      <c r="DB157" t="str">
        <f>""</f>
        <v/>
      </c>
      <c r="DC157" t="str">
        <f>""</f>
        <v/>
      </c>
      <c r="DD157" t="str">
        <f>""</f>
        <v/>
      </c>
      <c r="DE157" t="str">
        <f>""</f>
        <v/>
      </c>
      <c r="DF157" t="str">
        <f>""</f>
        <v/>
      </c>
      <c r="DG157" t="str">
        <f>""</f>
        <v/>
      </c>
      <c r="DH157" t="str">
        <f>""</f>
        <v/>
      </c>
      <c r="DI157" t="str">
        <f>""</f>
        <v/>
      </c>
      <c r="DJ157" t="str">
        <f>""</f>
        <v/>
      </c>
      <c r="DK157" t="str">
        <f>""</f>
        <v/>
      </c>
      <c r="DL157" t="str">
        <f>""</f>
        <v/>
      </c>
      <c r="DM157" t="str">
        <f>""</f>
        <v/>
      </c>
      <c r="DN157" t="str">
        <f>""</f>
        <v/>
      </c>
      <c r="DO157" t="str">
        <f>""</f>
        <v/>
      </c>
      <c r="DP157" t="str">
        <f>""</f>
        <v/>
      </c>
      <c r="DQ157" t="str">
        <f>""</f>
        <v/>
      </c>
      <c r="DR157" t="str">
        <f>""</f>
        <v/>
      </c>
      <c r="DS157" t="str">
        <f>""</f>
        <v/>
      </c>
      <c r="DT157" t="str">
        <f>""</f>
        <v/>
      </c>
      <c r="DU157" t="str">
        <f>""</f>
        <v/>
      </c>
    </row>
    <row r="158" spans="1:125" x14ac:dyDescent="0.25">
      <c r="A158" t="str">
        <f>"    Banco de Sabadell SA"</f>
        <v xml:space="preserve">    Banco de Sabadell SA</v>
      </c>
      <c r="B158" t="str">
        <f>"SAB SM Equity"</f>
        <v>SAB SM Equity</v>
      </c>
      <c r="C158" t="str">
        <f t="shared" si="12"/>
        <v>BS018</v>
      </c>
      <c r="D158" t="str">
        <f t="shared" si="13"/>
        <v>BS_OTHER_LOAN</v>
      </c>
      <c r="E158" t="str">
        <f t="shared" si="14"/>
        <v>Dynamic</v>
      </c>
      <c r="F158">
        <f ca="1">IF(AND(ISNUMBER($F$360),$B$208=1),$F$360,HLOOKUP(INDIRECT(ADDRESS(2,COLUMN())),OFFSET($BN$2,0,0,ROW()-1,60),ROW()-1,FALSE))</f>
        <v>55378.385000000002</v>
      </c>
      <c r="G158">
        <f ca="1">IF(AND(ISNUMBER($G$360),$B$208=1),$G$360,HLOOKUP(INDIRECT(ADDRESS(2,COLUMN())),OFFSET($BN$2,0,0,ROW()-1,60),ROW()-1,FALSE))</f>
        <v>12682</v>
      </c>
      <c r="H158">
        <f ca="1">IF(AND(ISNUMBER($H$360),$B$208=1),$H$360,HLOOKUP(INDIRECT(ADDRESS(2,COLUMN())),OFFSET($BN$2,0,0,ROW()-1,60),ROW()-1,FALSE))</f>
        <v>13246</v>
      </c>
      <c r="I158">
        <f ca="1">IF(AND(ISNUMBER($I$360),$B$208=1),$I$360,HLOOKUP(INDIRECT(ADDRESS(2,COLUMN())),OFFSET($BN$2,0,0,ROW()-1,60),ROW()-1,FALSE))</f>
        <v>13184</v>
      </c>
      <c r="J158">
        <f ca="1">IF(AND(ISNUMBER($J$360),$B$208=1),$J$360,HLOOKUP(INDIRECT(ADDRESS(2,COLUMN())),OFFSET($BN$2,0,0,ROW()-1,60),ROW()-1,FALSE))</f>
        <v>54033.925999999999</v>
      </c>
      <c r="K158">
        <f ca="1">IF(AND(ISNUMBER($K$360),$B$208=1),$K$360,HLOOKUP(INDIRECT(ADDRESS(2,COLUMN())),OFFSET($BN$2,0,0,ROW()-1,60),ROW()-1,FALSE))</f>
        <v>13543</v>
      </c>
      <c r="L158">
        <f ca="1">IF(AND(ISNUMBER($L$360),$B$208=1),$L$360,HLOOKUP(INDIRECT(ADDRESS(2,COLUMN())),OFFSET($BN$2,0,0,ROW()-1,60),ROW()-1,FALSE))</f>
        <v>57122.036999999997</v>
      </c>
      <c r="M158">
        <f ca="1">IF(AND(ISNUMBER($M$360),$B$208=1),$M$360,HLOOKUP(INDIRECT(ADDRESS(2,COLUMN())),OFFSET($BN$2,0,0,ROW()-1,60),ROW()-1,FALSE))</f>
        <v>11305</v>
      </c>
      <c r="N158">
        <f ca="1">IF(AND(ISNUMBER($N$360),$B$208=1),$N$360,HLOOKUP(INDIRECT(ADDRESS(2,COLUMN())),OFFSET($BN$2,0,0,ROW()-1,60),ROW()-1,FALSE))</f>
        <v>58139.504999999997</v>
      </c>
      <c r="O158">
        <f ca="1">IF(AND(ISNUMBER($O$360),$B$208=1),$O$360,HLOOKUP(INDIRECT(ADDRESS(2,COLUMN())),OFFSET($BN$2,0,0,ROW()-1,60),ROW()-1,FALSE))</f>
        <v>11182</v>
      </c>
      <c r="P158">
        <f ca="1">IF(AND(ISNUMBER($P$360),$B$208=1),$P$360,HLOOKUP(INDIRECT(ADDRESS(2,COLUMN())),OFFSET($BN$2,0,0,ROW()-1,60),ROW()-1,FALSE))</f>
        <v>59574.144</v>
      </c>
      <c r="Q158">
        <f ca="1">IF(AND(ISNUMBER($Q$360),$B$208=1),$Q$360,HLOOKUP(INDIRECT(ADDRESS(2,COLUMN())),OFFSET($BN$2,0,0,ROW()-1,60),ROW()-1,FALSE))</f>
        <v>11194</v>
      </c>
      <c r="R158">
        <f ca="1">IF(AND(ISNUMBER($R$360),$B$208=1),$R$360,HLOOKUP(INDIRECT(ADDRESS(2,COLUMN())),OFFSET($BN$2,0,0,ROW()-1,60),ROW()-1,FALSE))</f>
        <v>57429.576000000001</v>
      </c>
      <c r="S158">
        <f ca="1">IF(AND(ISNUMBER($S$360),$B$208=1),$S$360,HLOOKUP(INDIRECT(ADDRESS(2,COLUMN())),OFFSET($BN$2,0,0,ROW()-1,60),ROW()-1,FALSE))</f>
        <v>11122</v>
      </c>
      <c r="T158">
        <f ca="1">IF(AND(ISNUMBER($T$360),$B$208=1),$T$360,HLOOKUP(INDIRECT(ADDRESS(2,COLUMN())),OFFSET($BN$2,0,0,ROW()-1,60),ROW()-1,FALSE))</f>
        <v>57520.841999999997</v>
      </c>
      <c r="U158">
        <f ca="1">IF(AND(ISNUMBER($U$360),$B$208=1),$U$360,HLOOKUP(INDIRECT(ADDRESS(2,COLUMN())),OFFSET($BN$2,0,0,ROW()-1,60),ROW()-1,FALSE))</f>
        <v>11540</v>
      </c>
      <c r="V158">
        <f ca="1">IF(AND(ISNUMBER($V$360),$B$208=1),$V$360,HLOOKUP(INDIRECT(ADDRESS(2,COLUMN())),OFFSET($BN$2,0,0,ROW()-1,60),ROW()-1,FALSE))</f>
        <v>55169.928</v>
      </c>
      <c r="W158">
        <f ca="1">IF(AND(ISNUMBER($W$360),$B$208=1),$W$360,HLOOKUP(INDIRECT(ADDRESS(2,COLUMN())),OFFSET($BN$2,0,0,ROW()-1,60),ROW()-1,FALSE))</f>
        <v>12033</v>
      </c>
      <c r="X158">
        <f ca="1">IF(AND(ISNUMBER($X$360),$B$208=1),$X$360,HLOOKUP(INDIRECT(ADDRESS(2,COLUMN())),OFFSET($BN$2,0,0,ROW()-1,60),ROW()-1,FALSE))</f>
        <v>56523.55</v>
      </c>
      <c r="Y158">
        <f ca="1">IF(AND(ISNUMBER($Y$360),$B$208=1),$Y$360,HLOOKUP(INDIRECT(ADDRESS(2,COLUMN())),OFFSET($BN$2,0,0,ROW()-1,60),ROW()-1,FALSE))</f>
        <v>11713</v>
      </c>
      <c r="Z158">
        <f ca="1">IF(AND(ISNUMBER($Z$360),$B$208=1),$Z$360,HLOOKUP(INDIRECT(ADDRESS(2,COLUMN())),OFFSET($BN$2,0,0,ROW()-1,60),ROW()-1,FALSE))</f>
        <v>49879.256000000001</v>
      </c>
      <c r="AA158">
        <f ca="1">IF(AND(ISNUMBER($AA$360),$B$208=1),$AA$360,HLOOKUP(INDIRECT(ADDRESS(2,COLUMN())),OFFSET($BN$2,0,0,ROW()-1,60),ROW()-1,FALSE))</f>
        <v>11959</v>
      </c>
      <c r="AB158">
        <f ca="1">IF(AND(ISNUMBER($AB$360),$B$208=1),$AB$360,HLOOKUP(INDIRECT(ADDRESS(2,COLUMN())),OFFSET($BN$2,0,0,ROW()-1,60),ROW()-1,FALSE))</f>
        <v>50586.83</v>
      </c>
      <c r="AC158">
        <f ca="1">IF(AND(ISNUMBER($AC$360),$B$208=1),$AC$360,HLOOKUP(INDIRECT(ADDRESS(2,COLUMN())),OFFSET($BN$2,0,0,ROW()-1,60),ROW()-1,FALSE))</f>
        <v>11724</v>
      </c>
      <c r="AD158">
        <f ca="1">IF(AND(ISNUMBER($AD$360),$B$208=1),$AD$360,HLOOKUP(INDIRECT(ADDRESS(2,COLUMN())),OFFSET($BN$2,0,0,ROW()-1,60),ROW()-1,FALSE))</f>
        <v>48787.080999999998</v>
      </c>
      <c r="AE158">
        <f ca="1">IF(AND(ISNUMBER($AE$360),$B$208=1),$AE$360,HLOOKUP(INDIRECT(ADDRESS(2,COLUMN())),OFFSET($BN$2,0,0,ROW()-1,60),ROW()-1,FALSE))</f>
        <v>12105</v>
      </c>
      <c r="AF158">
        <f ca="1">IF(AND(ISNUMBER($AF$360),$B$208=1),$AF$360,HLOOKUP(INDIRECT(ADDRESS(2,COLUMN())),OFFSET($BN$2,0,0,ROW()-1,60),ROW()-1,FALSE))</f>
        <v>48255.614000000001</v>
      </c>
      <c r="AG158">
        <f ca="1">IF(AND(ISNUMBER($AG$360),$B$208=1),$AG$360,HLOOKUP(INDIRECT(ADDRESS(2,COLUMN())),OFFSET($BN$2,0,0,ROW()-1,60),ROW()-1,FALSE))</f>
        <v>12321</v>
      </c>
      <c r="AH158">
        <f ca="1">IF(AND(ISNUMBER($AH$360),$B$208=1),$AH$360,HLOOKUP(INDIRECT(ADDRESS(2,COLUMN())),OFFSET($BN$2,0,0,ROW()-1,60),ROW()-1,FALSE))</f>
        <v>47374.618999999999</v>
      </c>
      <c r="AI158">
        <f ca="1">IF(AND(ISNUMBER($AI$360),$B$208=1),$AI$360,HLOOKUP(INDIRECT(ADDRESS(2,COLUMN())),OFFSET($BN$2,0,0,ROW()-1,60),ROW()-1,FALSE))</f>
        <v>12794</v>
      </c>
      <c r="AJ158">
        <f ca="1">IF(AND(ISNUMBER($AJ$360),$B$208=1),$AJ$360,HLOOKUP(INDIRECT(ADDRESS(2,COLUMN())),OFFSET($BN$2,0,0,ROW()-1,60),ROW()-1,FALSE))</f>
        <v>45977.826999999997</v>
      </c>
      <c r="AK158">
        <f ca="1">IF(AND(ISNUMBER($AK$360),$B$208=1),$AK$360,HLOOKUP(INDIRECT(ADDRESS(2,COLUMN())),OFFSET($BN$2,0,0,ROW()-1,60),ROW()-1,FALSE))</f>
        <v>13646</v>
      </c>
      <c r="AL158">
        <f ca="1">IF(AND(ISNUMBER($AL$360),$B$208=1),$AL$360,HLOOKUP(INDIRECT(ADDRESS(2,COLUMN())),OFFSET($BN$2,0,0,ROW()-1,60),ROW()-1,FALSE))</f>
        <v>47070.207000000002</v>
      </c>
      <c r="AM158">
        <f ca="1">IF(AND(ISNUMBER($AM$360),$B$208=1),$AM$360,HLOOKUP(INDIRECT(ADDRESS(2,COLUMN())),OFFSET($BN$2,0,0,ROW()-1,60),ROW()-1,FALSE))</f>
        <v>14387</v>
      </c>
      <c r="AN158">
        <f ca="1">IF(AND(ISNUMBER($AN$360),$B$208=1),$AN$360,HLOOKUP(INDIRECT(ADDRESS(2,COLUMN())),OFFSET($BN$2,0,0,ROW()-1,60),ROW()-1,FALSE))</f>
        <v>47731.45</v>
      </c>
      <c r="AO158">
        <f ca="1">IF(AND(ISNUMBER($AO$360),$B$208=1),$AO$360,HLOOKUP(INDIRECT(ADDRESS(2,COLUMN())),OFFSET($BN$2,0,0,ROW()-1,60),ROW()-1,FALSE))</f>
        <v>49612</v>
      </c>
      <c r="AP158">
        <f ca="1">IF(AND(ISNUMBER($AP$360),$B$208=1),$AP$360,HLOOKUP(INDIRECT(ADDRESS(2,COLUMN())),OFFSET($BN$2,0,0,ROW()-1,60),ROW()-1,FALSE))</f>
        <v>47813.364000000001</v>
      </c>
      <c r="AQ158">
        <f ca="1">IF(AND(ISNUMBER($AQ$360),$B$208=1),$AQ$360,HLOOKUP(INDIRECT(ADDRESS(2,COLUMN())),OFFSET($BN$2,0,0,ROW()-1,60),ROW()-1,FALSE))</f>
        <v>50312</v>
      </c>
      <c r="AR158">
        <f ca="1">IF(AND(ISNUMBER($AR$360),$B$208=1),$AR$360,HLOOKUP(INDIRECT(ADDRESS(2,COLUMN())),OFFSET($BN$2,0,0,ROW()-1,60),ROW()-1,FALSE))</f>
        <v>51158.857000000004</v>
      </c>
      <c r="AS158">
        <f ca="1">IF(AND(ISNUMBER($AS$360),$B$208=1),$AS$360,HLOOKUP(INDIRECT(ADDRESS(2,COLUMN())),OFFSET($BN$2,0,0,ROW()-1,60),ROW()-1,FALSE))</f>
        <v>48779.097000000002</v>
      </c>
      <c r="AT158">
        <f ca="1">IF(AND(ISNUMBER($AT$360),$B$208=1),$AT$360,HLOOKUP(INDIRECT(ADDRESS(2,COLUMN())),OFFSET($BN$2,0,0,ROW()-1,60),ROW()-1,FALSE))</f>
        <v>56872.398000000001</v>
      </c>
      <c r="AU158">
        <f ca="1">IF(AND(ISNUMBER($AU$360),$B$208=1),$AU$360,HLOOKUP(INDIRECT(ADDRESS(2,COLUMN())),OFFSET($BN$2,0,0,ROW()-1,60),ROW()-1,FALSE))</f>
        <v>47828</v>
      </c>
      <c r="AV158">
        <f ca="1">IF(AND(ISNUMBER($AV$360),$B$208=1),$AV$360,HLOOKUP(INDIRECT(ADDRESS(2,COLUMN())),OFFSET($BN$2,0,0,ROW()-1,60),ROW()-1,FALSE))</f>
        <v>54960.099000000002</v>
      </c>
      <c r="AW158">
        <f ca="1">IF(AND(ISNUMBER($AW$360),$B$208=1),$AW$360,HLOOKUP(INDIRECT(ADDRESS(2,COLUMN())),OFFSET($BN$2,0,0,ROW()-1,60),ROW()-1,FALSE))</f>
        <v>55175.343999999997</v>
      </c>
      <c r="AX158">
        <f ca="1">IF(AND(ISNUMBER($AX$360),$B$208=1),$AX$360,HLOOKUP(INDIRECT(ADDRESS(2,COLUMN())),OFFSET($BN$2,0,0,ROW()-1,60),ROW()-1,FALSE))</f>
        <v>56883.413</v>
      </c>
      <c r="AY158">
        <f ca="1">IF(AND(ISNUMBER($AY$360),$B$208=1),$AY$360,HLOOKUP(INDIRECT(ADDRESS(2,COLUMN())),OFFSET($BN$2,0,0,ROW()-1,60),ROW()-1,FALSE))</f>
        <v>53544.940999999999</v>
      </c>
      <c r="AZ158">
        <f ca="1">IF(AND(ISNUMBER($AZ$360),$B$208=1),$AZ$360,HLOOKUP(INDIRECT(ADDRESS(2,COLUMN())),OFFSET($BN$2,0,0,ROW()-1,60),ROW()-1,FALSE))</f>
        <v>50121.328000000001</v>
      </c>
      <c r="BA158">
        <f ca="1">IF(AND(ISNUMBER($BA$360),$B$208=1),$BA$360,HLOOKUP(INDIRECT(ADDRESS(2,COLUMN())),OFFSET($BN$2,0,0,ROW()-1,60),ROW()-1,FALSE))</f>
        <v>51237.762000000002</v>
      </c>
      <c r="BB158">
        <f ca="1">IF(AND(ISNUMBER($BB$360),$B$208=1),$BB$360,HLOOKUP(INDIRECT(ADDRESS(2,COLUMN())),OFFSET($BN$2,0,0,ROW()-1,60),ROW()-1,FALSE))</f>
        <v>54412.425000000003</v>
      </c>
      <c r="BC158">
        <f ca="1">IF(AND(ISNUMBER($BC$360),$B$208=1),$BC$360,HLOOKUP(INDIRECT(ADDRESS(2,COLUMN())),OFFSET($BN$2,0,0,ROW()-1,60),ROW()-1,FALSE))</f>
        <v>55085.375999999997</v>
      </c>
      <c r="BD158">
        <f ca="1">IF(AND(ISNUMBER($BD$360),$B$208=1),$BD$360,HLOOKUP(INDIRECT(ADDRESS(2,COLUMN())),OFFSET($BN$2,0,0,ROW()-1,60),ROW()-1,FALSE))</f>
        <v>54877.201000000001</v>
      </c>
      <c r="BE158">
        <f ca="1">IF(AND(ISNUMBER($BE$360),$B$208=1),$BE$360,HLOOKUP(INDIRECT(ADDRESS(2,COLUMN())),OFFSET($BN$2,0,0,ROW()-1,60),ROW()-1,FALSE))</f>
        <v>33144.196000000004</v>
      </c>
      <c r="BF158">
        <f ca="1">IF(AND(ISNUMBER($BF$360),$B$208=1),$BF$360,HLOOKUP(INDIRECT(ADDRESS(2,COLUMN())),OFFSET($BN$2,0,0,ROW()-1,60),ROW()-1,FALSE))</f>
        <v>34954.622000000003</v>
      </c>
      <c r="BG158">
        <f ca="1">IF(AND(ISNUMBER($BG$360),$B$208=1),$BG$360,HLOOKUP(INDIRECT(ADDRESS(2,COLUMN())),OFFSET($BN$2,0,0,ROW()-1,60),ROW()-1,FALSE))</f>
        <v>30956.63</v>
      </c>
      <c r="BH158">
        <f ca="1">IF(AND(ISNUMBER($BH$360),$B$208=1),$BH$360,HLOOKUP(INDIRECT(ADDRESS(2,COLUMN())),OFFSET($BN$2,0,0,ROW()-1,60),ROW()-1,FALSE))</f>
        <v>29898.002</v>
      </c>
      <c r="BI158">
        <f ca="1">IF(AND(ISNUMBER($BI$360),$B$208=1),$BI$360,HLOOKUP(INDIRECT(ADDRESS(2,COLUMN())),OFFSET($BN$2,0,0,ROW()-1,60),ROW()-1,FALSE))</f>
        <v>30566.821</v>
      </c>
      <c r="BJ158">
        <f ca="1">IF(AND(ISNUMBER($BJ$360),$B$208=1),$BJ$360,HLOOKUP(INDIRECT(ADDRESS(2,COLUMN())),OFFSET($BN$2,0,0,ROW()-1,60),ROW()-1,FALSE))</f>
        <v>33194.777000000002</v>
      </c>
      <c r="BK158">
        <f ca="1">IF(AND(ISNUMBER($BK$360),$B$208=1),$BK$360,HLOOKUP(INDIRECT(ADDRESS(2,COLUMN())),OFFSET($BN$2,0,0,ROW()-1,60),ROW()-1,FALSE))</f>
        <v>27355.512999999999</v>
      </c>
      <c r="BL158">
        <f ca="1">IF(AND(ISNUMBER($BL$360),$B$208=1),$BL$360,HLOOKUP(INDIRECT(ADDRESS(2,COLUMN())),OFFSET($BN$2,0,0,ROW()-1,60),ROW()-1,FALSE))</f>
        <v>29946.882000000001</v>
      </c>
      <c r="BM158" t="str">
        <f ca="1">IF(AND(ISNUMBER($BM$360),$B$208=1),$BM$360,HLOOKUP(INDIRECT(ADDRESS(2,COLUMN())),OFFSET($BN$2,0,0,ROW()-1,60),ROW()-1,FALSE))</f>
        <v/>
      </c>
      <c r="BN158">
        <f>55378.385</f>
        <v>55378.385000000002</v>
      </c>
      <c r="BO158">
        <f>12682</f>
        <v>12682</v>
      </c>
      <c r="BP158">
        <f>13246</f>
        <v>13246</v>
      </c>
      <c r="BQ158">
        <f>13184</f>
        <v>13184</v>
      </c>
      <c r="BR158">
        <f>54033.926</f>
        <v>54033.925999999999</v>
      </c>
      <c r="BS158">
        <f>13543</f>
        <v>13543</v>
      </c>
      <c r="BT158">
        <f>57122.037</f>
        <v>57122.036999999997</v>
      </c>
      <c r="BU158">
        <f>11305</f>
        <v>11305</v>
      </c>
      <c r="BV158">
        <f>58139.505</f>
        <v>58139.504999999997</v>
      </c>
      <c r="BW158">
        <f>11182</f>
        <v>11182</v>
      </c>
      <c r="BX158">
        <f>59574.144</f>
        <v>59574.144</v>
      </c>
      <c r="BY158">
        <f>11194</f>
        <v>11194</v>
      </c>
      <c r="BZ158">
        <f>57429.576</f>
        <v>57429.576000000001</v>
      </c>
      <c r="CA158">
        <f>11122</f>
        <v>11122</v>
      </c>
      <c r="CB158">
        <f>57520.842</f>
        <v>57520.841999999997</v>
      </c>
      <c r="CC158">
        <f>11540</f>
        <v>11540</v>
      </c>
      <c r="CD158">
        <f>55169.928</f>
        <v>55169.928</v>
      </c>
      <c r="CE158">
        <f>12033</f>
        <v>12033</v>
      </c>
      <c r="CF158">
        <f>56523.55</f>
        <v>56523.55</v>
      </c>
      <c r="CG158">
        <f>11713</f>
        <v>11713</v>
      </c>
      <c r="CH158">
        <f>49879.256</f>
        <v>49879.256000000001</v>
      </c>
      <c r="CI158">
        <f>11959</f>
        <v>11959</v>
      </c>
      <c r="CJ158">
        <f>50586.83</f>
        <v>50586.83</v>
      </c>
      <c r="CK158">
        <f>11724</f>
        <v>11724</v>
      </c>
      <c r="CL158">
        <f>48787.081</f>
        <v>48787.080999999998</v>
      </c>
      <c r="CM158">
        <f>12105</f>
        <v>12105</v>
      </c>
      <c r="CN158">
        <f>48255.614</f>
        <v>48255.614000000001</v>
      </c>
      <c r="CO158">
        <f>12321</f>
        <v>12321</v>
      </c>
      <c r="CP158">
        <f>47374.619</f>
        <v>47374.618999999999</v>
      </c>
      <c r="CQ158">
        <f>12794</f>
        <v>12794</v>
      </c>
      <c r="CR158">
        <f>45977.827</f>
        <v>45977.826999999997</v>
      </c>
      <c r="CS158">
        <f>13646</f>
        <v>13646</v>
      </c>
      <c r="CT158">
        <f>47070.207</f>
        <v>47070.207000000002</v>
      </c>
      <c r="CU158">
        <f>14387</f>
        <v>14387</v>
      </c>
      <c r="CV158">
        <f>47731.45</f>
        <v>47731.45</v>
      </c>
      <c r="CW158">
        <f>49612</f>
        <v>49612</v>
      </c>
      <c r="CX158">
        <f>47813.364</f>
        <v>47813.364000000001</v>
      </c>
      <c r="CY158">
        <f>50312</f>
        <v>50312</v>
      </c>
      <c r="CZ158">
        <f>51158.857</f>
        <v>51158.857000000004</v>
      </c>
      <c r="DA158">
        <f>48779.097</f>
        <v>48779.097000000002</v>
      </c>
      <c r="DB158">
        <f>56872.398</f>
        <v>56872.398000000001</v>
      </c>
      <c r="DC158">
        <f>47828</f>
        <v>47828</v>
      </c>
      <c r="DD158">
        <f>54960.099</f>
        <v>54960.099000000002</v>
      </c>
      <c r="DE158">
        <f>55175.344</f>
        <v>55175.343999999997</v>
      </c>
      <c r="DF158">
        <f>56883.413</f>
        <v>56883.413</v>
      </c>
      <c r="DG158">
        <f>53544.941</f>
        <v>53544.940999999999</v>
      </c>
      <c r="DH158">
        <f>50121.328</f>
        <v>50121.328000000001</v>
      </c>
      <c r="DI158">
        <f>51237.762</f>
        <v>51237.762000000002</v>
      </c>
      <c r="DJ158">
        <f>54412.425</f>
        <v>54412.425000000003</v>
      </c>
      <c r="DK158">
        <f>55085.376</f>
        <v>55085.375999999997</v>
      </c>
      <c r="DL158">
        <f>54877.201</f>
        <v>54877.201000000001</v>
      </c>
      <c r="DM158">
        <f>33144.196</f>
        <v>33144.196000000004</v>
      </c>
      <c r="DN158">
        <f>34954.622</f>
        <v>34954.622000000003</v>
      </c>
      <c r="DO158">
        <f>30956.63</f>
        <v>30956.63</v>
      </c>
      <c r="DP158">
        <f>29898.002</f>
        <v>29898.002</v>
      </c>
      <c r="DQ158">
        <f>30566.821</f>
        <v>30566.821</v>
      </c>
      <c r="DR158">
        <f>33194.777</f>
        <v>33194.777000000002</v>
      </c>
      <c r="DS158">
        <f>27355.513</f>
        <v>27355.512999999999</v>
      </c>
      <c r="DT158">
        <f>29946.882</f>
        <v>29946.882000000001</v>
      </c>
      <c r="DU158" t="str">
        <f>""</f>
        <v/>
      </c>
    </row>
    <row r="159" spans="1:125" x14ac:dyDescent="0.25">
      <c r="A159" t="str">
        <f>"    Banco Santander SA"</f>
        <v xml:space="preserve">    Banco Santander SA</v>
      </c>
      <c r="B159" t="str">
        <f>"SAN SM Equity"</f>
        <v>SAN SM Equity</v>
      </c>
      <c r="C159" t="str">
        <f t="shared" si="12"/>
        <v>BS018</v>
      </c>
      <c r="D159" t="str">
        <f t="shared" si="13"/>
        <v>BS_OTHER_LOAN</v>
      </c>
      <c r="E159" t="str">
        <f t="shared" si="14"/>
        <v>Dynamic</v>
      </c>
      <c r="F159">
        <f ca="1">IF(AND(ISNUMBER($F$361),$B$208=1),$F$361,HLOOKUP(INDIRECT(ADDRESS(2,COLUMN())),OFFSET($BN$2,0,0,ROW()-1,60),ROW()-1,FALSE))</f>
        <v>44487</v>
      </c>
      <c r="G159">
        <f ca="1">IF(AND(ISNUMBER($G$361),$B$208=1),$G$361,HLOOKUP(INDIRECT(ADDRESS(2,COLUMN())),OFFSET($BN$2,0,0,ROW()-1,60),ROW()-1,FALSE))</f>
        <v>44522</v>
      </c>
      <c r="H159">
        <f ca="1">IF(AND(ISNUMBER($H$361),$B$208=1),$H$361,HLOOKUP(INDIRECT(ADDRESS(2,COLUMN())),OFFSET($BN$2,0,0,ROW()-1,60),ROW()-1,FALSE))</f>
        <v>11783</v>
      </c>
      <c r="I159">
        <f ca="1">IF(AND(ISNUMBER($I$361),$B$208=1),$I$361,HLOOKUP(INDIRECT(ADDRESS(2,COLUMN())),OFFSET($BN$2,0,0,ROW()-1,60),ROW()-1,FALSE))</f>
        <v>14121</v>
      </c>
      <c r="J159">
        <f ca="1">IF(AND(ISNUMBER($J$361),$B$208=1),$J$361,HLOOKUP(INDIRECT(ADDRESS(2,COLUMN())),OFFSET($BN$2,0,0,ROW()-1,60),ROW()-1,FALSE))</f>
        <v>20849</v>
      </c>
      <c r="K159">
        <f ca="1">IF(AND(ISNUMBER($K$361),$B$208=1),$K$361,HLOOKUP(INDIRECT(ADDRESS(2,COLUMN())),OFFSET($BN$2,0,0,ROW()-1,60),ROW()-1,FALSE))</f>
        <v>18355</v>
      </c>
      <c r="L159">
        <f ca="1">IF(AND(ISNUMBER($L$361),$B$208=1),$L$361,HLOOKUP(INDIRECT(ADDRESS(2,COLUMN())),OFFSET($BN$2,0,0,ROW()-1,60),ROW()-1,FALSE))</f>
        <v>20674</v>
      </c>
      <c r="M159">
        <f ca="1">IF(AND(ISNUMBER($M$361),$B$208=1),$M$361,HLOOKUP(INDIRECT(ADDRESS(2,COLUMN())),OFFSET($BN$2,0,0,ROW()-1,60),ROW()-1,FALSE))</f>
        <v>18368</v>
      </c>
      <c r="N159">
        <f ca="1">IF(AND(ISNUMBER($N$361),$B$208=1),$N$361,HLOOKUP(INDIRECT(ADDRESS(2,COLUMN())),OFFSET($BN$2,0,0,ROW()-1,60),ROW()-1,FALSE))</f>
        <v>19916</v>
      </c>
      <c r="O159">
        <f ca="1">IF(AND(ISNUMBER($O$361),$B$208=1),$O$361,HLOOKUP(INDIRECT(ADDRESS(2,COLUMN())),OFFSET($BN$2,0,0,ROW()-1,60),ROW()-1,FALSE))</f>
        <v>16650</v>
      </c>
      <c r="P159">
        <f ca="1">IF(AND(ISNUMBER($P$361),$B$208=1),$P$361,HLOOKUP(INDIRECT(ADDRESS(2,COLUMN())),OFFSET($BN$2,0,0,ROW()-1,60),ROW()-1,FALSE))</f>
        <v>15598</v>
      </c>
      <c r="Q159">
        <f ca="1">IF(AND(ISNUMBER($Q$361),$B$208=1),$Q$361,HLOOKUP(INDIRECT(ADDRESS(2,COLUMN())),OFFSET($BN$2,0,0,ROW()-1,60),ROW()-1,FALSE))</f>
        <v>12802</v>
      </c>
      <c r="R159">
        <f ca="1">IF(AND(ISNUMBER($R$361),$B$208=1),$R$361,HLOOKUP(INDIRECT(ADDRESS(2,COLUMN())),OFFSET($BN$2,0,0,ROW()-1,60),ROW()-1,FALSE))</f>
        <v>16631</v>
      </c>
      <c r="S159">
        <f ca="1">IF(AND(ISNUMBER($S$361),$B$208=1),$S$361,HLOOKUP(INDIRECT(ADDRESS(2,COLUMN())),OFFSET($BN$2,0,0,ROW()-1,60),ROW()-1,FALSE))</f>
        <v>5733</v>
      </c>
      <c r="T159">
        <f ca="1">IF(AND(ISNUMBER($T$361),$B$208=1),$T$361,HLOOKUP(INDIRECT(ADDRESS(2,COLUMN())),OFFSET($BN$2,0,0,ROW()-1,60),ROW()-1,FALSE))</f>
        <v>8308</v>
      </c>
      <c r="U159">
        <f ca="1">IF(AND(ISNUMBER($U$361),$B$208=1),$U$361,HLOOKUP(INDIRECT(ADDRESS(2,COLUMN())),OFFSET($BN$2,0,0,ROW()-1,60),ROW()-1,FALSE))</f>
        <v>3791</v>
      </c>
      <c r="V159">
        <f ca="1">IF(AND(ISNUMBER($V$361),$B$208=1),$V$361,HLOOKUP(INDIRECT(ADDRESS(2,COLUMN())),OFFSET($BN$2,0,0,ROW()-1,60),ROW()-1,FALSE))</f>
        <v>4482</v>
      </c>
      <c r="W159">
        <f ca="1">IF(AND(ISNUMBER($W$361),$B$208=1),$W$361,HLOOKUP(INDIRECT(ADDRESS(2,COLUMN())),OFFSET($BN$2,0,0,ROW()-1,60),ROW()-1,FALSE))</f>
        <v>29596</v>
      </c>
      <c r="X159">
        <f ca="1">IF(AND(ISNUMBER($X$361),$B$208=1),$X$361,HLOOKUP(INDIRECT(ADDRESS(2,COLUMN())),OFFSET($BN$2,0,0,ROW()-1,60),ROW()-1,FALSE))</f>
        <v>41659</v>
      </c>
      <c r="Y159">
        <f ca="1">IF(AND(ISNUMBER($Y$361),$B$208=1),$Y$361,HLOOKUP(INDIRECT(ADDRESS(2,COLUMN())),OFFSET($BN$2,0,0,ROW()-1,60),ROW()-1,FALSE))</f>
        <v>1157</v>
      </c>
      <c r="Z159">
        <f ca="1">IF(AND(ISNUMBER($Z$361),$B$208=1),$Z$361,HLOOKUP(INDIRECT(ADDRESS(2,COLUMN())),OFFSET($BN$2,0,0,ROW()-1,60),ROW()-1,FALSE))</f>
        <v>40257</v>
      </c>
      <c r="AA159">
        <f ca="1">IF(AND(ISNUMBER($AA$361),$B$208=1),$AA$361,HLOOKUP(INDIRECT(ADDRESS(2,COLUMN())),OFFSET($BN$2,0,0,ROW()-1,60),ROW()-1,FALSE))</f>
        <v>40634</v>
      </c>
      <c r="AB159">
        <f ca="1">IF(AND(ISNUMBER($AB$361),$B$208=1),$AB$361,HLOOKUP(INDIRECT(ADDRESS(2,COLUMN())),OFFSET($BN$2,0,0,ROW()-1,60),ROW()-1,FALSE))</f>
        <v>41734</v>
      </c>
      <c r="AC159">
        <f ca="1">IF(AND(ISNUMBER($AC$361),$B$208=1),$AC$361,HLOOKUP(INDIRECT(ADDRESS(2,COLUMN())),OFFSET($BN$2,0,0,ROW()-1,60),ROW()-1,FALSE))</f>
        <v>42333</v>
      </c>
      <c r="AD159">
        <f ca="1">IF(AND(ISNUMBER($AD$361),$B$208=1),$AD$361,HLOOKUP(INDIRECT(ADDRESS(2,COLUMN())),OFFSET($BN$2,0,0,ROW()-1,60),ROW()-1,FALSE))</f>
        <v>43012</v>
      </c>
      <c r="AE159">
        <f ca="1">IF(AND(ISNUMBER($AE$361),$B$208=1),$AE$361,HLOOKUP(INDIRECT(ADDRESS(2,COLUMN())),OFFSET($BN$2,0,0,ROW()-1,60),ROW()-1,FALSE))</f>
        <v>43499</v>
      </c>
      <c r="AF159">
        <f ca="1">IF(AND(ISNUMBER($AF$361),$B$208=1),$AF$361,HLOOKUP(INDIRECT(ADDRESS(2,COLUMN())),OFFSET($BN$2,0,0,ROW()-1,60),ROW()-1,FALSE))</f>
        <v>45086</v>
      </c>
      <c r="AG159">
        <f ca="1">IF(AND(ISNUMBER($AG$361),$B$208=1),$AG$361,HLOOKUP(INDIRECT(ADDRESS(2,COLUMN())),OFFSET($BN$2,0,0,ROW()-1,60),ROW()-1,FALSE))</f>
        <v>44133</v>
      </c>
      <c r="AH159">
        <f ca="1">IF(AND(ISNUMBER($AH$361),$B$208=1),$AH$361,HLOOKUP(INDIRECT(ADDRESS(2,COLUMN())),OFFSET($BN$2,0,0,ROW()-1,60),ROW()-1,FALSE))</f>
        <v>61865</v>
      </c>
      <c r="AI159">
        <f ca="1">IF(AND(ISNUMBER($AI$361),$B$208=1),$AI$361,HLOOKUP(INDIRECT(ADDRESS(2,COLUMN())),OFFSET($BN$2,0,0,ROW()-1,60),ROW()-1,FALSE))</f>
        <v>110511</v>
      </c>
      <c r="AJ159">
        <f ca="1">IF(AND(ISNUMBER($AJ$361),$B$208=1),$AJ$361,HLOOKUP(INDIRECT(ADDRESS(2,COLUMN())),OFFSET($BN$2,0,0,ROW()-1,60),ROW()-1,FALSE))</f>
        <v>118322</v>
      </c>
      <c r="AK159">
        <f ca="1">IF(AND(ISNUMBER($AK$361),$B$208=1),$AK$361,HLOOKUP(INDIRECT(ADDRESS(2,COLUMN())),OFFSET($BN$2,0,0,ROW()-1,60),ROW()-1,FALSE))</f>
        <v>39159</v>
      </c>
      <c r="AL159">
        <f ca="1">IF(AND(ISNUMBER($AL$361),$B$208=1),$AL$361,HLOOKUP(INDIRECT(ADDRESS(2,COLUMN())),OFFSET($BN$2,0,0,ROW()-1,60),ROW()-1,FALSE))</f>
        <v>43483</v>
      </c>
      <c r="AM159">
        <f ca="1">IF(AND(ISNUMBER($AM$361),$B$208=1),$AM$361,HLOOKUP(INDIRECT(ADDRESS(2,COLUMN())),OFFSET($BN$2,0,0,ROW()-1,60),ROW()-1,FALSE))</f>
        <v>287604</v>
      </c>
      <c r="AN159">
        <f ca="1">IF(AND(ISNUMBER($AN$361),$B$208=1),$AN$361,HLOOKUP(INDIRECT(ADDRESS(2,COLUMN())),OFFSET($BN$2,0,0,ROW()-1,60),ROW()-1,FALSE))</f>
        <v>300967</v>
      </c>
      <c r="AO159">
        <f ca="1">IF(AND(ISNUMBER($AO$361),$B$208=1),$AO$361,HLOOKUP(INDIRECT(ADDRESS(2,COLUMN())),OFFSET($BN$2,0,0,ROW()-1,60),ROW()-1,FALSE))</f>
        <v>282066</v>
      </c>
      <c r="AP159">
        <f ca="1">IF(AND(ISNUMBER($AP$361),$B$208=1),$AP$361,HLOOKUP(INDIRECT(ADDRESS(2,COLUMN())),OFFSET($BN$2,0,0,ROW()-1,60),ROW()-1,FALSE))</f>
        <v>256623</v>
      </c>
      <c r="AQ159" t="str">
        <f ca="1">IF(AND(ISNUMBER($AQ$361),$B$208=1),$AQ$361,HLOOKUP(INDIRECT(ADDRESS(2,COLUMN())),OFFSET($BN$2,0,0,ROW()-1,60),ROW()-1,FALSE))</f>
        <v/>
      </c>
      <c r="AR159" t="str">
        <f ca="1">IF(AND(ISNUMBER($AR$361),$B$208=1),$AR$361,HLOOKUP(INDIRECT(ADDRESS(2,COLUMN())),OFFSET($BN$2,0,0,ROW()-1,60),ROW()-1,FALSE))</f>
        <v/>
      </c>
      <c r="AS159" t="str">
        <f ca="1">IF(AND(ISNUMBER($AS$361),$B$208=1),$AS$361,HLOOKUP(INDIRECT(ADDRESS(2,COLUMN())),OFFSET($BN$2,0,0,ROW()-1,60),ROW()-1,FALSE))</f>
        <v/>
      </c>
      <c r="AT159">
        <f ca="1">IF(AND(ISNUMBER($AT$361),$B$208=1),$AT$361,HLOOKUP(INDIRECT(ADDRESS(2,COLUMN())),OFFSET($BN$2,0,0,ROW()-1,60),ROW()-1,FALSE))</f>
        <v>65327</v>
      </c>
      <c r="AU159" t="str">
        <f ca="1">IF(AND(ISNUMBER($AU$361),$B$208=1),$AU$361,HLOOKUP(INDIRECT(ADDRESS(2,COLUMN())),OFFSET($BN$2,0,0,ROW()-1,60),ROW()-1,FALSE))</f>
        <v/>
      </c>
      <c r="AV159" t="str">
        <f ca="1">IF(AND(ISNUMBER($AV$361),$B$208=1),$AV$361,HLOOKUP(INDIRECT(ADDRESS(2,COLUMN())),OFFSET($BN$2,0,0,ROW()-1,60),ROW()-1,FALSE))</f>
        <v/>
      </c>
      <c r="AW159" t="str">
        <f ca="1">IF(AND(ISNUMBER($AW$361),$B$208=1),$AW$361,HLOOKUP(INDIRECT(ADDRESS(2,COLUMN())),OFFSET($BN$2,0,0,ROW()-1,60),ROW()-1,FALSE))</f>
        <v/>
      </c>
      <c r="AX159">
        <f ca="1">IF(AND(ISNUMBER($AX$361),$B$208=1),$AX$361,HLOOKUP(INDIRECT(ADDRESS(2,COLUMN())),OFFSET($BN$2,0,0,ROW()-1,60),ROW()-1,FALSE))</f>
        <v>59239</v>
      </c>
      <c r="AY159" t="str">
        <f ca="1">IF(AND(ISNUMBER($AY$361),$B$208=1),$AY$361,HLOOKUP(INDIRECT(ADDRESS(2,COLUMN())),OFFSET($BN$2,0,0,ROW()-1,60),ROW()-1,FALSE))</f>
        <v/>
      </c>
      <c r="AZ159" t="str">
        <f ca="1">IF(AND(ISNUMBER($AZ$361),$B$208=1),$AZ$361,HLOOKUP(INDIRECT(ADDRESS(2,COLUMN())),OFFSET($BN$2,0,0,ROW()-1,60),ROW()-1,FALSE))</f>
        <v/>
      </c>
      <c r="BA159" t="str">
        <f ca="1">IF(AND(ISNUMBER($BA$361),$B$208=1),$BA$361,HLOOKUP(INDIRECT(ADDRESS(2,COLUMN())),OFFSET($BN$2,0,0,ROW()-1,60),ROW()-1,FALSE))</f>
        <v/>
      </c>
      <c r="BB159">
        <f ca="1">IF(AND(ISNUMBER($BB$361),$B$208=1),$BB$361,HLOOKUP(INDIRECT(ADDRESS(2,COLUMN())),OFFSET($BN$2,0,0,ROW()-1,60),ROW()-1,FALSE))</f>
        <v>65298</v>
      </c>
      <c r="BC159" t="str">
        <f ca="1">IF(AND(ISNUMBER($BC$361),$B$208=1),$BC$361,HLOOKUP(INDIRECT(ADDRESS(2,COLUMN())),OFFSET($BN$2,0,0,ROW()-1,60),ROW()-1,FALSE))</f>
        <v/>
      </c>
      <c r="BD159" t="str">
        <f ca="1">IF(AND(ISNUMBER($BD$361),$B$208=1),$BD$361,HLOOKUP(INDIRECT(ADDRESS(2,COLUMN())),OFFSET($BN$2,0,0,ROW()-1,60),ROW()-1,FALSE))</f>
        <v/>
      </c>
      <c r="BE159" t="str">
        <f ca="1">IF(AND(ISNUMBER($BE$361),$B$208=1),$BE$361,HLOOKUP(INDIRECT(ADDRESS(2,COLUMN())),OFFSET($BN$2,0,0,ROW()-1,60),ROW()-1,FALSE))</f>
        <v/>
      </c>
      <c r="BF159">
        <f ca="1">IF(AND(ISNUMBER($BF$361),$B$208=1),$BF$361,HLOOKUP(INDIRECT(ADDRESS(2,COLUMN())),OFFSET($BN$2,0,0,ROW()-1,60),ROW()-1,FALSE))</f>
        <v>55557</v>
      </c>
      <c r="BG159" t="str">
        <f ca="1">IF(AND(ISNUMBER($BG$361),$B$208=1),$BG$361,HLOOKUP(INDIRECT(ADDRESS(2,COLUMN())),OFFSET($BN$2,0,0,ROW()-1,60),ROW()-1,FALSE))</f>
        <v/>
      </c>
      <c r="BH159" t="str">
        <f ca="1">IF(AND(ISNUMBER($BH$361),$B$208=1),$BH$361,HLOOKUP(INDIRECT(ADDRESS(2,COLUMN())),OFFSET($BN$2,0,0,ROW()-1,60),ROW()-1,FALSE))</f>
        <v/>
      </c>
      <c r="BI159" t="str">
        <f ca="1">IF(AND(ISNUMBER($BI$361),$B$208=1),$BI$361,HLOOKUP(INDIRECT(ADDRESS(2,COLUMN())),OFFSET($BN$2,0,0,ROW()-1,60),ROW()-1,FALSE))</f>
        <v/>
      </c>
      <c r="BJ159">
        <f ca="1">IF(AND(ISNUMBER($BJ$361),$B$208=1),$BJ$361,HLOOKUP(INDIRECT(ADDRESS(2,COLUMN())),OFFSET($BN$2,0,0,ROW()-1,60),ROW()-1,FALSE))</f>
        <v>53208.968999999997</v>
      </c>
      <c r="BK159" t="str">
        <f ca="1">IF(AND(ISNUMBER($BK$361),$B$208=1),$BK$361,HLOOKUP(INDIRECT(ADDRESS(2,COLUMN())),OFFSET($BN$2,0,0,ROW()-1,60),ROW()-1,FALSE))</f>
        <v/>
      </c>
      <c r="BL159" t="str">
        <f ca="1">IF(AND(ISNUMBER($BL$361),$B$208=1),$BL$361,HLOOKUP(INDIRECT(ADDRESS(2,COLUMN())),OFFSET($BN$2,0,0,ROW()-1,60),ROW()-1,FALSE))</f>
        <v/>
      </c>
      <c r="BM159" t="str">
        <f ca="1">IF(AND(ISNUMBER($BM$361),$B$208=1),$BM$361,HLOOKUP(INDIRECT(ADDRESS(2,COLUMN())),OFFSET($BN$2,0,0,ROW()-1,60),ROW()-1,FALSE))</f>
        <v/>
      </c>
      <c r="BN159">
        <f>44487</f>
        <v>44487</v>
      </c>
      <c r="BO159">
        <f>44522</f>
        <v>44522</v>
      </c>
      <c r="BP159">
        <f>11783</f>
        <v>11783</v>
      </c>
      <c r="BQ159">
        <f>14121</f>
        <v>14121</v>
      </c>
      <c r="BR159">
        <f>20849</f>
        <v>20849</v>
      </c>
      <c r="BS159">
        <f>18355</f>
        <v>18355</v>
      </c>
      <c r="BT159">
        <f>20674</f>
        <v>20674</v>
      </c>
      <c r="BU159">
        <f>18368</f>
        <v>18368</v>
      </c>
      <c r="BV159">
        <f>19916</f>
        <v>19916</v>
      </c>
      <c r="BW159">
        <f>16650</f>
        <v>16650</v>
      </c>
      <c r="BX159">
        <f>15598</f>
        <v>15598</v>
      </c>
      <c r="BY159">
        <f>12802</f>
        <v>12802</v>
      </c>
      <c r="BZ159">
        <f>16631</f>
        <v>16631</v>
      </c>
      <c r="CA159">
        <f>5733</f>
        <v>5733</v>
      </c>
      <c r="CB159">
        <f>8308</f>
        <v>8308</v>
      </c>
      <c r="CC159">
        <f>3791</f>
        <v>3791</v>
      </c>
      <c r="CD159">
        <f>4482</f>
        <v>4482</v>
      </c>
      <c r="CE159">
        <f>29596</f>
        <v>29596</v>
      </c>
      <c r="CF159">
        <f>41659</f>
        <v>41659</v>
      </c>
      <c r="CG159">
        <f>1157</f>
        <v>1157</v>
      </c>
      <c r="CH159">
        <f>40257</f>
        <v>40257</v>
      </c>
      <c r="CI159">
        <f>40634</f>
        <v>40634</v>
      </c>
      <c r="CJ159">
        <f>41734</f>
        <v>41734</v>
      </c>
      <c r="CK159">
        <f>42333</f>
        <v>42333</v>
      </c>
      <c r="CL159">
        <f>43012</f>
        <v>43012</v>
      </c>
      <c r="CM159">
        <f>43499</f>
        <v>43499</v>
      </c>
      <c r="CN159">
        <f>45086</f>
        <v>45086</v>
      </c>
      <c r="CO159">
        <f>44133</f>
        <v>44133</v>
      </c>
      <c r="CP159">
        <f>61865</f>
        <v>61865</v>
      </c>
      <c r="CQ159">
        <f>110511</f>
        <v>110511</v>
      </c>
      <c r="CR159">
        <f>118322</f>
        <v>118322</v>
      </c>
      <c r="CS159">
        <f>39159</f>
        <v>39159</v>
      </c>
      <c r="CT159">
        <f>43483</f>
        <v>43483</v>
      </c>
      <c r="CU159">
        <f>287604</f>
        <v>287604</v>
      </c>
      <c r="CV159">
        <f>300967</f>
        <v>300967</v>
      </c>
      <c r="CW159">
        <f>282066</f>
        <v>282066</v>
      </c>
      <c r="CX159">
        <f>256623</f>
        <v>256623</v>
      </c>
      <c r="CY159" t="str">
        <f>""</f>
        <v/>
      </c>
      <c r="CZ159" t="str">
        <f>""</f>
        <v/>
      </c>
      <c r="DA159" t="str">
        <f>""</f>
        <v/>
      </c>
      <c r="DB159">
        <f>65327</f>
        <v>65327</v>
      </c>
      <c r="DC159" t="str">
        <f>""</f>
        <v/>
      </c>
      <c r="DD159" t="str">
        <f>""</f>
        <v/>
      </c>
      <c r="DE159" t="str">
        <f>""</f>
        <v/>
      </c>
      <c r="DF159">
        <f>59239</f>
        <v>59239</v>
      </c>
      <c r="DG159" t="str">
        <f>""</f>
        <v/>
      </c>
      <c r="DH159" t="str">
        <f>""</f>
        <v/>
      </c>
      <c r="DI159" t="str">
        <f>""</f>
        <v/>
      </c>
      <c r="DJ159">
        <f>65298</f>
        <v>65298</v>
      </c>
      <c r="DK159" t="str">
        <f>""</f>
        <v/>
      </c>
      <c r="DL159" t="str">
        <f>""</f>
        <v/>
      </c>
      <c r="DM159" t="str">
        <f>""</f>
        <v/>
      </c>
      <c r="DN159">
        <f>55557</f>
        <v>55557</v>
      </c>
      <c r="DO159" t="str">
        <f>""</f>
        <v/>
      </c>
      <c r="DP159" t="str">
        <f>""</f>
        <v/>
      </c>
      <c r="DQ159" t="str">
        <f>""</f>
        <v/>
      </c>
      <c r="DR159">
        <f>53208.969</f>
        <v>53208.968999999997</v>
      </c>
      <c r="DS159" t="str">
        <f>""</f>
        <v/>
      </c>
      <c r="DT159" t="str">
        <f>""</f>
        <v/>
      </c>
      <c r="DU159" t="str">
        <f>""</f>
        <v/>
      </c>
    </row>
    <row r="160" spans="1:125" x14ac:dyDescent="0.25">
      <c r="A160" t="str">
        <f>"    Barclays PLC"</f>
        <v xml:space="preserve">    Barclays PLC</v>
      </c>
      <c r="B160" t="str">
        <f>"BARC LN Equity"</f>
        <v>BARC LN Equity</v>
      </c>
      <c r="C160" t="str">
        <f t="shared" si="12"/>
        <v>BS018</v>
      </c>
      <c r="D160" t="str">
        <f t="shared" si="13"/>
        <v>BS_OTHER_LOAN</v>
      </c>
      <c r="E160" t="str">
        <f t="shared" si="14"/>
        <v>Dynamic</v>
      </c>
      <c r="F160">
        <f ca="1">IF(AND(ISNUMBER($F$362),$B$208=1),$F$362,HLOOKUP(INDIRECT(ADDRESS(2,COLUMN())),OFFSET($BN$2,0,0,ROW()-1,60),ROW()-1,FALSE))</f>
        <v>42267.502079999998</v>
      </c>
      <c r="G160">
        <f ca="1">IF(AND(ISNUMBER($G$362),$B$208=1),$G$362,HLOOKUP(INDIRECT(ADDRESS(2,COLUMN())),OFFSET($BN$2,0,0,ROW()-1,60),ROW()-1,FALSE))</f>
        <v>77731.119120000003</v>
      </c>
      <c r="H160">
        <f ca="1">IF(AND(ISNUMBER($H$362),$B$208=1),$H$362,HLOOKUP(INDIRECT(ADDRESS(2,COLUMN())),OFFSET($BN$2,0,0,ROW()-1,60),ROW()-1,FALSE))</f>
        <v>84729.477599999998</v>
      </c>
      <c r="I160">
        <f ca="1">IF(AND(ISNUMBER($I$362),$B$208=1),$I$362,HLOOKUP(INDIRECT(ADDRESS(2,COLUMN())),OFFSET($BN$2,0,0,ROW()-1,60),ROW()-1,FALSE))</f>
        <v>67163.572159999996</v>
      </c>
      <c r="J160">
        <f ca="1">IF(AND(ISNUMBER($J$362),$B$208=1),$J$362,HLOOKUP(INDIRECT(ADDRESS(2,COLUMN())),OFFSET($BN$2,0,0,ROW()-1,60),ROW()-1,FALSE))</f>
        <v>45212.673719999999</v>
      </c>
      <c r="K160">
        <f ca="1">IF(AND(ISNUMBER($K$362),$B$208=1),$K$362,HLOOKUP(INDIRECT(ADDRESS(2,COLUMN())),OFFSET($BN$2,0,0,ROW()-1,60),ROW()-1,FALSE))</f>
        <v>14100.71091</v>
      </c>
      <c r="L160">
        <f ca="1">IF(AND(ISNUMBER($L$362),$B$208=1),$L$362,HLOOKUP(INDIRECT(ADDRESS(2,COLUMN())),OFFSET($BN$2,0,0,ROW()-1,60),ROW()-1,FALSE))</f>
        <v>82732.033710000003</v>
      </c>
      <c r="M160">
        <f ca="1">IF(AND(ISNUMBER($M$362),$B$208=1),$M$362,HLOOKUP(INDIRECT(ADDRESS(2,COLUMN())),OFFSET($BN$2,0,0,ROW()-1,60),ROW()-1,FALSE))</f>
        <v>0</v>
      </c>
      <c r="N160">
        <f ca="1">IF(AND(ISNUMBER($N$362),$B$208=1),$N$362,HLOOKUP(INDIRECT(ADDRESS(2,COLUMN())),OFFSET($BN$2,0,0,ROW()-1,60),ROW()-1,FALSE))</f>
        <v>57235.930540000001</v>
      </c>
      <c r="O160">
        <f ca="1">IF(AND(ISNUMBER($O$362),$B$208=1),$O$362,HLOOKUP(INDIRECT(ADDRESS(2,COLUMN())),OFFSET($BN$2,0,0,ROW()-1,60),ROW()-1,FALSE))</f>
        <v>6591.5975490000001</v>
      </c>
      <c r="P160">
        <f ca="1">IF(AND(ISNUMBER($P$362),$B$208=1),$P$362,HLOOKUP(INDIRECT(ADDRESS(2,COLUMN())),OFFSET($BN$2,0,0,ROW()-1,60),ROW()-1,FALSE))</f>
        <v>6386.4491079999998</v>
      </c>
      <c r="Q160" t="str">
        <f ca="1">IF(AND(ISNUMBER($Q$362),$B$208=1),$Q$362,HLOOKUP(INDIRECT(ADDRESS(2,COLUMN())),OFFSET($BN$2,0,0,ROW()-1,60),ROW()-1,FALSE))</f>
        <v/>
      </c>
      <c r="R160">
        <f ca="1">IF(AND(ISNUMBER($R$362),$B$208=1),$R$362,HLOOKUP(INDIRECT(ADDRESS(2,COLUMN())),OFFSET($BN$2,0,0,ROW()-1,60),ROW()-1,FALSE))</f>
        <v>56587.61681</v>
      </c>
      <c r="S160">
        <f ca="1">IF(AND(ISNUMBER($S$362),$B$208=1),$S$362,HLOOKUP(INDIRECT(ADDRESS(2,COLUMN())),OFFSET($BN$2,0,0,ROW()-1,60),ROW()-1,FALSE))</f>
        <v>7224.3375679999999</v>
      </c>
      <c r="T160">
        <f ca="1">IF(AND(ISNUMBER($T$362),$B$208=1),$T$362,HLOOKUP(INDIRECT(ADDRESS(2,COLUMN())),OFFSET($BN$2,0,0,ROW()-1,60),ROW()-1,FALSE))</f>
        <v>7590.0582329999997</v>
      </c>
      <c r="U160" t="str">
        <f ca="1">IF(AND(ISNUMBER($U$362),$B$208=1),$U$362,HLOOKUP(INDIRECT(ADDRESS(2,COLUMN())),OFFSET($BN$2,0,0,ROW()-1,60),ROW()-1,FALSE))</f>
        <v/>
      </c>
      <c r="V160">
        <f ca="1">IF(AND(ISNUMBER($V$362),$B$208=1),$V$362,HLOOKUP(INDIRECT(ADDRESS(2,COLUMN())),OFFSET($BN$2,0,0,ROW()-1,60),ROW()-1,FALSE))</f>
        <v>54399.653740000002</v>
      </c>
      <c r="W160">
        <f ca="1">IF(AND(ISNUMBER($W$362),$B$208=1),$W$362,HLOOKUP(INDIRECT(ADDRESS(2,COLUMN())),OFFSET($BN$2,0,0,ROW()-1,60),ROW()-1,FALSE))</f>
        <v>9575.8602630000005</v>
      </c>
      <c r="X160">
        <f ca="1">IF(AND(ISNUMBER($X$362),$B$208=1),$X$362,HLOOKUP(INDIRECT(ADDRESS(2,COLUMN())),OFFSET($BN$2,0,0,ROW()-1,60),ROW()-1,FALSE))</f>
        <v>9866.4252419999993</v>
      </c>
      <c r="Y160" t="str">
        <f ca="1">IF(AND(ISNUMBER($Y$362),$B$208=1),$Y$362,HLOOKUP(INDIRECT(ADDRESS(2,COLUMN())),OFFSET($BN$2,0,0,ROW()-1,60),ROW()-1,FALSE))</f>
        <v/>
      </c>
      <c r="Z160">
        <f ca="1">IF(AND(ISNUMBER($Z$362),$B$208=1),$Z$362,HLOOKUP(INDIRECT(ADDRESS(2,COLUMN())),OFFSET($BN$2,0,0,ROW()-1,60),ROW()-1,FALSE))</f>
        <v>48690.056909999999</v>
      </c>
      <c r="AA160" t="str">
        <f ca="1">IF(AND(ISNUMBER($AA$362),$B$208=1),$AA$362,HLOOKUP(INDIRECT(ADDRESS(2,COLUMN())),OFFSET($BN$2,0,0,ROW()-1,60),ROW()-1,FALSE))</f>
        <v/>
      </c>
      <c r="AB160">
        <f ca="1">IF(AND(ISNUMBER($AB$362),$B$208=1),$AB$362,HLOOKUP(INDIRECT(ADDRESS(2,COLUMN())),OFFSET($BN$2,0,0,ROW()-1,60),ROW()-1,FALSE))</f>
        <v>0</v>
      </c>
      <c r="AC160" t="str">
        <f ca="1">IF(AND(ISNUMBER($AC$362),$B$208=1),$AC$362,HLOOKUP(INDIRECT(ADDRESS(2,COLUMN())),OFFSET($BN$2,0,0,ROW()-1,60),ROW()-1,FALSE))</f>
        <v/>
      </c>
      <c r="AD160">
        <f ca="1">IF(AND(ISNUMBER($AD$362),$B$208=1),$AD$362,HLOOKUP(INDIRECT(ADDRESS(2,COLUMN())),OFFSET($BN$2,0,0,ROW()-1,60),ROW()-1,FALSE))</f>
        <v>33704.778030000001</v>
      </c>
      <c r="AE160" t="str">
        <f ca="1">IF(AND(ISNUMBER($AE$362),$B$208=1),$AE$362,HLOOKUP(INDIRECT(ADDRESS(2,COLUMN())),OFFSET($BN$2,0,0,ROW()-1,60),ROW()-1,FALSE))</f>
        <v/>
      </c>
      <c r="AF160">
        <f ca="1">IF(AND(ISNUMBER($AF$362),$B$208=1),$AF$362,HLOOKUP(INDIRECT(ADDRESS(2,COLUMN())),OFFSET($BN$2,0,0,ROW()-1,60),ROW()-1,FALSE))</f>
        <v>0</v>
      </c>
      <c r="AG160" t="str">
        <f ca="1">IF(AND(ISNUMBER($AG$362),$B$208=1),$AG$362,HLOOKUP(INDIRECT(ADDRESS(2,COLUMN())),OFFSET($BN$2,0,0,ROW()-1,60),ROW()-1,FALSE))</f>
        <v/>
      </c>
      <c r="AH160">
        <f ca="1">IF(AND(ISNUMBER($AH$362),$B$208=1),$AH$362,HLOOKUP(INDIRECT(ADDRESS(2,COLUMN())),OFFSET($BN$2,0,0,ROW()-1,60),ROW()-1,FALSE))</f>
        <v>24840.8724</v>
      </c>
      <c r="AI160" t="str">
        <f ca="1">IF(AND(ISNUMBER($AI$362),$B$208=1),$AI$362,HLOOKUP(INDIRECT(ADDRESS(2,COLUMN())),OFFSET($BN$2,0,0,ROW()-1,60),ROW()-1,FALSE))</f>
        <v/>
      </c>
      <c r="AJ160">
        <f ca="1">IF(AND(ISNUMBER($AJ$362),$B$208=1),$AJ$362,HLOOKUP(INDIRECT(ADDRESS(2,COLUMN())),OFFSET($BN$2,0,0,ROW()-1,60),ROW()-1,FALSE))</f>
        <v>84448.852360000004</v>
      </c>
      <c r="AK160" t="str">
        <f ca="1">IF(AND(ISNUMBER($AK$362),$B$208=1),$AK$362,HLOOKUP(INDIRECT(ADDRESS(2,COLUMN())),OFFSET($BN$2,0,0,ROW()-1,60),ROW()-1,FALSE))</f>
        <v/>
      </c>
      <c r="AL160">
        <f ca="1">IF(AND(ISNUMBER($AL$362),$B$208=1),$AL$362,HLOOKUP(INDIRECT(ADDRESS(2,COLUMN())),OFFSET($BN$2,0,0,ROW()-1,60),ROW()-1,FALSE))</f>
        <v>29696.121650000001</v>
      </c>
      <c r="AM160" t="str">
        <f ca="1">IF(AND(ISNUMBER($AM$362),$B$208=1),$AM$362,HLOOKUP(INDIRECT(ADDRESS(2,COLUMN())),OFFSET($BN$2,0,0,ROW()-1,60),ROW()-1,FALSE))</f>
        <v/>
      </c>
      <c r="AN160">
        <f ca="1">IF(AND(ISNUMBER($AN$362),$B$208=1),$AN$362,HLOOKUP(INDIRECT(ADDRESS(2,COLUMN())),OFFSET($BN$2,0,0,ROW()-1,60),ROW()-1,FALSE))</f>
        <v>107532.7485</v>
      </c>
      <c r="AO160" t="str">
        <f ca="1">IF(AND(ISNUMBER($AO$362),$B$208=1),$AO$362,HLOOKUP(INDIRECT(ADDRESS(2,COLUMN())),OFFSET($BN$2,0,0,ROW()-1,60),ROW()-1,FALSE))</f>
        <v/>
      </c>
      <c r="AP160">
        <f ca="1">IF(AND(ISNUMBER($AP$362),$B$208=1),$AP$362,HLOOKUP(INDIRECT(ADDRESS(2,COLUMN())),OFFSET($BN$2,0,0,ROW()-1,60),ROW()-1,FALSE))</f>
        <v>32905.390939999997</v>
      </c>
      <c r="AQ160" t="str">
        <f ca="1">IF(AND(ISNUMBER($AQ$362),$B$208=1),$AQ$362,HLOOKUP(INDIRECT(ADDRESS(2,COLUMN())),OFFSET($BN$2,0,0,ROW()-1,60),ROW()-1,FALSE))</f>
        <v/>
      </c>
      <c r="AR160">
        <f ca="1">IF(AND(ISNUMBER($AR$362),$B$208=1),$AR$362,HLOOKUP(INDIRECT(ADDRESS(2,COLUMN())),OFFSET($BN$2,0,0,ROW()-1,60),ROW()-1,FALSE))</f>
        <v>124222.28320000001</v>
      </c>
      <c r="AS160" t="str">
        <f ca="1">IF(AND(ISNUMBER($AS$362),$B$208=1),$AS$362,HLOOKUP(INDIRECT(ADDRESS(2,COLUMN())),OFFSET($BN$2,0,0,ROW()-1,60),ROW()-1,FALSE))</f>
        <v/>
      </c>
      <c r="AT160">
        <f ca="1">IF(AND(ISNUMBER($AT$362),$B$208=1),$AT$362,HLOOKUP(INDIRECT(ADDRESS(2,COLUMN())),OFFSET($BN$2,0,0,ROW()-1,60),ROW()-1,FALSE))</f>
        <v>32462.562809999999</v>
      </c>
      <c r="AU160" t="str">
        <f ca="1">IF(AND(ISNUMBER($AU$362),$B$208=1),$AU$362,HLOOKUP(INDIRECT(ADDRESS(2,COLUMN())),OFFSET($BN$2,0,0,ROW()-1,60),ROW()-1,FALSE))</f>
        <v/>
      </c>
      <c r="AV160">
        <f ca="1">IF(AND(ISNUMBER($AV$362),$B$208=1),$AV$362,HLOOKUP(INDIRECT(ADDRESS(2,COLUMN())),OFFSET($BN$2,0,0,ROW()-1,60),ROW()-1,FALSE))</f>
        <v>111588.98850000001</v>
      </c>
      <c r="AW160" t="str">
        <f ca="1">IF(AND(ISNUMBER($AW$362),$B$208=1),$AW$362,HLOOKUP(INDIRECT(ADDRESS(2,COLUMN())),OFFSET($BN$2,0,0,ROW()-1,60),ROW()-1,FALSE))</f>
        <v/>
      </c>
      <c r="AX160">
        <f ca="1">IF(AND(ISNUMBER($AX$362),$B$208=1),$AX$362,HLOOKUP(INDIRECT(ADDRESS(2,COLUMN())),OFFSET($BN$2,0,0,ROW()-1,60),ROW()-1,FALSE))</f>
        <v>37716.513449999999</v>
      </c>
      <c r="AY160" t="str">
        <f ca="1">IF(AND(ISNUMBER($AY$362),$B$208=1),$AY$362,HLOOKUP(INDIRECT(ADDRESS(2,COLUMN())),OFFSET($BN$2,0,0,ROW()-1,60),ROW()-1,FALSE))</f>
        <v/>
      </c>
      <c r="AZ160">
        <f ca="1">IF(AND(ISNUMBER($AZ$362),$B$208=1),$AZ$362,HLOOKUP(INDIRECT(ADDRESS(2,COLUMN())),OFFSET($BN$2,0,0,ROW()-1,60),ROW()-1,FALSE))</f>
        <v>40232.95233</v>
      </c>
      <c r="BA160" t="str">
        <f ca="1">IF(AND(ISNUMBER($BA$362),$B$208=1),$BA$362,HLOOKUP(INDIRECT(ADDRESS(2,COLUMN())),OFFSET($BN$2,0,0,ROW()-1,60),ROW()-1,FALSE))</f>
        <v/>
      </c>
      <c r="BB160">
        <f ca="1">IF(AND(ISNUMBER($BB$362),$B$208=1),$BB$362,HLOOKUP(INDIRECT(ADDRESS(2,COLUMN())),OFFSET($BN$2,0,0,ROW()-1,60),ROW()-1,FALSE))</f>
        <v>44061.517160000003</v>
      </c>
      <c r="BC160" t="str">
        <f ca="1">IF(AND(ISNUMBER($BC$362),$B$208=1),$BC$362,HLOOKUP(INDIRECT(ADDRESS(2,COLUMN())),OFFSET($BN$2,0,0,ROW()-1,60),ROW()-1,FALSE))</f>
        <v/>
      </c>
      <c r="BD160">
        <f ca="1">IF(AND(ISNUMBER($BD$362),$B$208=1),$BD$362,HLOOKUP(INDIRECT(ADDRESS(2,COLUMN())),OFFSET($BN$2,0,0,ROW()-1,60),ROW()-1,FALSE))</f>
        <v>44110.660819999997</v>
      </c>
      <c r="BE160" t="str">
        <f ca="1">IF(AND(ISNUMBER($BE$362),$B$208=1),$BE$362,HLOOKUP(INDIRECT(ADDRESS(2,COLUMN())),OFFSET($BN$2,0,0,ROW()-1,60),ROW()-1,FALSE))</f>
        <v/>
      </c>
      <c r="BF160">
        <f ca="1">IF(AND(ISNUMBER($BF$362),$B$208=1),$BF$362,HLOOKUP(INDIRECT(ADDRESS(2,COLUMN())),OFFSET($BN$2,0,0,ROW()-1,60),ROW()-1,FALSE))</f>
        <v>47881.644139999997</v>
      </c>
      <c r="BG160" t="str">
        <f ca="1">IF(AND(ISNUMBER($BG$362),$B$208=1),$BG$362,HLOOKUP(INDIRECT(ADDRESS(2,COLUMN())),OFFSET($BN$2,0,0,ROW()-1,60),ROW()-1,FALSE))</f>
        <v/>
      </c>
      <c r="BH160">
        <f ca="1">IF(AND(ISNUMBER($BH$362),$B$208=1),$BH$362,HLOOKUP(INDIRECT(ADDRESS(2,COLUMN())),OFFSET($BN$2,0,0,ROW()-1,60),ROW()-1,FALSE))</f>
        <v>53833.862099999998</v>
      </c>
      <c r="BI160" t="str">
        <f ca="1">IF(AND(ISNUMBER($BI$362),$B$208=1),$BI$362,HLOOKUP(INDIRECT(ADDRESS(2,COLUMN())),OFFSET($BN$2,0,0,ROW()-1,60),ROW()-1,FALSE))</f>
        <v/>
      </c>
      <c r="BJ160">
        <f ca="1">IF(AND(ISNUMBER($BJ$362),$B$208=1),$BJ$362,HLOOKUP(INDIRECT(ADDRESS(2,COLUMN())),OFFSET($BN$2,0,0,ROW()-1,60),ROW()-1,FALSE))</f>
        <v>20403.84348</v>
      </c>
      <c r="BK160" t="str">
        <f ca="1">IF(AND(ISNUMBER($BK$362),$B$208=1),$BK$362,HLOOKUP(INDIRECT(ADDRESS(2,COLUMN())),OFFSET($BN$2,0,0,ROW()-1,60),ROW()-1,FALSE))</f>
        <v/>
      </c>
      <c r="BL160">
        <f ca="1">IF(AND(ISNUMBER($BL$362),$B$208=1),$BL$362,HLOOKUP(INDIRECT(ADDRESS(2,COLUMN())),OFFSET($BN$2,0,0,ROW()-1,60),ROW()-1,FALSE))</f>
        <v>11997.745290000001</v>
      </c>
      <c r="BM160" t="str">
        <f ca="1">IF(AND(ISNUMBER($BM$362),$B$208=1),$BM$362,HLOOKUP(INDIRECT(ADDRESS(2,COLUMN())),OFFSET($BN$2,0,0,ROW()-1,60),ROW()-1,FALSE))</f>
        <v/>
      </c>
      <c r="BN160">
        <f>42267.50208</f>
        <v>42267.502079999998</v>
      </c>
      <c r="BO160">
        <f>77731.11912</f>
        <v>77731.119120000003</v>
      </c>
      <c r="BP160">
        <f>84729.4776</f>
        <v>84729.477599999998</v>
      </c>
      <c r="BQ160">
        <f>67163.57216</f>
        <v>67163.572159999996</v>
      </c>
      <c r="BR160">
        <f>45212.67372</f>
        <v>45212.673719999999</v>
      </c>
      <c r="BS160">
        <f>14100.71091</f>
        <v>14100.71091</v>
      </c>
      <c r="BT160">
        <f>82732.03371</f>
        <v>82732.033710000003</v>
      </c>
      <c r="BU160">
        <f>0</f>
        <v>0</v>
      </c>
      <c r="BV160">
        <f>57235.93054</f>
        <v>57235.930540000001</v>
      </c>
      <c r="BW160">
        <f>6591.597549</f>
        <v>6591.5975490000001</v>
      </c>
      <c r="BX160">
        <f>6386.449108</f>
        <v>6386.4491079999998</v>
      </c>
      <c r="BY160" t="str">
        <f>""</f>
        <v/>
      </c>
      <c r="BZ160">
        <f>56587.61681</f>
        <v>56587.61681</v>
      </c>
      <c r="CA160">
        <f>7224.337568</f>
        <v>7224.3375679999999</v>
      </c>
      <c r="CB160">
        <f>7590.058233</f>
        <v>7590.0582329999997</v>
      </c>
      <c r="CC160" t="str">
        <f>""</f>
        <v/>
      </c>
      <c r="CD160">
        <f>54399.65374</f>
        <v>54399.653740000002</v>
      </c>
      <c r="CE160">
        <f>9575.860263</f>
        <v>9575.8602630000005</v>
      </c>
      <c r="CF160">
        <f>9866.425242</f>
        <v>9866.4252419999993</v>
      </c>
      <c r="CG160" t="str">
        <f>""</f>
        <v/>
      </c>
      <c r="CH160">
        <f>48690.05691</f>
        <v>48690.056909999999</v>
      </c>
      <c r="CI160" t="str">
        <f>""</f>
        <v/>
      </c>
      <c r="CJ160">
        <f>0</f>
        <v>0</v>
      </c>
      <c r="CK160" t="str">
        <f>""</f>
        <v/>
      </c>
      <c r="CL160">
        <f>33704.77803</f>
        <v>33704.778030000001</v>
      </c>
      <c r="CM160" t="str">
        <f>""</f>
        <v/>
      </c>
      <c r="CN160">
        <f>0</f>
        <v>0</v>
      </c>
      <c r="CO160" t="str">
        <f>""</f>
        <v/>
      </c>
      <c r="CP160">
        <f>24840.8724</f>
        <v>24840.8724</v>
      </c>
      <c r="CQ160" t="str">
        <f>""</f>
        <v/>
      </c>
      <c r="CR160">
        <f>84448.85236</f>
        <v>84448.852360000004</v>
      </c>
      <c r="CS160" t="str">
        <f>""</f>
        <v/>
      </c>
      <c r="CT160">
        <f>29696.12165</f>
        <v>29696.121650000001</v>
      </c>
      <c r="CU160" t="str">
        <f>""</f>
        <v/>
      </c>
      <c r="CV160">
        <f>107532.7485</f>
        <v>107532.7485</v>
      </c>
      <c r="CW160" t="str">
        <f>""</f>
        <v/>
      </c>
      <c r="CX160">
        <f>32905.39094</f>
        <v>32905.390939999997</v>
      </c>
      <c r="CY160" t="str">
        <f>""</f>
        <v/>
      </c>
      <c r="CZ160">
        <f>124222.2832</f>
        <v>124222.28320000001</v>
      </c>
      <c r="DA160" t="str">
        <f>""</f>
        <v/>
      </c>
      <c r="DB160">
        <f>32462.56281</f>
        <v>32462.562809999999</v>
      </c>
      <c r="DC160" t="str">
        <f>""</f>
        <v/>
      </c>
      <c r="DD160">
        <f>111588.9885</f>
        <v>111588.98850000001</v>
      </c>
      <c r="DE160" t="str">
        <f>""</f>
        <v/>
      </c>
      <c r="DF160">
        <f>37716.51345</f>
        <v>37716.513449999999</v>
      </c>
      <c r="DG160" t="str">
        <f>""</f>
        <v/>
      </c>
      <c r="DH160">
        <f>40232.95233</f>
        <v>40232.95233</v>
      </c>
      <c r="DI160" t="str">
        <f>""</f>
        <v/>
      </c>
      <c r="DJ160">
        <f>44061.51716</f>
        <v>44061.517160000003</v>
      </c>
      <c r="DK160" t="str">
        <f>""</f>
        <v/>
      </c>
      <c r="DL160">
        <f>44110.66082</f>
        <v>44110.660819999997</v>
      </c>
      <c r="DM160" t="str">
        <f>""</f>
        <v/>
      </c>
      <c r="DN160">
        <f>47881.64414</f>
        <v>47881.644139999997</v>
      </c>
      <c r="DO160" t="str">
        <f>""</f>
        <v/>
      </c>
      <c r="DP160">
        <f>53833.8621</f>
        <v>53833.862099999998</v>
      </c>
      <c r="DQ160" t="str">
        <f>""</f>
        <v/>
      </c>
      <c r="DR160">
        <f>20403.84348</f>
        <v>20403.84348</v>
      </c>
      <c r="DS160" t="str">
        <f>""</f>
        <v/>
      </c>
      <c r="DT160">
        <f>11997.74529</f>
        <v>11997.745290000001</v>
      </c>
      <c r="DU160" t="str">
        <f>""</f>
        <v/>
      </c>
    </row>
    <row r="161" spans="1:125" x14ac:dyDescent="0.25">
      <c r="A161" t="str">
        <f>"    BAWAG Group AG"</f>
        <v xml:space="preserve">    BAWAG Group AG</v>
      </c>
      <c r="B161" t="str">
        <f>"BG AV Equity"</f>
        <v>BG AV Equity</v>
      </c>
      <c r="C161" t="str">
        <f t="shared" si="12"/>
        <v>BS018</v>
      </c>
      <c r="D161" t="str">
        <f t="shared" si="13"/>
        <v>BS_OTHER_LOAN</v>
      </c>
      <c r="E161" t="str">
        <f t="shared" si="14"/>
        <v>Dynamic</v>
      </c>
      <c r="F161" t="str">
        <f ca="1">IF(AND(ISNUMBER($F$363),$B$208=1),$F$363,HLOOKUP(INDIRECT(ADDRESS(2,COLUMN())),OFFSET($BN$2,0,0,ROW()-1,60),ROW()-1,FALSE))</f>
        <v/>
      </c>
      <c r="G161" t="str">
        <f ca="1">IF(AND(ISNUMBER($G$363),$B$208=1),$G$363,HLOOKUP(INDIRECT(ADDRESS(2,COLUMN())),OFFSET($BN$2,0,0,ROW()-1,60),ROW()-1,FALSE))</f>
        <v/>
      </c>
      <c r="H161">
        <f ca="1">IF(AND(ISNUMBER($H$363),$B$208=1),$H$363,HLOOKUP(INDIRECT(ADDRESS(2,COLUMN())),OFFSET($BN$2,0,0,ROW()-1,60),ROW()-1,FALSE))</f>
        <v>2107</v>
      </c>
      <c r="I161" t="str">
        <f ca="1">IF(AND(ISNUMBER($I$363),$B$208=1),$I$363,HLOOKUP(INDIRECT(ADDRESS(2,COLUMN())),OFFSET($BN$2,0,0,ROW()-1,60),ROW()-1,FALSE))</f>
        <v/>
      </c>
      <c r="J161">
        <f ca="1">IF(AND(ISNUMBER($J$363),$B$208=1),$J$363,HLOOKUP(INDIRECT(ADDRESS(2,COLUMN())),OFFSET($BN$2,0,0,ROW()-1,60),ROW()-1,FALSE))</f>
        <v>1494</v>
      </c>
      <c r="K161" t="str">
        <f ca="1">IF(AND(ISNUMBER($K$363),$B$208=1),$K$363,HLOOKUP(INDIRECT(ADDRESS(2,COLUMN())),OFFSET($BN$2,0,0,ROW()-1,60),ROW()-1,FALSE))</f>
        <v/>
      </c>
      <c r="L161">
        <f ca="1">IF(AND(ISNUMBER($L$363),$B$208=1),$L$363,HLOOKUP(INDIRECT(ADDRESS(2,COLUMN())),OFFSET($BN$2,0,0,ROW()-1,60),ROW()-1,FALSE))</f>
        <v>1527</v>
      </c>
      <c r="M161" t="str">
        <f ca="1">IF(AND(ISNUMBER($M$363),$B$208=1),$M$363,HLOOKUP(INDIRECT(ADDRESS(2,COLUMN())),OFFSET($BN$2,0,0,ROW()-1,60),ROW()-1,FALSE))</f>
        <v/>
      </c>
      <c r="N161">
        <f ca="1">IF(AND(ISNUMBER($N$363),$B$208=1),$N$363,HLOOKUP(INDIRECT(ADDRESS(2,COLUMN())),OFFSET($BN$2,0,0,ROW()-1,60),ROW()-1,FALSE))</f>
        <v>1574</v>
      </c>
      <c r="O161" t="str">
        <f ca="1">IF(AND(ISNUMBER($O$363),$B$208=1),$O$363,HLOOKUP(INDIRECT(ADDRESS(2,COLUMN())),OFFSET($BN$2,0,0,ROW()-1,60),ROW()-1,FALSE))</f>
        <v/>
      </c>
      <c r="P161">
        <f ca="1">IF(AND(ISNUMBER($P$363),$B$208=1),$P$363,HLOOKUP(INDIRECT(ADDRESS(2,COLUMN())),OFFSET($BN$2,0,0,ROW()-1,60),ROW()-1,FALSE))</f>
        <v>1601</v>
      </c>
      <c r="Q161" t="str">
        <f ca="1">IF(AND(ISNUMBER($Q$363),$B$208=1),$Q$363,HLOOKUP(INDIRECT(ADDRESS(2,COLUMN())),OFFSET($BN$2,0,0,ROW()-1,60),ROW()-1,FALSE))</f>
        <v/>
      </c>
      <c r="R161">
        <f ca="1">IF(AND(ISNUMBER($R$363),$B$208=1),$R$363,HLOOKUP(INDIRECT(ADDRESS(2,COLUMN())),OFFSET($BN$2,0,0,ROW()-1,60),ROW()-1,FALSE))</f>
        <v>1636</v>
      </c>
      <c r="S161" t="str">
        <f ca="1">IF(AND(ISNUMBER($S$363),$B$208=1),$S$363,HLOOKUP(INDIRECT(ADDRESS(2,COLUMN())),OFFSET($BN$2,0,0,ROW()-1,60),ROW()-1,FALSE))</f>
        <v/>
      </c>
      <c r="T161" t="str">
        <f ca="1">IF(AND(ISNUMBER($T$363),$B$208=1),$T$363,HLOOKUP(INDIRECT(ADDRESS(2,COLUMN())),OFFSET($BN$2,0,0,ROW()-1,60),ROW()-1,FALSE))</f>
        <v/>
      </c>
      <c r="U161" t="str">
        <f ca="1">IF(AND(ISNUMBER($U$363),$B$208=1),$U$363,HLOOKUP(INDIRECT(ADDRESS(2,COLUMN())),OFFSET($BN$2,0,0,ROW()-1,60),ROW()-1,FALSE))</f>
        <v/>
      </c>
      <c r="V161">
        <f ca="1">IF(AND(ISNUMBER($V$363),$B$208=1),$V$363,HLOOKUP(INDIRECT(ADDRESS(2,COLUMN())),OFFSET($BN$2,0,0,ROW()-1,60),ROW()-1,FALSE))</f>
        <v>1741</v>
      </c>
      <c r="W161" t="str">
        <f ca="1">IF(AND(ISNUMBER($W$363),$B$208=1),$W$363,HLOOKUP(INDIRECT(ADDRESS(2,COLUMN())),OFFSET($BN$2,0,0,ROW()-1,60),ROW()-1,FALSE))</f>
        <v/>
      </c>
      <c r="X161" t="str">
        <f ca="1">IF(AND(ISNUMBER($X$363),$B$208=1),$X$363,HLOOKUP(INDIRECT(ADDRESS(2,COLUMN())),OFFSET($BN$2,0,0,ROW()-1,60),ROW()-1,FALSE))</f>
        <v/>
      </c>
      <c r="Y161" t="str">
        <f ca="1">IF(AND(ISNUMBER($Y$363),$B$208=1),$Y$363,HLOOKUP(INDIRECT(ADDRESS(2,COLUMN())),OFFSET($BN$2,0,0,ROW()-1,60),ROW()-1,FALSE))</f>
        <v/>
      </c>
      <c r="Z161" t="str">
        <f ca="1">IF(AND(ISNUMBER($Z$363),$B$208=1),$Z$363,HLOOKUP(INDIRECT(ADDRESS(2,COLUMN())),OFFSET($BN$2,0,0,ROW()-1,60),ROW()-1,FALSE))</f>
        <v/>
      </c>
      <c r="AA161" t="str">
        <f ca="1">IF(AND(ISNUMBER($AA$363),$B$208=1),$AA$363,HLOOKUP(INDIRECT(ADDRESS(2,COLUMN())),OFFSET($BN$2,0,0,ROW()-1,60),ROW()-1,FALSE))</f>
        <v/>
      </c>
      <c r="AB161" t="str">
        <f ca="1">IF(AND(ISNUMBER($AB$363),$B$208=1),$AB$363,HLOOKUP(INDIRECT(ADDRESS(2,COLUMN())),OFFSET($BN$2,0,0,ROW()-1,60),ROW()-1,FALSE))</f>
        <v/>
      </c>
      <c r="AC161" t="str">
        <f ca="1">IF(AND(ISNUMBER($AC$363),$B$208=1),$AC$363,HLOOKUP(INDIRECT(ADDRESS(2,COLUMN())),OFFSET($BN$2,0,0,ROW()-1,60),ROW()-1,FALSE))</f>
        <v/>
      </c>
      <c r="AD161" t="str">
        <f ca="1">IF(AND(ISNUMBER($AD$363),$B$208=1),$AD$363,HLOOKUP(INDIRECT(ADDRESS(2,COLUMN())),OFFSET($BN$2,0,0,ROW()-1,60),ROW()-1,FALSE))</f>
        <v/>
      </c>
      <c r="AE161" t="str">
        <f ca="1">IF(AND(ISNUMBER($AE$363),$B$208=1),$AE$363,HLOOKUP(INDIRECT(ADDRESS(2,COLUMN())),OFFSET($BN$2,0,0,ROW()-1,60),ROW()-1,FALSE))</f>
        <v/>
      </c>
      <c r="AF161" t="str">
        <f ca="1">IF(AND(ISNUMBER($AF$363),$B$208=1),$AF$363,HLOOKUP(INDIRECT(ADDRESS(2,COLUMN())),OFFSET($BN$2,0,0,ROW()-1,60),ROW()-1,FALSE))</f>
        <v/>
      </c>
      <c r="AG161" t="str">
        <f ca="1">IF(AND(ISNUMBER($AG$363),$B$208=1),$AG$363,HLOOKUP(INDIRECT(ADDRESS(2,COLUMN())),OFFSET($BN$2,0,0,ROW()-1,60),ROW()-1,FALSE))</f>
        <v/>
      </c>
      <c r="AH161" t="str">
        <f ca="1">IF(AND(ISNUMBER($AH$363),$B$208=1),$AH$363,HLOOKUP(INDIRECT(ADDRESS(2,COLUMN())),OFFSET($BN$2,0,0,ROW()-1,60),ROW()-1,FALSE))</f>
        <v/>
      </c>
      <c r="AI161" t="str">
        <f ca="1">IF(AND(ISNUMBER($AI$363),$B$208=1),$AI$363,HLOOKUP(INDIRECT(ADDRESS(2,COLUMN())),OFFSET($BN$2,0,0,ROW()-1,60),ROW()-1,FALSE))</f>
        <v/>
      </c>
      <c r="AJ161" t="str">
        <f ca="1">IF(AND(ISNUMBER($AJ$363),$B$208=1),$AJ$363,HLOOKUP(INDIRECT(ADDRESS(2,COLUMN())),OFFSET($BN$2,0,0,ROW()-1,60),ROW()-1,FALSE))</f>
        <v/>
      </c>
      <c r="AK161" t="str">
        <f ca="1">IF(AND(ISNUMBER($AK$363),$B$208=1),$AK$363,HLOOKUP(INDIRECT(ADDRESS(2,COLUMN())),OFFSET($BN$2,0,0,ROW()-1,60),ROW()-1,FALSE))</f>
        <v/>
      </c>
      <c r="AL161" t="str">
        <f ca="1">IF(AND(ISNUMBER($AL$363),$B$208=1),$AL$363,HLOOKUP(INDIRECT(ADDRESS(2,COLUMN())),OFFSET($BN$2,0,0,ROW()-1,60),ROW()-1,FALSE))</f>
        <v/>
      </c>
      <c r="AM161" t="str">
        <f ca="1">IF(AND(ISNUMBER($AM$363),$B$208=1),$AM$363,HLOOKUP(INDIRECT(ADDRESS(2,COLUMN())),OFFSET($BN$2,0,0,ROW()-1,60),ROW()-1,FALSE))</f>
        <v/>
      </c>
      <c r="AN161">
        <f ca="1">IF(AND(ISNUMBER($AN$363),$B$208=1),$AN$363,HLOOKUP(INDIRECT(ADDRESS(2,COLUMN())),OFFSET($BN$2,0,0,ROW()-1,60),ROW()-1,FALSE))</f>
        <v>22535</v>
      </c>
      <c r="AO161">
        <f ca="1">IF(AND(ISNUMBER($AO$363),$B$208=1),$AO$363,HLOOKUP(INDIRECT(ADDRESS(2,COLUMN())),OFFSET($BN$2,0,0,ROW()-1,60),ROW()-1,FALSE))</f>
        <v>23419</v>
      </c>
      <c r="AP161" t="str">
        <f ca="1">IF(AND(ISNUMBER($AP$363),$B$208=1),$AP$363,HLOOKUP(INDIRECT(ADDRESS(2,COLUMN())),OFFSET($BN$2,0,0,ROW()-1,60),ROW()-1,FALSE))</f>
        <v/>
      </c>
      <c r="AQ161" t="str">
        <f ca="1">IF(AND(ISNUMBER($AQ$363),$B$208=1),$AQ$363,HLOOKUP(INDIRECT(ADDRESS(2,COLUMN())),OFFSET($BN$2,0,0,ROW()-1,60),ROW()-1,FALSE))</f>
        <v/>
      </c>
      <c r="AR161" t="str">
        <f ca="1">IF(AND(ISNUMBER($AR$363),$B$208=1),$AR$363,HLOOKUP(INDIRECT(ADDRESS(2,COLUMN())),OFFSET($BN$2,0,0,ROW()-1,60),ROW()-1,FALSE))</f>
        <v/>
      </c>
      <c r="AS161" t="str">
        <f ca="1">IF(AND(ISNUMBER($AS$363),$B$208=1),$AS$363,HLOOKUP(INDIRECT(ADDRESS(2,COLUMN())),OFFSET($BN$2,0,0,ROW()-1,60),ROW()-1,FALSE))</f>
        <v/>
      </c>
      <c r="AT161" t="str">
        <f ca="1">IF(AND(ISNUMBER($AT$363),$B$208=1),$AT$363,HLOOKUP(INDIRECT(ADDRESS(2,COLUMN())),OFFSET($BN$2,0,0,ROW()-1,60),ROW()-1,FALSE))</f>
        <v/>
      </c>
      <c r="AU161" t="str">
        <f ca="1">IF(AND(ISNUMBER($AU$363),$B$208=1),$AU$363,HLOOKUP(INDIRECT(ADDRESS(2,COLUMN())),OFFSET($BN$2,0,0,ROW()-1,60),ROW()-1,FALSE))</f>
        <v/>
      </c>
      <c r="AV161" t="str">
        <f ca="1">IF(AND(ISNUMBER($AV$363),$B$208=1),$AV$363,HLOOKUP(INDIRECT(ADDRESS(2,COLUMN())),OFFSET($BN$2,0,0,ROW()-1,60),ROW()-1,FALSE))</f>
        <v/>
      </c>
      <c r="AW161" t="str">
        <f ca="1">IF(AND(ISNUMBER($AW$363),$B$208=1),$AW$363,HLOOKUP(INDIRECT(ADDRESS(2,COLUMN())),OFFSET($BN$2,0,0,ROW()-1,60),ROW()-1,FALSE))</f>
        <v/>
      </c>
      <c r="AX161" t="str">
        <f ca="1">IF(AND(ISNUMBER($AX$363),$B$208=1),$AX$363,HLOOKUP(INDIRECT(ADDRESS(2,COLUMN())),OFFSET($BN$2,0,0,ROW()-1,60),ROW()-1,FALSE))</f>
        <v/>
      </c>
      <c r="AY161" t="str">
        <f ca="1">IF(AND(ISNUMBER($AY$363),$B$208=1),$AY$363,HLOOKUP(INDIRECT(ADDRESS(2,COLUMN())),OFFSET($BN$2,0,0,ROW()-1,60),ROW()-1,FALSE))</f>
        <v/>
      </c>
      <c r="AZ161" t="str">
        <f ca="1">IF(AND(ISNUMBER($AZ$363),$B$208=1),$AZ$363,HLOOKUP(INDIRECT(ADDRESS(2,COLUMN())),OFFSET($BN$2,0,0,ROW()-1,60),ROW()-1,FALSE))</f>
        <v/>
      </c>
      <c r="BA161" t="str">
        <f ca="1">IF(AND(ISNUMBER($BA$363),$B$208=1),$BA$363,HLOOKUP(INDIRECT(ADDRESS(2,COLUMN())),OFFSET($BN$2,0,0,ROW()-1,60),ROW()-1,FALSE))</f>
        <v/>
      </c>
      <c r="BB161" t="str">
        <f ca="1">IF(AND(ISNUMBER($BB$363),$B$208=1),$BB$363,HLOOKUP(INDIRECT(ADDRESS(2,COLUMN())),OFFSET($BN$2,0,0,ROW()-1,60),ROW()-1,FALSE))</f>
        <v/>
      </c>
      <c r="BC161" t="str">
        <f ca="1">IF(AND(ISNUMBER($BC$363),$B$208=1),$BC$363,HLOOKUP(INDIRECT(ADDRESS(2,COLUMN())),OFFSET($BN$2,0,0,ROW()-1,60),ROW()-1,FALSE))</f>
        <v/>
      </c>
      <c r="BD161" t="str">
        <f ca="1">IF(AND(ISNUMBER($BD$363),$B$208=1),$BD$363,HLOOKUP(INDIRECT(ADDRESS(2,COLUMN())),OFFSET($BN$2,0,0,ROW()-1,60),ROW()-1,FALSE))</f>
        <v/>
      </c>
      <c r="BE161" t="str">
        <f ca="1">IF(AND(ISNUMBER($BE$363),$B$208=1),$BE$363,HLOOKUP(INDIRECT(ADDRESS(2,COLUMN())),OFFSET($BN$2,0,0,ROW()-1,60),ROW()-1,FALSE))</f>
        <v/>
      </c>
      <c r="BF161" t="str">
        <f ca="1">IF(AND(ISNUMBER($BF$363),$B$208=1),$BF$363,HLOOKUP(INDIRECT(ADDRESS(2,COLUMN())),OFFSET($BN$2,0,0,ROW()-1,60),ROW()-1,FALSE))</f>
        <v/>
      </c>
      <c r="BG161" t="str">
        <f ca="1">IF(AND(ISNUMBER($BG$363),$B$208=1),$BG$363,HLOOKUP(INDIRECT(ADDRESS(2,COLUMN())),OFFSET($BN$2,0,0,ROW()-1,60),ROW()-1,FALSE))</f>
        <v/>
      </c>
      <c r="BH161" t="str">
        <f ca="1">IF(AND(ISNUMBER($BH$363),$B$208=1),$BH$363,HLOOKUP(INDIRECT(ADDRESS(2,COLUMN())),OFFSET($BN$2,0,0,ROW()-1,60),ROW()-1,FALSE))</f>
        <v/>
      </c>
      <c r="BI161" t="str">
        <f ca="1">IF(AND(ISNUMBER($BI$363),$B$208=1),$BI$363,HLOOKUP(INDIRECT(ADDRESS(2,COLUMN())),OFFSET($BN$2,0,0,ROW()-1,60),ROW()-1,FALSE))</f>
        <v/>
      </c>
      <c r="BJ161" t="str">
        <f ca="1">IF(AND(ISNUMBER($BJ$363),$B$208=1),$BJ$363,HLOOKUP(INDIRECT(ADDRESS(2,COLUMN())),OFFSET($BN$2,0,0,ROW()-1,60),ROW()-1,FALSE))</f>
        <v/>
      </c>
      <c r="BK161" t="str">
        <f ca="1">IF(AND(ISNUMBER($BK$363),$B$208=1),$BK$363,HLOOKUP(INDIRECT(ADDRESS(2,COLUMN())),OFFSET($BN$2,0,0,ROW()-1,60),ROW()-1,FALSE))</f>
        <v/>
      </c>
      <c r="BL161" t="str">
        <f ca="1">IF(AND(ISNUMBER($BL$363),$B$208=1),$BL$363,HLOOKUP(INDIRECT(ADDRESS(2,COLUMN())),OFFSET($BN$2,0,0,ROW()-1,60),ROW()-1,FALSE))</f>
        <v/>
      </c>
      <c r="BM161" t="str">
        <f ca="1">IF(AND(ISNUMBER($BM$363),$B$208=1),$BM$363,HLOOKUP(INDIRECT(ADDRESS(2,COLUMN())),OFFSET($BN$2,0,0,ROW()-1,60),ROW()-1,FALSE))</f>
        <v/>
      </c>
      <c r="BN161" t="str">
        <f>""</f>
        <v/>
      </c>
      <c r="BO161" t="str">
        <f>""</f>
        <v/>
      </c>
      <c r="BP161">
        <f>2107</f>
        <v>2107</v>
      </c>
      <c r="BQ161" t="str">
        <f>""</f>
        <v/>
      </c>
      <c r="BR161">
        <f>1494</f>
        <v>1494</v>
      </c>
      <c r="BS161" t="str">
        <f>""</f>
        <v/>
      </c>
      <c r="BT161">
        <f>1527</f>
        <v>1527</v>
      </c>
      <c r="BU161" t="str">
        <f>""</f>
        <v/>
      </c>
      <c r="BV161">
        <f>1574</f>
        <v>1574</v>
      </c>
      <c r="BW161" t="str">
        <f>""</f>
        <v/>
      </c>
      <c r="BX161">
        <f>1601</f>
        <v>1601</v>
      </c>
      <c r="BY161" t="str">
        <f>""</f>
        <v/>
      </c>
      <c r="BZ161">
        <f>1636</f>
        <v>1636</v>
      </c>
      <c r="CA161" t="str">
        <f>""</f>
        <v/>
      </c>
      <c r="CB161" t="str">
        <f>""</f>
        <v/>
      </c>
      <c r="CC161" t="str">
        <f>""</f>
        <v/>
      </c>
      <c r="CD161">
        <f>1741</f>
        <v>1741</v>
      </c>
      <c r="CE161" t="str">
        <f>""</f>
        <v/>
      </c>
      <c r="CF161" t="str">
        <f>""</f>
        <v/>
      </c>
      <c r="CG161" t="str">
        <f>""</f>
        <v/>
      </c>
      <c r="CH161" t="str">
        <f>""</f>
        <v/>
      </c>
      <c r="CI161" t="str">
        <f>""</f>
        <v/>
      </c>
      <c r="CJ161" t="str">
        <f>""</f>
        <v/>
      </c>
      <c r="CK161" t="str">
        <f>""</f>
        <v/>
      </c>
      <c r="CL161" t="str">
        <f>""</f>
        <v/>
      </c>
      <c r="CM161" t="str">
        <f>""</f>
        <v/>
      </c>
      <c r="CN161" t="str">
        <f>""</f>
        <v/>
      </c>
      <c r="CO161" t="str">
        <f>""</f>
        <v/>
      </c>
      <c r="CP161" t="str">
        <f>""</f>
        <v/>
      </c>
      <c r="CQ161" t="str">
        <f>""</f>
        <v/>
      </c>
      <c r="CR161" t="str">
        <f>""</f>
        <v/>
      </c>
      <c r="CS161" t="str">
        <f>""</f>
        <v/>
      </c>
      <c r="CT161" t="str">
        <f>""</f>
        <v/>
      </c>
      <c r="CU161" t="str">
        <f>""</f>
        <v/>
      </c>
      <c r="CV161">
        <f>22535</f>
        <v>22535</v>
      </c>
      <c r="CW161">
        <f>23419</f>
        <v>23419</v>
      </c>
      <c r="CX161" t="str">
        <f>""</f>
        <v/>
      </c>
      <c r="CY161" t="str">
        <f>""</f>
        <v/>
      </c>
      <c r="CZ161" t="str">
        <f>""</f>
        <v/>
      </c>
      <c r="DA161" t="str">
        <f>""</f>
        <v/>
      </c>
      <c r="DB161" t="str">
        <f>""</f>
        <v/>
      </c>
      <c r="DC161" t="str">
        <f>""</f>
        <v/>
      </c>
      <c r="DD161" t="str">
        <f>""</f>
        <v/>
      </c>
      <c r="DE161" t="str">
        <f>""</f>
        <v/>
      </c>
      <c r="DF161" t="str">
        <f>""</f>
        <v/>
      </c>
      <c r="DG161" t="str">
        <f>""</f>
        <v/>
      </c>
      <c r="DH161" t="str">
        <f>""</f>
        <v/>
      </c>
      <c r="DI161" t="str">
        <f>""</f>
        <v/>
      </c>
      <c r="DJ161" t="str">
        <f>""</f>
        <v/>
      </c>
      <c r="DK161" t="str">
        <f>""</f>
        <v/>
      </c>
      <c r="DL161" t="str">
        <f>""</f>
        <v/>
      </c>
      <c r="DM161" t="str">
        <f>""</f>
        <v/>
      </c>
      <c r="DN161" t="str">
        <f>""</f>
        <v/>
      </c>
      <c r="DO161" t="str">
        <f>""</f>
        <v/>
      </c>
      <c r="DP161" t="str">
        <f>""</f>
        <v/>
      </c>
      <c r="DQ161" t="str">
        <f>""</f>
        <v/>
      </c>
      <c r="DR161" t="str">
        <f>""</f>
        <v/>
      </c>
      <c r="DS161" t="str">
        <f>""</f>
        <v/>
      </c>
      <c r="DT161" t="str">
        <f>""</f>
        <v/>
      </c>
      <c r="DU161" t="str">
        <f>""</f>
        <v/>
      </c>
    </row>
    <row r="162" spans="1:125" x14ac:dyDescent="0.25">
      <c r="A162" t="str">
        <f>"    BNP Paribas SA"</f>
        <v xml:space="preserve">    BNP Paribas SA</v>
      </c>
      <c r="B162" t="str">
        <f>"BNP FP Equity"</f>
        <v>BNP FP Equity</v>
      </c>
      <c r="C162" t="str">
        <f t="shared" si="12"/>
        <v>BS018</v>
      </c>
      <c r="D162" t="str">
        <f t="shared" si="13"/>
        <v>BS_OTHER_LOAN</v>
      </c>
      <c r="E162" t="str">
        <f t="shared" si="14"/>
        <v>Dynamic</v>
      </c>
      <c r="F162">
        <f ca="1">IF(AND(ISNUMBER($F$364),$B$208=1),$F$364,HLOOKUP(INDIRECT(ADDRESS(2,COLUMN())),OFFSET($BN$2,0,0,ROW()-1,60),ROW()-1,FALSE))</f>
        <v>14366</v>
      </c>
      <c r="G162" t="str">
        <f ca="1">IF(AND(ISNUMBER($G$364),$B$208=1),$G$364,HLOOKUP(INDIRECT(ADDRESS(2,COLUMN())),OFFSET($BN$2,0,0,ROW()-1,60),ROW()-1,FALSE))</f>
        <v/>
      </c>
      <c r="H162">
        <f ca="1">IF(AND(ISNUMBER($H$364),$B$208=1),$H$364,HLOOKUP(INDIRECT(ADDRESS(2,COLUMN())),OFFSET($BN$2,0,0,ROW()-1,60),ROW()-1,FALSE))</f>
        <v>19899</v>
      </c>
      <c r="I162" t="str">
        <f ca="1">IF(AND(ISNUMBER($I$364),$B$208=1),$I$364,HLOOKUP(INDIRECT(ADDRESS(2,COLUMN())),OFFSET($BN$2,0,0,ROW()-1,60),ROW()-1,FALSE))</f>
        <v/>
      </c>
      <c r="J162">
        <f ca="1">IF(AND(ISNUMBER($J$364),$B$208=1),$J$364,HLOOKUP(INDIRECT(ADDRESS(2,COLUMN())),OFFSET($BN$2,0,0,ROW()-1,60),ROW()-1,FALSE))</f>
        <v>12174</v>
      </c>
      <c r="K162" t="str">
        <f ca="1">IF(AND(ISNUMBER($K$364),$B$208=1),$K$364,HLOOKUP(INDIRECT(ADDRESS(2,COLUMN())),OFFSET($BN$2,0,0,ROW()-1,60),ROW()-1,FALSE))</f>
        <v/>
      </c>
      <c r="L162">
        <f ca="1">IF(AND(ISNUMBER($L$364),$B$208=1),$L$364,HLOOKUP(INDIRECT(ADDRESS(2,COLUMN())),OFFSET($BN$2,0,0,ROW()-1,60),ROW()-1,FALSE))</f>
        <v>14316</v>
      </c>
      <c r="M162" t="str">
        <f ca="1">IF(AND(ISNUMBER($M$364),$B$208=1),$M$364,HLOOKUP(INDIRECT(ADDRESS(2,COLUMN())),OFFSET($BN$2,0,0,ROW()-1,60),ROW()-1,FALSE))</f>
        <v/>
      </c>
      <c r="N162">
        <f ca="1">IF(AND(ISNUMBER($N$364),$B$208=1),$N$364,HLOOKUP(INDIRECT(ADDRESS(2,COLUMN())),OFFSET($BN$2,0,0,ROW()-1,60),ROW()-1,FALSE))</f>
        <v>15675</v>
      </c>
      <c r="O162" t="str">
        <f ca="1">IF(AND(ISNUMBER($O$364),$B$208=1),$O$364,HLOOKUP(INDIRECT(ADDRESS(2,COLUMN())),OFFSET($BN$2,0,0,ROW()-1,60),ROW()-1,FALSE))</f>
        <v/>
      </c>
      <c r="P162">
        <f ca="1">IF(AND(ISNUMBER($P$364),$B$208=1),$P$364,HLOOKUP(INDIRECT(ADDRESS(2,COLUMN())),OFFSET($BN$2,0,0,ROW()-1,60),ROW()-1,FALSE))</f>
        <v>20943</v>
      </c>
      <c r="Q162" t="str">
        <f ca="1">IF(AND(ISNUMBER($Q$364),$B$208=1),$Q$364,HLOOKUP(INDIRECT(ADDRESS(2,COLUMN())),OFFSET($BN$2,0,0,ROW()-1,60),ROW()-1,FALSE))</f>
        <v/>
      </c>
      <c r="R162">
        <f ca="1">IF(AND(ISNUMBER($R$364),$B$208=1),$R$364,HLOOKUP(INDIRECT(ADDRESS(2,COLUMN())),OFFSET($BN$2,0,0,ROW()-1,60),ROW()-1,FALSE))</f>
        <v>10550</v>
      </c>
      <c r="S162" t="str">
        <f ca="1">IF(AND(ISNUMBER($S$364),$B$208=1),$S$364,HLOOKUP(INDIRECT(ADDRESS(2,COLUMN())),OFFSET($BN$2,0,0,ROW()-1,60),ROW()-1,FALSE))</f>
        <v/>
      </c>
      <c r="T162">
        <f ca="1">IF(AND(ISNUMBER($T$364),$B$208=1),$T$364,HLOOKUP(INDIRECT(ADDRESS(2,COLUMN())),OFFSET($BN$2,0,0,ROW()-1,60),ROW()-1,FALSE))</f>
        <v>19508</v>
      </c>
      <c r="U162" t="str">
        <f ca="1">IF(AND(ISNUMBER($U$364),$B$208=1),$U$364,HLOOKUP(INDIRECT(ADDRESS(2,COLUMN())),OFFSET($BN$2,0,0,ROW()-1,60),ROW()-1,FALSE))</f>
        <v/>
      </c>
      <c r="V162">
        <f ca="1">IF(AND(ISNUMBER($V$364),$B$208=1),$V$364,HLOOKUP(INDIRECT(ADDRESS(2,COLUMN())),OFFSET($BN$2,0,0,ROW()-1,60),ROW()-1,FALSE))</f>
        <v>9921</v>
      </c>
      <c r="W162" t="str">
        <f ca="1">IF(AND(ISNUMBER($W$364),$B$208=1),$W$364,HLOOKUP(INDIRECT(ADDRESS(2,COLUMN())),OFFSET($BN$2,0,0,ROW()-1,60),ROW()-1,FALSE))</f>
        <v/>
      </c>
      <c r="X162">
        <f ca="1">IF(AND(ISNUMBER($X$364),$B$208=1),$X$364,HLOOKUP(INDIRECT(ADDRESS(2,COLUMN())),OFFSET($BN$2,0,0,ROW()-1,60),ROW()-1,FALSE))</f>
        <v>16641</v>
      </c>
      <c r="Y162" t="str">
        <f ca="1">IF(AND(ISNUMBER($Y$364),$B$208=1),$Y$364,HLOOKUP(INDIRECT(ADDRESS(2,COLUMN())),OFFSET($BN$2,0,0,ROW()-1,60),ROW()-1,FALSE))</f>
        <v/>
      </c>
      <c r="Z162">
        <f ca="1">IF(AND(ISNUMBER($Z$364),$B$208=1),$Z$364,HLOOKUP(INDIRECT(ADDRESS(2,COLUMN())),OFFSET($BN$2,0,0,ROW()-1,60),ROW()-1,FALSE))</f>
        <v>12609</v>
      </c>
      <c r="AA162" t="str">
        <f ca="1">IF(AND(ISNUMBER($AA$364),$B$208=1),$AA$364,HLOOKUP(INDIRECT(ADDRESS(2,COLUMN())),OFFSET($BN$2,0,0,ROW()-1,60),ROW()-1,FALSE))</f>
        <v/>
      </c>
      <c r="AB162">
        <f ca="1">IF(AND(ISNUMBER($AB$364),$B$208=1),$AB$364,HLOOKUP(INDIRECT(ADDRESS(2,COLUMN())),OFFSET($BN$2,0,0,ROW()-1,60),ROW()-1,FALSE))</f>
        <v>15112</v>
      </c>
      <c r="AC162" t="str">
        <f ca="1">IF(AND(ISNUMBER($AC$364),$B$208=1),$AC$364,HLOOKUP(INDIRECT(ADDRESS(2,COLUMN())),OFFSET($BN$2,0,0,ROW()-1,60),ROW()-1,FALSE))</f>
        <v/>
      </c>
      <c r="AD162">
        <f ca="1">IF(AND(ISNUMBER($AD$364),$B$208=1),$AD$364,HLOOKUP(INDIRECT(ADDRESS(2,COLUMN())),OFFSET($BN$2,0,0,ROW()-1,60),ROW()-1,FALSE))</f>
        <v>11494</v>
      </c>
      <c r="AE162" t="str">
        <f ca="1">IF(AND(ISNUMBER($AE$364),$B$208=1),$AE$364,HLOOKUP(INDIRECT(ADDRESS(2,COLUMN())),OFFSET($BN$2,0,0,ROW()-1,60),ROW()-1,FALSE))</f>
        <v/>
      </c>
      <c r="AF162">
        <f ca="1">IF(AND(ISNUMBER($AF$364),$B$208=1),$AF$364,HLOOKUP(INDIRECT(ADDRESS(2,COLUMN())),OFFSET($BN$2,0,0,ROW()-1,60),ROW()-1,FALSE))</f>
        <v>11772</v>
      </c>
      <c r="AG162" t="str">
        <f ca="1">IF(AND(ISNUMBER($AG$364),$B$208=1),$AG$364,HLOOKUP(INDIRECT(ADDRESS(2,COLUMN())),OFFSET($BN$2,0,0,ROW()-1,60),ROW()-1,FALSE))</f>
        <v/>
      </c>
      <c r="AH162">
        <f ca="1">IF(AND(ISNUMBER($AH$364),$B$208=1),$AH$364,HLOOKUP(INDIRECT(ADDRESS(2,COLUMN())),OFFSET($BN$2,0,0,ROW()-1,60),ROW()-1,FALSE))</f>
        <v>11488</v>
      </c>
      <c r="AI162" t="str">
        <f ca="1">IF(AND(ISNUMBER($AI$364),$B$208=1),$AI$364,HLOOKUP(INDIRECT(ADDRESS(2,COLUMN())),OFFSET($BN$2,0,0,ROW()-1,60),ROW()-1,FALSE))</f>
        <v/>
      </c>
      <c r="AJ162">
        <f ca="1">IF(AND(ISNUMBER($AJ$364),$B$208=1),$AJ$364,HLOOKUP(INDIRECT(ADDRESS(2,COLUMN())),OFFSET($BN$2,0,0,ROW()-1,60),ROW()-1,FALSE))</f>
        <v>36810</v>
      </c>
      <c r="AK162" t="str">
        <f ca="1">IF(AND(ISNUMBER($AK$364),$B$208=1),$AK$364,HLOOKUP(INDIRECT(ADDRESS(2,COLUMN())),OFFSET($BN$2,0,0,ROW()-1,60),ROW()-1,FALSE))</f>
        <v/>
      </c>
      <c r="AL162" t="str">
        <f ca="1">IF(AND(ISNUMBER($AL$364),$B$208=1),$AL$364,HLOOKUP(INDIRECT(ADDRESS(2,COLUMN())),OFFSET($BN$2,0,0,ROW()-1,60),ROW()-1,FALSE))</f>
        <v/>
      </c>
      <c r="AM162" t="str">
        <f ca="1">IF(AND(ISNUMBER($AM$364),$B$208=1),$AM$364,HLOOKUP(INDIRECT(ADDRESS(2,COLUMN())),OFFSET($BN$2,0,0,ROW()-1,60),ROW()-1,FALSE))</f>
        <v/>
      </c>
      <c r="AN162">
        <f ca="1">IF(AND(ISNUMBER($AN$364),$B$208=1),$AN$364,HLOOKUP(INDIRECT(ADDRESS(2,COLUMN())),OFFSET($BN$2,0,0,ROW()-1,60),ROW()-1,FALSE))</f>
        <v>31596</v>
      </c>
      <c r="AO162" t="str">
        <f ca="1">IF(AND(ISNUMBER($AO$364),$B$208=1),$AO$364,HLOOKUP(INDIRECT(ADDRESS(2,COLUMN())),OFFSET($BN$2,0,0,ROW()-1,60),ROW()-1,FALSE))</f>
        <v/>
      </c>
      <c r="AP162">
        <f ca="1">IF(AND(ISNUMBER($AP$364),$B$208=1),$AP$364,HLOOKUP(INDIRECT(ADDRESS(2,COLUMN())),OFFSET($BN$2,0,0,ROW()-1,60),ROW()-1,FALSE))</f>
        <v>31780</v>
      </c>
      <c r="AQ162" t="str">
        <f ca="1">IF(AND(ISNUMBER($AQ$364),$B$208=1),$AQ$364,HLOOKUP(INDIRECT(ADDRESS(2,COLUMN())),OFFSET($BN$2,0,0,ROW()-1,60),ROW()-1,FALSE))</f>
        <v/>
      </c>
      <c r="AR162" t="str">
        <f ca="1">IF(AND(ISNUMBER($AR$364),$B$208=1),$AR$364,HLOOKUP(INDIRECT(ADDRESS(2,COLUMN())),OFFSET($BN$2,0,0,ROW()-1,60),ROW()-1,FALSE))</f>
        <v/>
      </c>
      <c r="AS162" t="str">
        <f ca="1">IF(AND(ISNUMBER($AS$364),$B$208=1),$AS$364,HLOOKUP(INDIRECT(ADDRESS(2,COLUMN())),OFFSET($BN$2,0,0,ROW()-1,60),ROW()-1,FALSE))</f>
        <v/>
      </c>
      <c r="AT162">
        <f ca="1">IF(AND(ISNUMBER($AT$364),$B$208=1),$AT$364,HLOOKUP(INDIRECT(ADDRESS(2,COLUMN())),OFFSET($BN$2,0,0,ROW()-1,60),ROW()-1,FALSE))</f>
        <v>33010</v>
      </c>
      <c r="AU162" t="str">
        <f ca="1">IF(AND(ISNUMBER($AU$364),$B$208=1),$AU$364,HLOOKUP(INDIRECT(ADDRESS(2,COLUMN())),OFFSET($BN$2,0,0,ROW()-1,60),ROW()-1,FALSE))</f>
        <v/>
      </c>
      <c r="AV162">
        <f ca="1">IF(AND(ISNUMBER($AV$364),$B$208=1),$AV$364,HLOOKUP(INDIRECT(ADDRESS(2,COLUMN())),OFFSET($BN$2,0,0,ROW()-1,60),ROW()-1,FALSE))</f>
        <v>41340</v>
      </c>
      <c r="AW162" t="str">
        <f ca="1">IF(AND(ISNUMBER($AW$364),$B$208=1),$AW$364,HLOOKUP(INDIRECT(ADDRESS(2,COLUMN())),OFFSET($BN$2,0,0,ROW()-1,60),ROW()-1,FALSE))</f>
        <v/>
      </c>
      <c r="AX162" t="str">
        <f ca="1">IF(AND(ISNUMBER($AX$364),$B$208=1),$AX$364,HLOOKUP(INDIRECT(ADDRESS(2,COLUMN())),OFFSET($BN$2,0,0,ROW()-1,60),ROW()-1,FALSE))</f>
        <v/>
      </c>
      <c r="AY162" t="str">
        <f ca="1">IF(AND(ISNUMBER($AY$364),$B$208=1),$AY$364,HLOOKUP(INDIRECT(ADDRESS(2,COLUMN())),OFFSET($BN$2,0,0,ROW()-1,60),ROW()-1,FALSE))</f>
        <v/>
      </c>
      <c r="AZ162" t="str">
        <f ca="1">IF(AND(ISNUMBER($AZ$364),$B$208=1),$AZ$364,HLOOKUP(INDIRECT(ADDRESS(2,COLUMN())),OFFSET($BN$2,0,0,ROW()-1,60),ROW()-1,FALSE))</f>
        <v/>
      </c>
      <c r="BA162" t="str">
        <f ca="1">IF(AND(ISNUMBER($BA$364),$B$208=1),$BA$364,HLOOKUP(INDIRECT(ADDRESS(2,COLUMN())),OFFSET($BN$2,0,0,ROW()-1,60),ROW()-1,FALSE))</f>
        <v/>
      </c>
      <c r="BB162" t="str">
        <f ca="1">IF(AND(ISNUMBER($BB$364),$B$208=1),$BB$364,HLOOKUP(INDIRECT(ADDRESS(2,COLUMN())),OFFSET($BN$2,0,0,ROW()-1,60),ROW()-1,FALSE))</f>
        <v/>
      </c>
      <c r="BC162" t="str">
        <f ca="1">IF(AND(ISNUMBER($BC$364),$B$208=1),$BC$364,HLOOKUP(INDIRECT(ADDRESS(2,COLUMN())),OFFSET($BN$2,0,0,ROW()-1,60),ROW()-1,FALSE))</f>
        <v/>
      </c>
      <c r="BD162" t="str">
        <f ca="1">IF(AND(ISNUMBER($BD$364),$B$208=1),$BD$364,HLOOKUP(INDIRECT(ADDRESS(2,COLUMN())),OFFSET($BN$2,0,0,ROW()-1,60),ROW()-1,FALSE))</f>
        <v/>
      </c>
      <c r="BE162" t="str">
        <f ca="1">IF(AND(ISNUMBER($BE$364),$B$208=1),$BE$364,HLOOKUP(INDIRECT(ADDRESS(2,COLUMN())),OFFSET($BN$2,0,0,ROW()-1,60),ROW()-1,FALSE))</f>
        <v/>
      </c>
      <c r="BF162" t="str">
        <f ca="1">IF(AND(ISNUMBER($BF$364),$B$208=1),$BF$364,HLOOKUP(INDIRECT(ADDRESS(2,COLUMN())),OFFSET($BN$2,0,0,ROW()-1,60),ROW()-1,FALSE))</f>
        <v/>
      </c>
      <c r="BG162" t="str">
        <f ca="1">IF(AND(ISNUMBER($BG$364),$B$208=1),$BG$364,HLOOKUP(INDIRECT(ADDRESS(2,COLUMN())),OFFSET($BN$2,0,0,ROW()-1,60),ROW()-1,FALSE))</f>
        <v/>
      </c>
      <c r="BH162" t="str">
        <f ca="1">IF(AND(ISNUMBER($BH$364),$B$208=1),$BH$364,HLOOKUP(INDIRECT(ADDRESS(2,COLUMN())),OFFSET($BN$2,0,0,ROW()-1,60),ROW()-1,FALSE))</f>
        <v/>
      </c>
      <c r="BI162" t="str">
        <f ca="1">IF(AND(ISNUMBER($BI$364),$B$208=1),$BI$364,HLOOKUP(INDIRECT(ADDRESS(2,COLUMN())),OFFSET($BN$2,0,0,ROW()-1,60),ROW()-1,FALSE))</f>
        <v/>
      </c>
      <c r="BJ162" t="str">
        <f ca="1">IF(AND(ISNUMBER($BJ$364),$B$208=1),$BJ$364,HLOOKUP(INDIRECT(ADDRESS(2,COLUMN())),OFFSET($BN$2,0,0,ROW()-1,60),ROW()-1,FALSE))</f>
        <v/>
      </c>
      <c r="BK162" t="str">
        <f ca="1">IF(AND(ISNUMBER($BK$364),$B$208=1),$BK$364,HLOOKUP(INDIRECT(ADDRESS(2,COLUMN())),OFFSET($BN$2,0,0,ROW()-1,60),ROW()-1,FALSE))</f>
        <v/>
      </c>
      <c r="BL162" t="str">
        <f ca="1">IF(AND(ISNUMBER($BL$364),$B$208=1),$BL$364,HLOOKUP(INDIRECT(ADDRESS(2,COLUMN())),OFFSET($BN$2,0,0,ROW()-1,60),ROW()-1,FALSE))</f>
        <v/>
      </c>
      <c r="BM162" t="str">
        <f ca="1">IF(AND(ISNUMBER($BM$364),$B$208=1),$BM$364,HLOOKUP(INDIRECT(ADDRESS(2,COLUMN())),OFFSET($BN$2,0,0,ROW()-1,60),ROW()-1,FALSE))</f>
        <v/>
      </c>
      <c r="BN162">
        <f>14366</f>
        <v>14366</v>
      </c>
      <c r="BO162" t="str">
        <f>""</f>
        <v/>
      </c>
      <c r="BP162">
        <f>19899</f>
        <v>19899</v>
      </c>
      <c r="BQ162" t="str">
        <f>""</f>
        <v/>
      </c>
      <c r="BR162">
        <f>12174</f>
        <v>12174</v>
      </c>
      <c r="BS162" t="str">
        <f>""</f>
        <v/>
      </c>
      <c r="BT162">
        <f>14316</f>
        <v>14316</v>
      </c>
      <c r="BU162" t="str">
        <f>""</f>
        <v/>
      </c>
      <c r="BV162">
        <f>15675</f>
        <v>15675</v>
      </c>
      <c r="BW162" t="str">
        <f>""</f>
        <v/>
      </c>
      <c r="BX162">
        <f>20943</f>
        <v>20943</v>
      </c>
      <c r="BY162" t="str">
        <f>""</f>
        <v/>
      </c>
      <c r="BZ162">
        <f>10550</f>
        <v>10550</v>
      </c>
      <c r="CA162" t="str">
        <f>""</f>
        <v/>
      </c>
      <c r="CB162">
        <f>19508</f>
        <v>19508</v>
      </c>
      <c r="CC162" t="str">
        <f>""</f>
        <v/>
      </c>
      <c r="CD162">
        <f>9921</f>
        <v>9921</v>
      </c>
      <c r="CE162" t="str">
        <f>""</f>
        <v/>
      </c>
      <c r="CF162">
        <f>16641</f>
        <v>16641</v>
      </c>
      <c r="CG162" t="str">
        <f>""</f>
        <v/>
      </c>
      <c r="CH162">
        <f>12609</f>
        <v>12609</v>
      </c>
      <c r="CI162" t="str">
        <f>""</f>
        <v/>
      </c>
      <c r="CJ162">
        <f>15112</f>
        <v>15112</v>
      </c>
      <c r="CK162" t="str">
        <f>""</f>
        <v/>
      </c>
      <c r="CL162">
        <f>11494</f>
        <v>11494</v>
      </c>
      <c r="CM162" t="str">
        <f>""</f>
        <v/>
      </c>
      <c r="CN162">
        <f>11772</f>
        <v>11772</v>
      </c>
      <c r="CO162" t="str">
        <f>""</f>
        <v/>
      </c>
      <c r="CP162">
        <f>11488</f>
        <v>11488</v>
      </c>
      <c r="CQ162" t="str">
        <f>""</f>
        <v/>
      </c>
      <c r="CR162">
        <f>36810</f>
        <v>36810</v>
      </c>
      <c r="CS162" t="str">
        <f>""</f>
        <v/>
      </c>
      <c r="CT162" t="str">
        <f>""</f>
        <v/>
      </c>
      <c r="CU162" t="str">
        <f>""</f>
        <v/>
      </c>
      <c r="CV162">
        <f>31596</f>
        <v>31596</v>
      </c>
      <c r="CW162" t="str">
        <f>""</f>
        <v/>
      </c>
      <c r="CX162">
        <f>31780</f>
        <v>31780</v>
      </c>
      <c r="CY162" t="str">
        <f>""</f>
        <v/>
      </c>
      <c r="CZ162" t="str">
        <f>""</f>
        <v/>
      </c>
      <c r="DA162" t="str">
        <f>""</f>
        <v/>
      </c>
      <c r="DB162">
        <f>33010</f>
        <v>33010</v>
      </c>
      <c r="DC162" t="str">
        <f>""</f>
        <v/>
      </c>
      <c r="DD162">
        <f>41340</f>
        <v>41340</v>
      </c>
      <c r="DE162" t="str">
        <f>""</f>
        <v/>
      </c>
      <c r="DF162" t="str">
        <f>""</f>
        <v/>
      </c>
      <c r="DG162" t="str">
        <f>""</f>
        <v/>
      </c>
      <c r="DH162" t="str">
        <f>""</f>
        <v/>
      </c>
      <c r="DI162" t="str">
        <f>""</f>
        <v/>
      </c>
      <c r="DJ162" t="str">
        <f>""</f>
        <v/>
      </c>
      <c r="DK162" t="str">
        <f>""</f>
        <v/>
      </c>
      <c r="DL162" t="str">
        <f>""</f>
        <v/>
      </c>
      <c r="DM162" t="str">
        <f>""</f>
        <v/>
      </c>
      <c r="DN162" t="str">
        <f>""</f>
        <v/>
      </c>
      <c r="DO162" t="str">
        <f>""</f>
        <v/>
      </c>
      <c r="DP162" t="str">
        <f>""</f>
        <v/>
      </c>
      <c r="DQ162" t="str">
        <f>""</f>
        <v/>
      </c>
      <c r="DR162" t="str">
        <f>""</f>
        <v/>
      </c>
      <c r="DS162" t="str">
        <f>""</f>
        <v/>
      </c>
      <c r="DT162" t="str">
        <f>""</f>
        <v/>
      </c>
      <c r="DU162" t="str">
        <f>""</f>
        <v/>
      </c>
    </row>
    <row r="163" spans="1:125" x14ac:dyDescent="0.25">
      <c r="A163" t="str">
        <f>"    Banco BPM SpA"</f>
        <v xml:space="preserve">    Banco BPM SpA</v>
      </c>
      <c r="B163" t="str">
        <f>"BAMI IM Equity"</f>
        <v>BAMI IM Equity</v>
      </c>
      <c r="C163" t="str">
        <f t="shared" si="12"/>
        <v>BS018</v>
      </c>
      <c r="D163" t="str">
        <f t="shared" si="13"/>
        <v>BS_OTHER_LOAN</v>
      </c>
      <c r="E163" t="str">
        <f t="shared" si="14"/>
        <v>Dynamic</v>
      </c>
      <c r="F163" t="str">
        <f ca="1">IF(AND(ISNUMBER($F$365),$B$208=1),$F$365,HLOOKUP(INDIRECT(ADDRESS(2,COLUMN())),OFFSET($BN$2,0,0,ROW()-1,60),ROW()-1,FALSE))</f>
        <v/>
      </c>
      <c r="G163" t="str">
        <f ca="1">IF(AND(ISNUMBER($G$365),$B$208=1),$G$365,HLOOKUP(INDIRECT(ADDRESS(2,COLUMN())),OFFSET($BN$2,0,0,ROW()-1,60),ROW()-1,FALSE))</f>
        <v/>
      </c>
      <c r="H163">
        <f ca="1">IF(AND(ISNUMBER($H$365),$B$208=1),$H$365,HLOOKUP(INDIRECT(ADDRESS(2,COLUMN())),OFFSET($BN$2,0,0,ROW()-1,60),ROW()-1,FALSE))</f>
        <v>19092.124</v>
      </c>
      <c r="I163" t="str">
        <f ca="1">IF(AND(ISNUMBER($I$365),$B$208=1),$I$365,HLOOKUP(INDIRECT(ADDRESS(2,COLUMN())),OFFSET($BN$2,0,0,ROW()-1,60),ROW()-1,FALSE))</f>
        <v/>
      </c>
      <c r="J163">
        <f ca="1">IF(AND(ISNUMBER($J$365),$B$208=1),$J$365,HLOOKUP(INDIRECT(ADDRESS(2,COLUMN())),OFFSET($BN$2,0,0,ROW()-1,60),ROW()-1,FALSE))</f>
        <v>16300.950999999999</v>
      </c>
      <c r="K163" t="str">
        <f ca="1">IF(AND(ISNUMBER($K$365),$B$208=1),$K$365,HLOOKUP(INDIRECT(ADDRESS(2,COLUMN())),OFFSET($BN$2,0,0,ROW()-1,60),ROW()-1,FALSE))</f>
        <v/>
      </c>
      <c r="L163">
        <f ca="1">IF(AND(ISNUMBER($L$365),$B$208=1),$L$365,HLOOKUP(INDIRECT(ADDRESS(2,COLUMN())),OFFSET($BN$2,0,0,ROW()-1,60),ROW()-1,FALSE))</f>
        <v>15220.128000000001</v>
      </c>
      <c r="M163" t="str">
        <f ca="1">IF(AND(ISNUMBER($M$365),$B$208=1),$M$365,HLOOKUP(INDIRECT(ADDRESS(2,COLUMN())),OFFSET($BN$2,0,0,ROW()-1,60),ROW()-1,FALSE))</f>
        <v/>
      </c>
      <c r="N163">
        <f ca="1">IF(AND(ISNUMBER($N$365),$B$208=1),$N$365,HLOOKUP(INDIRECT(ADDRESS(2,COLUMN())),OFFSET($BN$2,0,0,ROW()-1,60),ROW()-1,FALSE))</f>
        <v>18846.761999999999</v>
      </c>
      <c r="O163" t="str">
        <f ca="1">IF(AND(ISNUMBER($O$365),$B$208=1),$O$365,HLOOKUP(INDIRECT(ADDRESS(2,COLUMN())),OFFSET($BN$2,0,0,ROW()-1,60),ROW()-1,FALSE))</f>
        <v/>
      </c>
      <c r="P163">
        <f ca="1">IF(AND(ISNUMBER($P$365),$B$208=1),$P$365,HLOOKUP(INDIRECT(ADDRESS(2,COLUMN())),OFFSET($BN$2,0,0,ROW()-1,60),ROW()-1,FALSE))</f>
        <v>14107.249</v>
      </c>
      <c r="Q163" t="str">
        <f ca="1">IF(AND(ISNUMBER($Q$365),$B$208=1),$Q$365,HLOOKUP(INDIRECT(ADDRESS(2,COLUMN())),OFFSET($BN$2,0,0,ROW()-1,60),ROW()-1,FALSE))</f>
        <v/>
      </c>
      <c r="R163">
        <f ca="1">IF(AND(ISNUMBER($R$365),$B$208=1),$R$365,HLOOKUP(INDIRECT(ADDRESS(2,COLUMN())),OFFSET($BN$2,0,0,ROW()-1,60),ROW()-1,FALSE))</f>
        <v>20115.412</v>
      </c>
      <c r="S163" t="str">
        <f ca="1">IF(AND(ISNUMBER($S$365),$B$208=1),$S$365,HLOOKUP(INDIRECT(ADDRESS(2,COLUMN())),OFFSET($BN$2,0,0,ROW()-1,60),ROW()-1,FALSE))</f>
        <v/>
      </c>
      <c r="T163">
        <f ca="1">IF(AND(ISNUMBER($T$365),$B$208=1),$T$365,HLOOKUP(INDIRECT(ADDRESS(2,COLUMN())),OFFSET($BN$2,0,0,ROW()-1,60),ROW()-1,FALSE))</f>
        <v>18460.830999999998</v>
      </c>
      <c r="U163" t="str">
        <f ca="1">IF(AND(ISNUMBER($U$365),$B$208=1),$U$365,HLOOKUP(INDIRECT(ADDRESS(2,COLUMN())),OFFSET($BN$2,0,0,ROW()-1,60),ROW()-1,FALSE))</f>
        <v/>
      </c>
      <c r="V163">
        <f ca="1">IF(AND(ISNUMBER($V$365),$B$208=1),$V$365,HLOOKUP(INDIRECT(ADDRESS(2,COLUMN())),OFFSET($BN$2,0,0,ROW()-1,60),ROW()-1,FALSE))</f>
        <v>23790.03</v>
      </c>
      <c r="W163" t="str">
        <f ca="1">IF(AND(ISNUMBER($W$365),$B$208=1),$W$365,HLOOKUP(INDIRECT(ADDRESS(2,COLUMN())),OFFSET($BN$2,0,0,ROW()-1,60),ROW()-1,FALSE))</f>
        <v/>
      </c>
      <c r="X163">
        <f ca="1">IF(AND(ISNUMBER($X$365),$B$208=1),$X$365,HLOOKUP(INDIRECT(ADDRESS(2,COLUMN())),OFFSET($BN$2,0,0,ROW()-1,60),ROW()-1,FALSE))</f>
        <v>24135.084999999999</v>
      </c>
      <c r="Y163" t="str">
        <f ca="1">IF(AND(ISNUMBER($Y$365),$B$208=1),$Y$365,HLOOKUP(INDIRECT(ADDRESS(2,COLUMN())),OFFSET($BN$2,0,0,ROW()-1,60),ROW()-1,FALSE))</f>
        <v/>
      </c>
      <c r="Z163">
        <f ca="1">IF(AND(ISNUMBER($Z$365),$B$208=1),$Z$365,HLOOKUP(INDIRECT(ADDRESS(2,COLUMN())),OFFSET($BN$2,0,0,ROW()-1,60),ROW()-1,FALSE))</f>
        <v>32009.825000000001</v>
      </c>
      <c r="AA163" t="str">
        <f ca="1">IF(AND(ISNUMBER($AA$365),$B$208=1),$AA$365,HLOOKUP(INDIRECT(ADDRESS(2,COLUMN())),OFFSET($BN$2,0,0,ROW()-1,60),ROW()-1,FALSE))</f>
        <v/>
      </c>
      <c r="AB163">
        <f ca="1">IF(AND(ISNUMBER($AB$365),$B$208=1),$AB$365,HLOOKUP(INDIRECT(ADDRESS(2,COLUMN())),OFFSET($BN$2,0,0,ROW()-1,60),ROW()-1,FALSE))</f>
        <v>25419.402999999998</v>
      </c>
      <c r="AC163" t="str">
        <f ca="1">IF(AND(ISNUMBER($AC$365),$B$208=1),$AC$365,HLOOKUP(INDIRECT(ADDRESS(2,COLUMN())),OFFSET($BN$2,0,0,ROW()-1,60),ROW()-1,FALSE))</f>
        <v/>
      </c>
      <c r="AD163">
        <f ca="1">IF(AND(ISNUMBER($AD$365),$B$208=1),$AD$365,HLOOKUP(INDIRECT(ADDRESS(2,COLUMN())),OFFSET($BN$2,0,0,ROW()-1,60),ROW()-1,FALSE))</f>
        <v>27419.675999999999</v>
      </c>
      <c r="AE163" t="str">
        <f ca="1">IF(AND(ISNUMBER($AE$365),$B$208=1),$AE$365,HLOOKUP(INDIRECT(ADDRESS(2,COLUMN())),OFFSET($BN$2,0,0,ROW()-1,60),ROW()-1,FALSE))</f>
        <v/>
      </c>
      <c r="AF163">
        <f ca="1">IF(AND(ISNUMBER($AF$365),$B$208=1),$AF$365,HLOOKUP(INDIRECT(ADDRESS(2,COLUMN())),OFFSET($BN$2,0,0,ROW()-1,60),ROW()-1,FALSE))</f>
        <v>34840.567999999999</v>
      </c>
      <c r="AG163" t="str">
        <f ca="1">IF(AND(ISNUMBER($AG$365),$B$208=1),$AG$365,HLOOKUP(INDIRECT(ADDRESS(2,COLUMN())),OFFSET($BN$2,0,0,ROW()-1,60),ROW()-1,FALSE))</f>
        <v/>
      </c>
      <c r="AH163">
        <f ca="1">IF(AND(ISNUMBER($AH$365),$B$208=1),$AH$365,HLOOKUP(INDIRECT(ADDRESS(2,COLUMN())),OFFSET($BN$2,0,0,ROW()-1,60),ROW()-1,FALSE))</f>
        <v>36459.199000000001</v>
      </c>
      <c r="AI163" t="str">
        <f ca="1">IF(AND(ISNUMBER($AI$365),$B$208=1),$AI$365,HLOOKUP(INDIRECT(ADDRESS(2,COLUMN())),OFFSET($BN$2,0,0,ROW()-1,60),ROW()-1,FALSE))</f>
        <v/>
      </c>
      <c r="AJ163">
        <f ca="1">IF(AND(ISNUMBER($AJ$365),$B$208=1),$AJ$365,HLOOKUP(INDIRECT(ADDRESS(2,COLUMN())),OFFSET($BN$2,0,0,ROW()-1,60),ROW()-1,FALSE))</f>
        <v>43839.904000000002</v>
      </c>
      <c r="AK163" t="str">
        <f ca="1">IF(AND(ISNUMBER($AK$365),$B$208=1),$AK$365,HLOOKUP(INDIRECT(ADDRESS(2,COLUMN())),OFFSET($BN$2,0,0,ROW()-1,60),ROW()-1,FALSE))</f>
        <v/>
      </c>
      <c r="AL163" t="str">
        <f ca="1">IF(AND(ISNUMBER($AL$365),$B$208=1),$AL$365,HLOOKUP(INDIRECT(ADDRESS(2,COLUMN())),OFFSET($BN$2,0,0,ROW()-1,60),ROW()-1,FALSE))</f>
        <v/>
      </c>
      <c r="AM163" t="str">
        <f ca="1">IF(AND(ISNUMBER($AM$365),$B$208=1),$AM$365,HLOOKUP(INDIRECT(ADDRESS(2,COLUMN())),OFFSET($BN$2,0,0,ROW()-1,60),ROW()-1,FALSE))</f>
        <v/>
      </c>
      <c r="AN163">
        <f ca="1">IF(AND(ISNUMBER($AN$365),$B$208=1),$AN$365,HLOOKUP(INDIRECT(ADDRESS(2,COLUMN())),OFFSET($BN$2,0,0,ROW()-1,60),ROW()-1,FALSE))</f>
        <v>31036.118999999999</v>
      </c>
      <c r="AO163" t="str">
        <f ca="1">IF(AND(ISNUMBER($AO$365),$B$208=1),$AO$365,HLOOKUP(INDIRECT(ADDRESS(2,COLUMN())),OFFSET($BN$2,0,0,ROW()-1,60),ROW()-1,FALSE))</f>
        <v/>
      </c>
      <c r="AP163">
        <f ca="1">IF(AND(ISNUMBER($AP$365),$B$208=1),$AP$365,HLOOKUP(INDIRECT(ADDRESS(2,COLUMN())),OFFSET($BN$2,0,0,ROW()-1,60),ROW()-1,FALSE))</f>
        <v>28844.682000000001</v>
      </c>
      <c r="AQ163">
        <f ca="1">IF(AND(ISNUMBER($AQ$365),$B$208=1),$AQ$365,HLOOKUP(INDIRECT(ADDRESS(2,COLUMN())),OFFSET($BN$2,0,0,ROW()-1,60),ROW()-1,FALSE))</f>
        <v>29799.355</v>
      </c>
      <c r="AR163">
        <f ca="1">IF(AND(ISNUMBER($AR$365),$B$208=1),$AR$365,HLOOKUP(INDIRECT(ADDRESS(2,COLUMN())),OFFSET($BN$2,0,0,ROW()-1,60),ROW()-1,FALSE))</f>
        <v>29965.151999999998</v>
      </c>
      <c r="AS163">
        <f ca="1">IF(AND(ISNUMBER($AS$365),$B$208=1),$AS$365,HLOOKUP(INDIRECT(ADDRESS(2,COLUMN())),OFFSET($BN$2,0,0,ROW()-1,60),ROW()-1,FALSE))</f>
        <v>30630.348000000002</v>
      </c>
      <c r="AT163">
        <f ca="1">IF(AND(ISNUMBER($AT$365),$B$208=1),$AT$365,HLOOKUP(INDIRECT(ADDRESS(2,COLUMN())),OFFSET($BN$2,0,0,ROW()-1,60),ROW()-1,FALSE))</f>
        <v>30251.94</v>
      </c>
      <c r="AU163">
        <f ca="1">IF(AND(ISNUMBER($AU$365),$B$208=1),$AU$365,HLOOKUP(INDIRECT(ADDRESS(2,COLUMN())),OFFSET($BN$2,0,0,ROW()-1,60),ROW()-1,FALSE))</f>
        <v>32548.993999999999</v>
      </c>
      <c r="AV163">
        <f ca="1">IF(AND(ISNUMBER($AV$365),$B$208=1),$AV$365,HLOOKUP(INDIRECT(ADDRESS(2,COLUMN())),OFFSET($BN$2,0,0,ROW()-1,60),ROW()-1,FALSE))</f>
        <v>29704.428</v>
      </c>
      <c r="AW163">
        <f ca="1">IF(AND(ISNUMBER($AW$365),$B$208=1),$AW$365,HLOOKUP(INDIRECT(ADDRESS(2,COLUMN())),OFFSET($BN$2,0,0,ROW()-1,60),ROW()-1,FALSE))</f>
        <v>27519.758999999998</v>
      </c>
      <c r="AX163">
        <f ca="1">IF(AND(ISNUMBER($AX$365),$B$208=1),$AX$365,HLOOKUP(INDIRECT(ADDRESS(2,COLUMN())),OFFSET($BN$2,0,0,ROW()-1,60),ROW()-1,FALSE))</f>
        <v>29140.774000000001</v>
      </c>
      <c r="AY163">
        <f ca="1">IF(AND(ISNUMBER($AY$365),$B$208=1),$AY$365,HLOOKUP(INDIRECT(ADDRESS(2,COLUMN())),OFFSET($BN$2,0,0,ROW()-1,60),ROW()-1,FALSE))</f>
        <v>31035.276000000002</v>
      </c>
      <c r="AZ163">
        <f ca="1">IF(AND(ISNUMBER($AZ$365),$B$208=1),$AZ$365,HLOOKUP(INDIRECT(ADDRESS(2,COLUMN())),OFFSET($BN$2,0,0,ROW()-1,60),ROW()-1,FALSE))</f>
        <v>30380.311000000002</v>
      </c>
      <c r="BA163">
        <f ca="1">IF(AND(ISNUMBER($BA$365),$B$208=1),$BA$365,HLOOKUP(INDIRECT(ADDRESS(2,COLUMN())),OFFSET($BN$2,0,0,ROW()-1,60),ROW()-1,FALSE))</f>
        <v>29617.489000000001</v>
      </c>
      <c r="BB163">
        <f ca="1">IF(AND(ISNUMBER($BB$365),$B$208=1),$BB$365,HLOOKUP(INDIRECT(ADDRESS(2,COLUMN())),OFFSET($BN$2,0,0,ROW()-1,60),ROW()-1,FALSE))</f>
        <v>29502.17</v>
      </c>
      <c r="BC163">
        <f ca="1">IF(AND(ISNUMBER($BC$365),$B$208=1),$BC$365,HLOOKUP(INDIRECT(ADDRESS(2,COLUMN())),OFFSET($BN$2,0,0,ROW()-1,60),ROW()-1,FALSE))</f>
        <v>29517.200000000001</v>
      </c>
      <c r="BD163">
        <f ca="1">IF(AND(ISNUMBER($BD$365),$B$208=1),$BD$365,HLOOKUP(INDIRECT(ADDRESS(2,COLUMN())),OFFSET($BN$2,0,0,ROW()-1,60),ROW()-1,FALSE))</f>
        <v>29773.52</v>
      </c>
      <c r="BE163">
        <f ca="1">IF(AND(ISNUMBER($BE$365),$B$208=1),$BE$365,HLOOKUP(INDIRECT(ADDRESS(2,COLUMN())),OFFSET($BN$2,0,0,ROW()-1,60),ROW()-1,FALSE))</f>
        <v>31970.042000000001</v>
      </c>
      <c r="BF163">
        <f ca="1">IF(AND(ISNUMBER($BF$365),$B$208=1),$BF$365,HLOOKUP(INDIRECT(ADDRESS(2,COLUMN())),OFFSET($BN$2,0,0,ROW()-1,60),ROW()-1,FALSE))</f>
        <v>31781.929</v>
      </c>
      <c r="BG163">
        <f ca="1">IF(AND(ISNUMBER($BG$365),$B$208=1),$BG$365,HLOOKUP(INDIRECT(ADDRESS(2,COLUMN())),OFFSET($BN$2,0,0,ROW()-1,60),ROW()-1,FALSE))</f>
        <v>32568.824000000001</v>
      </c>
      <c r="BH163">
        <f ca="1">IF(AND(ISNUMBER($BH$365),$B$208=1),$BH$365,HLOOKUP(INDIRECT(ADDRESS(2,COLUMN())),OFFSET($BN$2,0,0,ROW()-1,60),ROW()-1,FALSE))</f>
        <v>33026.324999999997</v>
      </c>
      <c r="BI163">
        <f ca="1">IF(AND(ISNUMBER($BI$365),$B$208=1),$BI$365,HLOOKUP(INDIRECT(ADDRESS(2,COLUMN())),OFFSET($BN$2,0,0,ROW()-1,60),ROW()-1,FALSE))</f>
        <v>33416.822999999997</v>
      </c>
      <c r="BJ163">
        <f ca="1">IF(AND(ISNUMBER($BJ$365),$B$208=1),$BJ$365,HLOOKUP(INDIRECT(ADDRESS(2,COLUMN())),OFFSET($BN$2,0,0,ROW()-1,60),ROW()-1,FALSE))</f>
        <v>34400.307000000001</v>
      </c>
      <c r="BK163">
        <f ca="1">IF(AND(ISNUMBER($BK$365),$B$208=1),$BK$365,HLOOKUP(INDIRECT(ADDRESS(2,COLUMN())),OFFSET($BN$2,0,0,ROW()-1,60),ROW()-1,FALSE))</f>
        <v>35567.277000000002</v>
      </c>
      <c r="BL163">
        <f ca="1">IF(AND(ISNUMBER($BL$365),$B$208=1),$BL$365,HLOOKUP(INDIRECT(ADDRESS(2,COLUMN())),OFFSET($BN$2,0,0,ROW()-1,60),ROW()-1,FALSE))</f>
        <v>36203.887000000002</v>
      </c>
      <c r="BM163">
        <f ca="1">IF(AND(ISNUMBER($BM$365),$B$208=1),$BM$365,HLOOKUP(INDIRECT(ADDRESS(2,COLUMN())),OFFSET($BN$2,0,0,ROW()-1,60),ROW()-1,FALSE))</f>
        <v>36898.485000000001</v>
      </c>
      <c r="BN163" t="str">
        <f>""</f>
        <v/>
      </c>
      <c r="BO163" t="str">
        <f>""</f>
        <v/>
      </c>
      <c r="BP163">
        <f>19092.124</f>
        <v>19092.124</v>
      </c>
      <c r="BQ163" t="str">
        <f>""</f>
        <v/>
      </c>
      <c r="BR163">
        <f>16300.951</f>
        <v>16300.950999999999</v>
      </c>
      <c r="BS163" t="str">
        <f>""</f>
        <v/>
      </c>
      <c r="BT163">
        <f>15220.128</f>
        <v>15220.128000000001</v>
      </c>
      <c r="BU163" t="str">
        <f>""</f>
        <v/>
      </c>
      <c r="BV163">
        <f>18846.762</f>
        <v>18846.761999999999</v>
      </c>
      <c r="BW163" t="str">
        <f>""</f>
        <v/>
      </c>
      <c r="BX163">
        <f>14107.249</f>
        <v>14107.249</v>
      </c>
      <c r="BY163" t="str">
        <f>""</f>
        <v/>
      </c>
      <c r="BZ163">
        <f>20115.412</f>
        <v>20115.412</v>
      </c>
      <c r="CA163" t="str">
        <f>""</f>
        <v/>
      </c>
      <c r="CB163">
        <f>18460.831</f>
        <v>18460.830999999998</v>
      </c>
      <c r="CC163" t="str">
        <f>""</f>
        <v/>
      </c>
      <c r="CD163">
        <f>23790.03</f>
        <v>23790.03</v>
      </c>
      <c r="CE163" t="str">
        <f>""</f>
        <v/>
      </c>
      <c r="CF163">
        <f>24135.085</f>
        <v>24135.084999999999</v>
      </c>
      <c r="CG163" t="str">
        <f>""</f>
        <v/>
      </c>
      <c r="CH163">
        <f>32009.825</f>
        <v>32009.825000000001</v>
      </c>
      <c r="CI163" t="str">
        <f>""</f>
        <v/>
      </c>
      <c r="CJ163">
        <f>25419.403</f>
        <v>25419.402999999998</v>
      </c>
      <c r="CK163" t="str">
        <f>""</f>
        <v/>
      </c>
      <c r="CL163">
        <f>27419.676</f>
        <v>27419.675999999999</v>
      </c>
      <c r="CM163" t="str">
        <f>""</f>
        <v/>
      </c>
      <c r="CN163">
        <f>34840.568</f>
        <v>34840.567999999999</v>
      </c>
      <c r="CO163" t="str">
        <f>""</f>
        <v/>
      </c>
      <c r="CP163">
        <f>36459.199</f>
        <v>36459.199000000001</v>
      </c>
      <c r="CQ163" t="str">
        <f>""</f>
        <v/>
      </c>
      <c r="CR163">
        <f>43839.904</f>
        <v>43839.904000000002</v>
      </c>
      <c r="CS163" t="str">
        <f>""</f>
        <v/>
      </c>
      <c r="CT163" t="str">
        <f>""</f>
        <v/>
      </c>
      <c r="CU163" t="str">
        <f>""</f>
        <v/>
      </c>
      <c r="CV163">
        <f>31036.119</f>
        <v>31036.118999999999</v>
      </c>
      <c r="CW163" t="str">
        <f>""</f>
        <v/>
      </c>
      <c r="CX163">
        <f>28844.682</f>
        <v>28844.682000000001</v>
      </c>
      <c r="CY163">
        <f>29799.355</f>
        <v>29799.355</v>
      </c>
      <c r="CZ163">
        <f>29965.152</f>
        <v>29965.151999999998</v>
      </c>
      <c r="DA163">
        <f>30630.348</f>
        <v>30630.348000000002</v>
      </c>
      <c r="DB163">
        <f>30251.94</f>
        <v>30251.94</v>
      </c>
      <c r="DC163">
        <f>32548.994</f>
        <v>32548.993999999999</v>
      </c>
      <c r="DD163">
        <f>29704.428</f>
        <v>29704.428</v>
      </c>
      <c r="DE163">
        <f>27519.759</f>
        <v>27519.758999999998</v>
      </c>
      <c r="DF163">
        <f>29140.774</f>
        <v>29140.774000000001</v>
      </c>
      <c r="DG163">
        <f>31035.276</f>
        <v>31035.276000000002</v>
      </c>
      <c r="DH163">
        <f>30380.311</f>
        <v>30380.311000000002</v>
      </c>
      <c r="DI163">
        <f>29617.489</f>
        <v>29617.489000000001</v>
      </c>
      <c r="DJ163">
        <f>29502.17</f>
        <v>29502.17</v>
      </c>
      <c r="DK163">
        <f>29517.2</f>
        <v>29517.200000000001</v>
      </c>
      <c r="DL163">
        <f>29773.52</f>
        <v>29773.52</v>
      </c>
      <c r="DM163">
        <f>31970.042</f>
        <v>31970.042000000001</v>
      </c>
      <c r="DN163">
        <f>31781.929</f>
        <v>31781.929</v>
      </c>
      <c r="DO163">
        <f>32568.824</f>
        <v>32568.824000000001</v>
      </c>
      <c r="DP163">
        <f>33026.325</f>
        <v>33026.324999999997</v>
      </c>
      <c r="DQ163">
        <f>33416.823</f>
        <v>33416.822999999997</v>
      </c>
      <c r="DR163">
        <f>34400.307</f>
        <v>34400.307000000001</v>
      </c>
      <c r="DS163">
        <f>35567.277</f>
        <v>35567.277000000002</v>
      </c>
      <c r="DT163">
        <f>36203.887</f>
        <v>36203.887000000002</v>
      </c>
      <c r="DU163">
        <f>36898.485</f>
        <v>36898.485000000001</v>
      </c>
    </row>
    <row r="164" spans="1:125" x14ac:dyDescent="0.25">
      <c r="A164" t="str">
        <f>"    Banco Bilbao Vizcaya Argentaria SA"</f>
        <v xml:space="preserve">    Banco Bilbao Vizcaya Argentaria SA</v>
      </c>
      <c r="B164" t="str">
        <f>"BBVA SM Equity"</f>
        <v>BBVA SM Equity</v>
      </c>
      <c r="C164" t="str">
        <f t="shared" si="12"/>
        <v>BS018</v>
      </c>
      <c r="D164" t="str">
        <f t="shared" si="13"/>
        <v>BS_OTHER_LOAN</v>
      </c>
      <c r="E164" t="str">
        <f t="shared" si="14"/>
        <v>Dynamic</v>
      </c>
      <c r="F164">
        <f ca="1">IF(AND(ISNUMBER($F$366),$B$208=1),$F$366,HLOOKUP(INDIRECT(ADDRESS(2,COLUMN())),OFFSET($BN$2,0,0,ROW()-1,60),ROW()-1,FALSE))</f>
        <v>39395</v>
      </c>
      <c r="G164">
        <f ca="1">IF(AND(ISNUMBER($G$366),$B$208=1),$G$366,HLOOKUP(INDIRECT(ADDRESS(2,COLUMN())),OFFSET($BN$2,0,0,ROW()-1,60),ROW()-1,FALSE))</f>
        <v>47682</v>
      </c>
      <c r="H164">
        <f ca="1">IF(AND(ISNUMBER($H$366),$B$208=1),$H$366,HLOOKUP(INDIRECT(ADDRESS(2,COLUMN())),OFFSET($BN$2,0,0,ROW()-1,60),ROW()-1,FALSE))</f>
        <v>50782</v>
      </c>
      <c r="I164">
        <f ca="1">IF(AND(ISNUMBER($I$366),$B$208=1),$I$366,HLOOKUP(INDIRECT(ADDRESS(2,COLUMN())),OFFSET($BN$2,0,0,ROW()-1,60),ROW()-1,FALSE))</f>
        <v>49675</v>
      </c>
      <c r="J164">
        <f ca="1">IF(AND(ISNUMBER($J$366),$B$208=1),$J$366,HLOOKUP(INDIRECT(ADDRESS(2,COLUMN())),OFFSET($BN$2,0,0,ROW()-1,60),ROW()-1,FALSE))</f>
        <v>35079</v>
      </c>
      <c r="K164">
        <f ca="1">IF(AND(ISNUMBER($K$366),$B$208=1),$K$366,HLOOKUP(INDIRECT(ADDRESS(2,COLUMN())),OFFSET($BN$2,0,0,ROW()-1,60),ROW()-1,FALSE))</f>
        <v>51472</v>
      </c>
      <c r="L164">
        <f ca="1">IF(AND(ISNUMBER($L$366),$B$208=1),$L$366,HLOOKUP(INDIRECT(ADDRESS(2,COLUMN())),OFFSET($BN$2,0,0,ROW()-1,60),ROW()-1,FALSE))</f>
        <v>51821</v>
      </c>
      <c r="M164">
        <f ca="1">IF(AND(ISNUMBER($M$366),$B$208=1),$M$366,HLOOKUP(INDIRECT(ADDRESS(2,COLUMN())),OFFSET($BN$2,0,0,ROW()-1,60),ROW()-1,FALSE))</f>
        <v>47654</v>
      </c>
      <c r="N164">
        <f ca="1">IF(AND(ISNUMBER($N$366),$B$208=1),$N$366,HLOOKUP(INDIRECT(ADDRESS(2,COLUMN())),OFFSET($BN$2,0,0,ROW()-1,60),ROW()-1,FALSE))</f>
        <v>33168</v>
      </c>
      <c r="O164">
        <f ca="1">IF(AND(ISNUMBER($O$366),$B$208=1),$O$366,HLOOKUP(INDIRECT(ADDRESS(2,COLUMN())),OFFSET($BN$2,0,0,ROW()-1,60),ROW()-1,FALSE))</f>
        <v>46648</v>
      </c>
      <c r="P164">
        <f ca="1">IF(AND(ISNUMBER($P$366),$B$208=1),$P$366,HLOOKUP(INDIRECT(ADDRESS(2,COLUMN())),OFFSET($BN$2,0,0,ROW()-1,60),ROW()-1,FALSE))</f>
        <v>48984</v>
      </c>
      <c r="Q164">
        <f ca="1">IF(AND(ISNUMBER($Q$366),$B$208=1),$Q$366,HLOOKUP(INDIRECT(ADDRESS(2,COLUMN())),OFFSET($BN$2,0,0,ROW()-1,60),ROW()-1,FALSE))</f>
        <v>46416</v>
      </c>
      <c r="R164">
        <f ca="1">IF(AND(ISNUMBER($R$366),$B$208=1),$R$366,HLOOKUP(INDIRECT(ADDRESS(2,COLUMN())),OFFSET($BN$2,0,0,ROW()-1,60),ROW()-1,FALSE))</f>
        <v>30148</v>
      </c>
      <c r="S164">
        <f ca="1">IF(AND(ISNUMBER($S$366),$B$208=1),$S$366,HLOOKUP(INDIRECT(ADDRESS(2,COLUMN())),OFFSET($BN$2,0,0,ROW()-1,60),ROW()-1,FALSE))</f>
        <v>45514</v>
      </c>
      <c r="T164">
        <f ca="1">IF(AND(ISNUMBER($T$366),$B$208=1),$T$366,HLOOKUP(INDIRECT(ADDRESS(2,COLUMN())),OFFSET($BN$2,0,0,ROW()-1,60),ROW()-1,FALSE))</f>
        <v>47276</v>
      </c>
      <c r="U164">
        <f ca="1">IF(AND(ISNUMBER($U$366),$B$208=1),$U$366,HLOOKUP(INDIRECT(ADDRESS(2,COLUMN())),OFFSET($BN$2,0,0,ROW()-1,60),ROW()-1,FALSE))</f>
        <v>45110</v>
      </c>
      <c r="V164">
        <f ca="1">IF(AND(ISNUMBER($V$366),$B$208=1),$V$366,HLOOKUP(INDIRECT(ADDRESS(2,COLUMN())),OFFSET($BN$2,0,0,ROW()-1,60),ROW()-1,FALSE))</f>
        <v>29750</v>
      </c>
      <c r="W164">
        <f ca="1">IF(AND(ISNUMBER($W$366),$B$208=1),$W$366,HLOOKUP(INDIRECT(ADDRESS(2,COLUMN())),OFFSET($BN$2,0,0,ROW()-1,60),ROW()-1,FALSE))</f>
        <v>52911</v>
      </c>
      <c r="X164">
        <f ca="1">IF(AND(ISNUMBER($X$366),$B$208=1),$X$366,HLOOKUP(INDIRECT(ADDRESS(2,COLUMN())),OFFSET($BN$2,0,0,ROW()-1,60),ROW()-1,FALSE))</f>
        <v>56488</v>
      </c>
      <c r="Y164">
        <f ca="1">IF(AND(ISNUMBER($Y$366),$B$208=1),$Y$366,HLOOKUP(INDIRECT(ADDRESS(2,COLUMN())),OFFSET($BN$2,0,0,ROW()-1,60),ROW()-1,FALSE))</f>
        <v>47354</v>
      </c>
      <c r="Z164">
        <f ca="1">IF(AND(ISNUMBER($Z$366),$B$208=1),$Z$366,HLOOKUP(INDIRECT(ADDRESS(2,COLUMN())),OFFSET($BN$2,0,0,ROW()-1,60),ROW()-1,FALSE))</f>
        <v>35726</v>
      </c>
      <c r="AA164">
        <f ca="1">IF(AND(ISNUMBER($AA$366),$B$208=1),$AA$366,HLOOKUP(INDIRECT(ADDRESS(2,COLUMN())),OFFSET($BN$2,0,0,ROW()-1,60),ROW()-1,FALSE))</f>
        <v>57293</v>
      </c>
      <c r="AB164">
        <f ca="1">IF(AND(ISNUMBER($AB$366),$B$208=1),$AB$366,HLOOKUP(INDIRECT(ADDRESS(2,COLUMN())),OFFSET($BN$2,0,0,ROW()-1,60),ROW()-1,FALSE))</f>
        <v>57004</v>
      </c>
      <c r="AC164">
        <f ca="1">IF(AND(ISNUMBER($AC$366),$B$208=1),$AC$366,HLOOKUP(INDIRECT(ADDRESS(2,COLUMN())),OFFSET($BN$2,0,0,ROW()-1,60),ROW()-1,FALSE))</f>
        <v>56068</v>
      </c>
      <c r="AD164">
        <f ca="1">IF(AND(ISNUMBER($AD$366),$B$208=1),$AD$366,HLOOKUP(INDIRECT(ADDRESS(2,COLUMN())),OFFSET($BN$2,0,0,ROW()-1,60),ROW()-1,FALSE))</f>
        <v>55086</v>
      </c>
      <c r="AE164">
        <f ca="1">IF(AND(ISNUMBER($AE$366),$B$208=1),$AE$366,HLOOKUP(INDIRECT(ADDRESS(2,COLUMN())),OFFSET($BN$2,0,0,ROW()-1,60),ROW()-1,FALSE))</f>
        <v>45746</v>
      </c>
      <c r="AF164">
        <f ca="1">IF(AND(ISNUMBER($AF$366),$B$208=1),$AF$366,HLOOKUP(INDIRECT(ADDRESS(2,COLUMN())),OFFSET($BN$2,0,0,ROW()-1,60),ROW()-1,FALSE))</f>
        <v>65742</v>
      </c>
      <c r="AG164">
        <f ca="1">IF(AND(ISNUMBER($AG$366),$B$208=1),$AG$366,HLOOKUP(INDIRECT(ADDRESS(2,COLUMN())),OFFSET($BN$2,0,0,ROW()-1,60),ROW()-1,FALSE))</f>
        <v>78904</v>
      </c>
      <c r="AH164">
        <f ca="1">IF(AND(ISNUMBER($AH$366),$B$208=1),$AH$366,HLOOKUP(INDIRECT(ADDRESS(2,COLUMN())),OFFSET($BN$2,0,0,ROW()-1,60),ROW()-1,FALSE))</f>
        <v>53867</v>
      </c>
      <c r="AI164">
        <f ca="1">IF(AND(ISNUMBER($AI$366),$B$208=1),$AI$366,HLOOKUP(INDIRECT(ADDRESS(2,COLUMN())),OFFSET($BN$2,0,0,ROW()-1,60),ROW()-1,FALSE))</f>
        <v>62795</v>
      </c>
      <c r="AJ164">
        <f ca="1">IF(AND(ISNUMBER($AJ$366),$B$208=1),$AJ$366,HLOOKUP(INDIRECT(ADDRESS(2,COLUMN())),OFFSET($BN$2,0,0,ROW()-1,60),ROW()-1,FALSE))</f>
        <v>68253</v>
      </c>
      <c r="AK164">
        <f ca="1">IF(AND(ISNUMBER($AK$366),$B$208=1),$AK$366,HLOOKUP(INDIRECT(ADDRESS(2,COLUMN())),OFFSET($BN$2,0,0,ROW()-1,60),ROW()-1,FALSE))</f>
        <v>69033</v>
      </c>
      <c r="AL164">
        <f ca="1">IF(AND(ISNUMBER($AL$366),$B$208=1),$AL$366,HLOOKUP(INDIRECT(ADDRESS(2,COLUMN())),OFFSET($BN$2,0,0,ROW()-1,60),ROW()-1,FALSE))</f>
        <v>181769</v>
      </c>
      <c r="AM164">
        <f ca="1">IF(AND(ISNUMBER($AM$366),$B$208=1),$AM$366,HLOOKUP(INDIRECT(ADDRESS(2,COLUMN())),OFFSET($BN$2,0,0,ROW()-1,60),ROW()-1,FALSE))</f>
        <v>23588</v>
      </c>
      <c r="AN164">
        <f ca="1">IF(AND(ISNUMBER($AN$366),$B$208=1),$AN$366,HLOOKUP(INDIRECT(ADDRESS(2,COLUMN())),OFFSET($BN$2,0,0,ROW()-1,60),ROW()-1,FALSE))</f>
        <v>24212</v>
      </c>
      <c r="AO164">
        <f ca="1">IF(AND(ISNUMBER($AO$366),$B$208=1),$AO$366,HLOOKUP(INDIRECT(ADDRESS(2,COLUMN())),OFFSET($BN$2,0,0,ROW()-1,60),ROW()-1,FALSE))</f>
        <v>24826</v>
      </c>
      <c r="AP164">
        <f ca="1">IF(AND(ISNUMBER($AP$366),$B$208=1),$AP$366,HLOOKUP(INDIRECT(ADDRESS(2,COLUMN())),OFFSET($BN$2,0,0,ROW()-1,60),ROW()-1,FALSE))</f>
        <v>188750</v>
      </c>
      <c r="AQ164">
        <f ca="1">IF(AND(ISNUMBER($AQ$366),$B$208=1),$AQ$366,HLOOKUP(INDIRECT(ADDRESS(2,COLUMN())),OFFSET($BN$2,0,0,ROW()-1,60),ROW()-1,FALSE))</f>
        <v>25747</v>
      </c>
      <c r="AR164">
        <f ca="1">IF(AND(ISNUMBER($AR$366),$B$208=1),$AR$366,HLOOKUP(INDIRECT(ADDRESS(2,COLUMN())),OFFSET($BN$2,0,0,ROW()-1,60),ROW()-1,FALSE))</f>
        <v>25766</v>
      </c>
      <c r="AS164">
        <f ca="1">IF(AND(ISNUMBER($AS$366),$B$208=1),$AS$366,HLOOKUP(INDIRECT(ADDRESS(2,COLUMN())),OFFSET($BN$2,0,0,ROW()-1,60),ROW()-1,FALSE))</f>
        <v>22787</v>
      </c>
      <c r="AT164">
        <f ca="1">IF(AND(ISNUMBER($AT$366),$B$208=1),$AT$366,HLOOKUP(INDIRECT(ADDRESS(2,COLUMN())),OFFSET($BN$2,0,0,ROW()-1,60),ROW()-1,FALSE))</f>
        <v>70226</v>
      </c>
      <c r="AU164">
        <f ca="1">IF(AND(ISNUMBER($AU$366),$B$208=1),$AU$366,HLOOKUP(INDIRECT(ADDRESS(2,COLUMN())),OFFSET($BN$2,0,0,ROW()-1,60),ROW()-1,FALSE))</f>
        <v>23983</v>
      </c>
      <c r="AV164">
        <f ca="1">IF(AND(ISNUMBER($AV$366),$B$208=1),$AV$366,HLOOKUP(INDIRECT(ADDRESS(2,COLUMN())),OFFSET($BN$2,0,0,ROW()-1,60),ROW()-1,FALSE))</f>
        <v>24555</v>
      </c>
      <c r="AW164">
        <f ca="1">IF(AND(ISNUMBER($AW$366),$B$208=1),$AW$366,HLOOKUP(INDIRECT(ADDRESS(2,COLUMN())),OFFSET($BN$2,0,0,ROW()-1,60),ROW()-1,FALSE))</f>
        <v>25033</v>
      </c>
      <c r="AX164">
        <f ca="1">IF(AND(ISNUMBER($AX$366),$B$208=1),$AX$366,HLOOKUP(INDIRECT(ADDRESS(2,COLUMN())),OFFSET($BN$2,0,0,ROW()-1,60),ROW()-1,FALSE))</f>
        <v>62901</v>
      </c>
      <c r="AY164" t="str">
        <f ca="1">IF(AND(ISNUMBER($AY$366),$B$208=1),$AY$366,HLOOKUP(INDIRECT(ADDRESS(2,COLUMN())),OFFSET($BN$2,0,0,ROW()-1,60),ROW()-1,FALSE))</f>
        <v/>
      </c>
      <c r="AZ164">
        <f ca="1">IF(AND(ISNUMBER($AZ$366),$B$208=1),$AZ$366,HLOOKUP(INDIRECT(ADDRESS(2,COLUMN())),OFFSET($BN$2,0,0,ROW()-1,60),ROW()-1,FALSE))</f>
        <v>21811</v>
      </c>
      <c r="BA164">
        <f ca="1">IF(AND(ISNUMBER($BA$366),$B$208=1),$BA$366,HLOOKUP(INDIRECT(ADDRESS(2,COLUMN())),OFFSET($BN$2,0,0,ROW()-1,60),ROW()-1,FALSE))</f>
        <v>21448</v>
      </c>
      <c r="BB164">
        <f ca="1">IF(AND(ISNUMBER($BB$366),$B$208=1),$BB$366,HLOOKUP(INDIRECT(ADDRESS(2,COLUMN())),OFFSET($BN$2,0,0,ROW()-1,60),ROW()-1,FALSE))</f>
        <v>67312</v>
      </c>
      <c r="BC164" t="str">
        <f ca="1">IF(AND(ISNUMBER($BC$366),$B$208=1),$BC$366,HLOOKUP(INDIRECT(ADDRESS(2,COLUMN())),OFFSET($BN$2,0,0,ROW()-1,60),ROW()-1,FALSE))</f>
        <v/>
      </c>
      <c r="BD164" t="str">
        <f ca="1">IF(AND(ISNUMBER($BD$366),$B$208=1),$BD$366,HLOOKUP(INDIRECT(ADDRESS(2,COLUMN())),OFFSET($BN$2,0,0,ROW()-1,60),ROW()-1,FALSE))</f>
        <v/>
      </c>
      <c r="BE164" t="str">
        <f ca="1">IF(AND(ISNUMBER($BE$366),$B$208=1),$BE$366,HLOOKUP(INDIRECT(ADDRESS(2,COLUMN())),OFFSET($BN$2,0,0,ROW()-1,60),ROW()-1,FALSE))</f>
        <v/>
      </c>
      <c r="BF164">
        <f ca="1">IF(AND(ISNUMBER($BF$366),$B$208=1),$BF$366,HLOOKUP(INDIRECT(ADDRESS(2,COLUMN())),OFFSET($BN$2,0,0,ROW()-1,60),ROW()-1,FALSE))</f>
        <v>68625</v>
      </c>
      <c r="BG164" t="str">
        <f ca="1">IF(AND(ISNUMBER($BG$366),$B$208=1),$BG$366,HLOOKUP(INDIRECT(ADDRESS(2,COLUMN())),OFFSET($BN$2,0,0,ROW()-1,60),ROW()-1,FALSE))</f>
        <v/>
      </c>
      <c r="BH164" t="str">
        <f ca="1">IF(AND(ISNUMBER($BH$366),$B$208=1),$BH$366,HLOOKUP(INDIRECT(ADDRESS(2,COLUMN())),OFFSET($BN$2,0,0,ROW()-1,60),ROW()-1,FALSE))</f>
        <v/>
      </c>
      <c r="BI164" t="str">
        <f ca="1">IF(AND(ISNUMBER($BI$366),$B$208=1),$BI$366,HLOOKUP(INDIRECT(ADDRESS(2,COLUMN())),OFFSET($BN$2,0,0,ROW()-1,60),ROW()-1,FALSE))</f>
        <v/>
      </c>
      <c r="BJ164">
        <f ca="1">IF(AND(ISNUMBER($BJ$366),$B$208=1),$BJ$366,HLOOKUP(INDIRECT(ADDRESS(2,COLUMN())),OFFSET($BN$2,0,0,ROW()-1,60),ROW()-1,FALSE))</f>
        <v>62146</v>
      </c>
      <c r="BK164" t="str">
        <f ca="1">IF(AND(ISNUMBER($BK$366),$B$208=1),$BK$366,HLOOKUP(INDIRECT(ADDRESS(2,COLUMN())),OFFSET($BN$2,0,0,ROW()-1,60),ROW()-1,FALSE))</f>
        <v/>
      </c>
      <c r="BL164" t="str">
        <f ca="1">IF(AND(ISNUMBER($BL$366),$B$208=1),$BL$366,HLOOKUP(INDIRECT(ADDRESS(2,COLUMN())),OFFSET($BN$2,0,0,ROW()-1,60),ROW()-1,FALSE))</f>
        <v/>
      </c>
      <c r="BM164" t="str">
        <f ca="1">IF(AND(ISNUMBER($BM$366),$B$208=1),$BM$366,HLOOKUP(INDIRECT(ADDRESS(2,COLUMN())),OFFSET($BN$2,0,0,ROW()-1,60),ROW()-1,FALSE))</f>
        <v/>
      </c>
      <c r="BN164">
        <f>39395</f>
        <v>39395</v>
      </c>
      <c r="BO164">
        <f>47682</f>
        <v>47682</v>
      </c>
      <c r="BP164">
        <f>50782</f>
        <v>50782</v>
      </c>
      <c r="BQ164">
        <f>49675</f>
        <v>49675</v>
      </c>
      <c r="BR164">
        <f>35079</f>
        <v>35079</v>
      </c>
      <c r="BS164">
        <f>51472</f>
        <v>51472</v>
      </c>
      <c r="BT164">
        <f>51821</f>
        <v>51821</v>
      </c>
      <c r="BU164">
        <f>47654</f>
        <v>47654</v>
      </c>
      <c r="BV164">
        <f>33168</f>
        <v>33168</v>
      </c>
      <c r="BW164">
        <f>46648</f>
        <v>46648</v>
      </c>
      <c r="BX164">
        <f>48984</f>
        <v>48984</v>
      </c>
      <c r="BY164">
        <f>46416</f>
        <v>46416</v>
      </c>
      <c r="BZ164">
        <f>30148</f>
        <v>30148</v>
      </c>
      <c r="CA164">
        <f>45514</f>
        <v>45514</v>
      </c>
      <c r="CB164">
        <f>47276</f>
        <v>47276</v>
      </c>
      <c r="CC164">
        <f>45110</f>
        <v>45110</v>
      </c>
      <c r="CD164">
        <f>29750</f>
        <v>29750</v>
      </c>
      <c r="CE164">
        <f>52911</f>
        <v>52911</v>
      </c>
      <c r="CF164">
        <f>56488</f>
        <v>56488</v>
      </c>
      <c r="CG164">
        <f>47354</f>
        <v>47354</v>
      </c>
      <c r="CH164">
        <f>35726</f>
        <v>35726</v>
      </c>
      <c r="CI164">
        <f>57293</f>
        <v>57293</v>
      </c>
      <c r="CJ164">
        <f>57004</f>
        <v>57004</v>
      </c>
      <c r="CK164">
        <f>56068</f>
        <v>56068</v>
      </c>
      <c r="CL164">
        <f>55086</f>
        <v>55086</v>
      </c>
      <c r="CM164">
        <f>45746</f>
        <v>45746</v>
      </c>
      <c r="CN164">
        <f>65742</f>
        <v>65742</v>
      </c>
      <c r="CO164">
        <f>78904</f>
        <v>78904</v>
      </c>
      <c r="CP164">
        <f>53867</f>
        <v>53867</v>
      </c>
      <c r="CQ164">
        <f>62795</f>
        <v>62795</v>
      </c>
      <c r="CR164">
        <f>68253</f>
        <v>68253</v>
      </c>
      <c r="CS164">
        <f>69033</f>
        <v>69033</v>
      </c>
      <c r="CT164">
        <f>181769</f>
        <v>181769</v>
      </c>
      <c r="CU164">
        <f>23588</f>
        <v>23588</v>
      </c>
      <c r="CV164">
        <f>24212</f>
        <v>24212</v>
      </c>
      <c r="CW164">
        <f>24826</f>
        <v>24826</v>
      </c>
      <c r="CX164">
        <f>188750</f>
        <v>188750</v>
      </c>
      <c r="CY164">
        <f>25747</f>
        <v>25747</v>
      </c>
      <c r="CZ164">
        <f>25766</f>
        <v>25766</v>
      </c>
      <c r="DA164">
        <f>22787</f>
        <v>22787</v>
      </c>
      <c r="DB164">
        <f>70226</f>
        <v>70226</v>
      </c>
      <c r="DC164">
        <f>23983</f>
        <v>23983</v>
      </c>
      <c r="DD164">
        <f>24555</f>
        <v>24555</v>
      </c>
      <c r="DE164">
        <f>25033</f>
        <v>25033</v>
      </c>
      <c r="DF164">
        <f>62901</f>
        <v>62901</v>
      </c>
      <c r="DG164" t="str">
        <f>""</f>
        <v/>
      </c>
      <c r="DH164">
        <f>21811</f>
        <v>21811</v>
      </c>
      <c r="DI164">
        <f>21448</f>
        <v>21448</v>
      </c>
      <c r="DJ164">
        <f>67312</f>
        <v>67312</v>
      </c>
      <c r="DK164" t="str">
        <f>""</f>
        <v/>
      </c>
      <c r="DL164" t="str">
        <f>""</f>
        <v/>
      </c>
      <c r="DM164" t="str">
        <f>""</f>
        <v/>
      </c>
      <c r="DN164">
        <f>68625</f>
        <v>68625</v>
      </c>
      <c r="DO164" t="str">
        <f>""</f>
        <v/>
      </c>
      <c r="DP164" t="str">
        <f>""</f>
        <v/>
      </c>
      <c r="DQ164" t="str">
        <f>""</f>
        <v/>
      </c>
      <c r="DR164">
        <f>62146</f>
        <v>62146</v>
      </c>
      <c r="DS164" t="str">
        <f>""</f>
        <v/>
      </c>
      <c r="DT164" t="str">
        <f>""</f>
        <v/>
      </c>
      <c r="DU164" t="str">
        <f>""</f>
        <v/>
      </c>
    </row>
    <row r="165" spans="1:125" x14ac:dyDescent="0.25">
      <c r="A165" t="str">
        <f>"    Bank of Ireland Group PLC"</f>
        <v xml:space="preserve">    Bank of Ireland Group PLC</v>
      </c>
      <c r="B165" t="str">
        <f>"BIRG ID Equity"</f>
        <v>BIRG ID Equity</v>
      </c>
      <c r="C165" t="str">
        <f t="shared" si="12"/>
        <v>BS018</v>
      </c>
      <c r="D165" t="str">
        <f t="shared" si="13"/>
        <v>BS_OTHER_LOAN</v>
      </c>
      <c r="E165" t="str">
        <f t="shared" si="14"/>
        <v>Dynamic</v>
      </c>
      <c r="F165" t="str">
        <f ca="1">IF(AND(ISNUMBER($F$367),$B$208=1),$F$367,HLOOKUP(INDIRECT(ADDRESS(2,COLUMN())),OFFSET($BN$2,0,0,ROW()-1,60),ROW()-1,FALSE))</f>
        <v/>
      </c>
      <c r="G165" t="str">
        <f ca="1">IF(AND(ISNUMBER($G$367),$B$208=1),$G$367,HLOOKUP(INDIRECT(ADDRESS(2,COLUMN())),OFFSET($BN$2,0,0,ROW()-1,60),ROW()-1,FALSE))</f>
        <v/>
      </c>
      <c r="H165" t="str">
        <f ca="1">IF(AND(ISNUMBER($H$367),$B$208=1),$H$367,HLOOKUP(INDIRECT(ADDRESS(2,COLUMN())),OFFSET($BN$2,0,0,ROW()-1,60),ROW()-1,FALSE))</f>
        <v/>
      </c>
      <c r="I165" t="str">
        <f ca="1">IF(AND(ISNUMBER($I$367),$B$208=1),$I$367,HLOOKUP(INDIRECT(ADDRESS(2,COLUMN())),OFFSET($BN$2,0,0,ROW()-1,60),ROW()-1,FALSE))</f>
        <v/>
      </c>
      <c r="J165" t="str">
        <f ca="1">IF(AND(ISNUMBER($J$367),$B$208=1),$J$367,HLOOKUP(INDIRECT(ADDRESS(2,COLUMN())),OFFSET($BN$2,0,0,ROW()-1,60),ROW()-1,FALSE))</f>
        <v/>
      </c>
      <c r="K165" t="str">
        <f ca="1">IF(AND(ISNUMBER($K$367),$B$208=1),$K$367,HLOOKUP(INDIRECT(ADDRESS(2,COLUMN())),OFFSET($BN$2,0,0,ROW()-1,60),ROW()-1,FALSE))</f>
        <v/>
      </c>
      <c r="L165" t="str">
        <f ca="1">IF(AND(ISNUMBER($L$367),$B$208=1),$L$367,HLOOKUP(INDIRECT(ADDRESS(2,COLUMN())),OFFSET($BN$2,0,0,ROW()-1,60),ROW()-1,FALSE))</f>
        <v/>
      </c>
      <c r="M165" t="str">
        <f ca="1">IF(AND(ISNUMBER($M$367),$B$208=1),$M$367,HLOOKUP(INDIRECT(ADDRESS(2,COLUMN())),OFFSET($BN$2,0,0,ROW()-1,60),ROW()-1,FALSE))</f>
        <v/>
      </c>
      <c r="N165" t="str">
        <f ca="1">IF(AND(ISNUMBER($N$367),$B$208=1),$N$367,HLOOKUP(INDIRECT(ADDRESS(2,COLUMN())),OFFSET($BN$2,0,0,ROW()-1,60),ROW()-1,FALSE))</f>
        <v/>
      </c>
      <c r="O165" t="str">
        <f ca="1">IF(AND(ISNUMBER($O$367),$B$208=1),$O$367,HLOOKUP(INDIRECT(ADDRESS(2,COLUMN())),OFFSET($BN$2,0,0,ROW()-1,60),ROW()-1,FALSE))</f>
        <v/>
      </c>
      <c r="P165" t="str">
        <f ca="1">IF(AND(ISNUMBER($P$367),$B$208=1),$P$367,HLOOKUP(INDIRECT(ADDRESS(2,COLUMN())),OFFSET($BN$2,0,0,ROW()-1,60),ROW()-1,FALSE))</f>
        <v/>
      </c>
      <c r="Q165" t="str">
        <f ca="1">IF(AND(ISNUMBER($Q$367),$B$208=1),$Q$367,HLOOKUP(INDIRECT(ADDRESS(2,COLUMN())),OFFSET($BN$2,0,0,ROW()-1,60),ROW()-1,FALSE))</f>
        <v/>
      </c>
      <c r="R165" t="str">
        <f ca="1">IF(AND(ISNUMBER($R$367),$B$208=1),$R$367,HLOOKUP(INDIRECT(ADDRESS(2,COLUMN())),OFFSET($BN$2,0,0,ROW()-1,60),ROW()-1,FALSE))</f>
        <v/>
      </c>
      <c r="S165" t="str">
        <f ca="1">IF(AND(ISNUMBER($S$367),$B$208=1),$S$367,HLOOKUP(INDIRECT(ADDRESS(2,COLUMN())),OFFSET($BN$2,0,0,ROW()-1,60),ROW()-1,FALSE))</f>
        <v/>
      </c>
      <c r="T165" t="str">
        <f ca="1">IF(AND(ISNUMBER($T$367),$B$208=1),$T$367,HLOOKUP(INDIRECT(ADDRESS(2,COLUMN())),OFFSET($BN$2,0,0,ROW()-1,60),ROW()-1,FALSE))</f>
        <v/>
      </c>
      <c r="U165" t="str">
        <f ca="1">IF(AND(ISNUMBER($U$367),$B$208=1),$U$367,HLOOKUP(INDIRECT(ADDRESS(2,COLUMN())),OFFSET($BN$2,0,0,ROW()-1,60),ROW()-1,FALSE))</f>
        <v/>
      </c>
      <c r="V165" t="str">
        <f ca="1">IF(AND(ISNUMBER($V$367),$B$208=1),$V$367,HLOOKUP(INDIRECT(ADDRESS(2,COLUMN())),OFFSET($BN$2,0,0,ROW()-1,60),ROW()-1,FALSE))</f>
        <v/>
      </c>
      <c r="W165" t="str">
        <f ca="1">IF(AND(ISNUMBER($W$367),$B$208=1),$W$367,HLOOKUP(INDIRECT(ADDRESS(2,COLUMN())),OFFSET($BN$2,0,0,ROW()-1,60),ROW()-1,FALSE))</f>
        <v/>
      </c>
      <c r="X165" t="str">
        <f ca="1">IF(AND(ISNUMBER($X$367),$B$208=1),$X$367,HLOOKUP(INDIRECT(ADDRESS(2,COLUMN())),OFFSET($BN$2,0,0,ROW()-1,60),ROW()-1,FALSE))</f>
        <v/>
      </c>
      <c r="Y165" t="str">
        <f ca="1">IF(AND(ISNUMBER($Y$367),$B$208=1),$Y$367,HLOOKUP(INDIRECT(ADDRESS(2,COLUMN())),OFFSET($BN$2,0,0,ROW()-1,60),ROW()-1,FALSE))</f>
        <v/>
      </c>
      <c r="Z165" t="str">
        <f ca="1">IF(AND(ISNUMBER($Z$367),$B$208=1),$Z$367,HLOOKUP(INDIRECT(ADDRESS(2,COLUMN())),OFFSET($BN$2,0,0,ROW()-1,60),ROW()-1,FALSE))</f>
        <v/>
      </c>
      <c r="AA165" t="str">
        <f ca="1">IF(AND(ISNUMBER($AA$367),$B$208=1),$AA$367,HLOOKUP(INDIRECT(ADDRESS(2,COLUMN())),OFFSET($BN$2,0,0,ROW()-1,60),ROW()-1,FALSE))</f>
        <v/>
      </c>
      <c r="AB165" t="str">
        <f ca="1">IF(AND(ISNUMBER($AB$367),$B$208=1),$AB$367,HLOOKUP(INDIRECT(ADDRESS(2,COLUMN())),OFFSET($BN$2,0,0,ROW()-1,60),ROW()-1,FALSE))</f>
        <v/>
      </c>
      <c r="AC165" t="str">
        <f ca="1">IF(AND(ISNUMBER($AC$367),$B$208=1),$AC$367,HLOOKUP(INDIRECT(ADDRESS(2,COLUMN())),OFFSET($BN$2,0,0,ROW()-1,60),ROW()-1,FALSE))</f>
        <v/>
      </c>
      <c r="AD165" t="str">
        <f ca="1">IF(AND(ISNUMBER($AD$367),$B$208=1),$AD$367,HLOOKUP(INDIRECT(ADDRESS(2,COLUMN())),OFFSET($BN$2,0,0,ROW()-1,60),ROW()-1,FALSE))</f>
        <v/>
      </c>
      <c r="AE165" t="str">
        <f ca="1">IF(AND(ISNUMBER($AE$367),$B$208=1),$AE$367,HLOOKUP(INDIRECT(ADDRESS(2,COLUMN())),OFFSET($BN$2,0,0,ROW()-1,60),ROW()-1,FALSE))</f>
        <v/>
      </c>
      <c r="AF165" t="str">
        <f ca="1">IF(AND(ISNUMBER($AF$367),$B$208=1),$AF$367,HLOOKUP(INDIRECT(ADDRESS(2,COLUMN())),OFFSET($BN$2,0,0,ROW()-1,60),ROW()-1,FALSE))</f>
        <v/>
      </c>
      <c r="AG165" t="str">
        <f ca="1">IF(AND(ISNUMBER($AG$367),$B$208=1),$AG$367,HLOOKUP(INDIRECT(ADDRESS(2,COLUMN())),OFFSET($BN$2,0,0,ROW()-1,60),ROW()-1,FALSE))</f>
        <v/>
      </c>
      <c r="AH165" t="str">
        <f ca="1">IF(AND(ISNUMBER($AH$367),$B$208=1),$AH$367,HLOOKUP(INDIRECT(ADDRESS(2,COLUMN())),OFFSET($BN$2,0,0,ROW()-1,60),ROW()-1,FALSE))</f>
        <v/>
      </c>
      <c r="AI165" t="str">
        <f ca="1">IF(AND(ISNUMBER($AI$367),$B$208=1),$AI$367,HLOOKUP(INDIRECT(ADDRESS(2,COLUMN())),OFFSET($BN$2,0,0,ROW()-1,60),ROW()-1,FALSE))</f>
        <v/>
      </c>
      <c r="AJ165" t="str">
        <f ca="1">IF(AND(ISNUMBER($AJ$367),$B$208=1),$AJ$367,HLOOKUP(INDIRECT(ADDRESS(2,COLUMN())),OFFSET($BN$2,0,0,ROW()-1,60),ROW()-1,FALSE))</f>
        <v/>
      </c>
      <c r="AK165" t="str">
        <f ca="1">IF(AND(ISNUMBER($AK$367),$B$208=1),$AK$367,HLOOKUP(INDIRECT(ADDRESS(2,COLUMN())),OFFSET($BN$2,0,0,ROW()-1,60),ROW()-1,FALSE))</f>
        <v/>
      </c>
      <c r="AL165" t="str">
        <f ca="1">IF(AND(ISNUMBER($AL$367),$B$208=1),$AL$367,HLOOKUP(INDIRECT(ADDRESS(2,COLUMN())),OFFSET($BN$2,0,0,ROW()-1,60),ROW()-1,FALSE))</f>
        <v/>
      </c>
      <c r="AM165" t="str">
        <f ca="1">IF(AND(ISNUMBER($AM$367),$B$208=1),$AM$367,HLOOKUP(INDIRECT(ADDRESS(2,COLUMN())),OFFSET($BN$2,0,0,ROW()-1,60),ROW()-1,FALSE))</f>
        <v/>
      </c>
      <c r="AN165" t="str">
        <f ca="1">IF(AND(ISNUMBER($AN$367),$B$208=1),$AN$367,HLOOKUP(INDIRECT(ADDRESS(2,COLUMN())),OFFSET($BN$2,0,0,ROW()-1,60),ROW()-1,FALSE))</f>
        <v/>
      </c>
      <c r="AO165" t="str">
        <f ca="1">IF(AND(ISNUMBER($AO$367),$B$208=1),$AO$367,HLOOKUP(INDIRECT(ADDRESS(2,COLUMN())),OFFSET($BN$2,0,0,ROW()-1,60),ROW()-1,FALSE))</f>
        <v/>
      </c>
      <c r="AP165" t="str">
        <f ca="1">IF(AND(ISNUMBER($AP$367),$B$208=1),$AP$367,HLOOKUP(INDIRECT(ADDRESS(2,COLUMN())),OFFSET($BN$2,0,0,ROW()-1,60),ROW()-1,FALSE))</f>
        <v/>
      </c>
      <c r="AQ165" t="str">
        <f ca="1">IF(AND(ISNUMBER($AQ$367),$B$208=1),$AQ$367,HLOOKUP(INDIRECT(ADDRESS(2,COLUMN())),OFFSET($BN$2,0,0,ROW()-1,60),ROW()-1,FALSE))</f>
        <v/>
      </c>
      <c r="AR165" t="str">
        <f ca="1">IF(AND(ISNUMBER($AR$367),$B$208=1),$AR$367,HLOOKUP(INDIRECT(ADDRESS(2,COLUMN())),OFFSET($BN$2,0,0,ROW()-1,60),ROW()-1,FALSE))</f>
        <v/>
      </c>
      <c r="AS165" t="str">
        <f ca="1">IF(AND(ISNUMBER($AS$367),$B$208=1),$AS$367,HLOOKUP(INDIRECT(ADDRESS(2,COLUMN())),OFFSET($BN$2,0,0,ROW()-1,60),ROW()-1,FALSE))</f>
        <v/>
      </c>
      <c r="AT165" t="str">
        <f ca="1">IF(AND(ISNUMBER($AT$367),$B$208=1),$AT$367,HLOOKUP(INDIRECT(ADDRESS(2,COLUMN())),OFFSET($BN$2,0,0,ROW()-1,60),ROW()-1,FALSE))</f>
        <v/>
      </c>
      <c r="AU165" t="str">
        <f ca="1">IF(AND(ISNUMBER($AU$367),$B$208=1),$AU$367,HLOOKUP(INDIRECT(ADDRESS(2,COLUMN())),OFFSET($BN$2,0,0,ROW()-1,60),ROW()-1,FALSE))</f>
        <v/>
      </c>
      <c r="AV165" t="str">
        <f ca="1">IF(AND(ISNUMBER($AV$367),$B$208=1),$AV$367,HLOOKUP(INDIRECT(ADDRESS(2,COLUMN())),OFFSET($BN$2,0,0,ROW()-1,60),ROW()-1,FALSE))</f>
        <v/>
      </c>
      <c r="AW165" t="str">
        <f ca="1">IF(AND(ISNUMBER($AW$367),$B$208=1),$AW$367,HLOOKUP(INDIRECT(ADDRESS(2,COLUMN())),OFFSET($BN$2,0,0,ROW()-1,60),ROW()-1,FALSE))</f>
        <v/>
      </c>
      <c r="AX165" t="str">
        <f ca="1">IF(AND(ISNUMBER($AX$367),$B$208=1),$AX$367,HLOOKUP(INDIRECT(ADDRESS(2,COLUMN())),OFFSET($BN$2,0,0,ROW()-1,60),ROW()-1,FALSE))</f>
        <v/>
      </c>
      <c r="AY165" t="str">
        <f ca="1">IF(AND(ISNUMBER($AY$367),$B$208=1),$AY$367,HLOOKUP(INDIRECT(ADDRESS(2,COLUMN())),OFFSET($BN$2,0,0,ROW()-1,60),ROW()-1,FALSE))</f>
        <v/>
      </c>
      <c r="AZ165" t="str">
        <f ca="1">IF(AND(ISNUMBER($AZ$367),$B$208=1),$AZ$367,HLOOKUP(INDIRECT(ADDRESS(2,COLUMN())),OFFSET($BN$2,0,0,ROW()-1,60),ROW()-1,FALSE))</f>
        <v/>
      </c>
      <c r="BA165" t="str">
        <f ca="1">IF(AND(ISNUMBER($BA$367),$B$208=1),$BA$367,HLOOKUP(INDIRECT(ADDRESS(2,COLUMN())),OFFSET($BN$2,0,0,ROW()-1,60),ROW()-1,FALSE))</f>
        <v/>
      </c>
      <c r="BB165" t="str">
        <f ca="1">IF(AND(ISNUMBER($BB$367),$B$208=1),$BB$367,HLOOKUP(INDIRECT(ADDRESS(2,COLUMN())),OFFSET($BN$2,0,0,ROW()-1,60),ROW()-1,FALSE))</f>
        <v/>
      </c>
      <c r="BC165" t="str">
        <f ca="1">IF(AND(ISNUMBER($BC$367),$B$208=1),$BC$367,HLOOKUP(INDIRECT(ADDRESS(2,COLUMN())),OFFSET($BN$2,0,0,ROW()-1,60),ROW()-1,FALSE))</f>
        <v/>
      </c>
      <c r="BD165" t="str">
        <f ca="1">IF(AND(ISNUMBER($BD$367),$B$208=1),$BD$367,HLOOKUP(INDIRECT(ADDRESS(2,COLUMN())),OFFSET($BN$2,0,0,ROW()-1,60),ROW()-1,FALSE))</f>
        <v/>
      </c>
      <c r="BE165" t="str">
        <f ca="1">IF(AND(ISNUMBER($BE$367),$B$208=1),$BE$367,HLOOKUP(INDIRECT(ADDRESS(2,COLUMN())),OFFSET($BN$2,0,0,ROW()-1,60),ROW()-1,FALSE))</f>
        <v/>
      </c>
      <c r="BF165" t="str">
        <f ca="1">IF(AND(ISNUMBER($BF$367),$B$208=1),$BF$367,HLOOKUP(INDIRECT(ADDRESS(2,COLUMN())),OFFSET($BN$2,0,0,ROW()-1,60),ROW()-1,FALSE))</f>
        <v/>
      </c>
      <c r="BG165" t="str">
        <f ca="1">IF(AND(ISNUMBER($BG$367),$B$208=1),$BG$367,HLOOKUP(INDIRECT(ADDRESS(2,COLUMN())),OFFSET($BN$2,0,0,ROW()-1,60),ROW()-1,FALSE))</f>
        <v/>
      </c>
      <c r="BH165" t="str">
        <f ca="1">IF(AND(ISNUMBER($BH$367),$B$208=1),$BH$367,HLOOKUP(INDIRECT(ADDRESS(2,COLUMN())),OFFSET($BN$2,0,0,ROW()-1,60),ROW()-1,FALSE))</f>
        <v/>
      </c>
      <c r="BI165" t="str">
        <f ca="1">IF(AND(ISNUMBER($BI$367),$B$208=1),$BI$367,HLOOKUP(INDIRECT(ADDRESS(2,COLUMN())),OFFSET($BN$2,0,0,ROW()-1,60),ROW()-1,FALSE))</f>
        <v/>
      </c>
      <c r="BJ165" t="str">
        <f ca="1">IF(AND(ISNUMBER($BJ$367),$B$208=1),$BJ$367,HLOOKUP(INDIRECT(ADDRESS(2,COLUMN())),OFFSET($BN$2,0,0,ROW()-1,60),ROW()-1,FALSE))</f>
        <v/>
      </c>
      <c r="BK165" t="str">
        <f ca="1">IF(AND(ISNUMBER($BK$367),$B$208=1),$BK$367,HLOOKUP(INDIRECT(ADDRESS(2,COLUMN())),OFFSET($BN$2,0,0,ROW()-1,60),ROW()-1,FALSE))</f>
        <v/>
      </c>
      <c r="BL165" t="str">
        <f ca="1">IF(AND(ISNUMBER($BL$367),$B$208=1),$BL$367,HLOOKUP(INDIRECT(ADDRESS(2,COLUMN())),OFFSET($BN$2,0,0,ROW()-1,60),ROW()-1,FALSE))</f>
        <v/>
      </c>
      <c r="BM165" t="str">
        <f ca="1">IF(AND(ISNUMBER($BM$367),$B$208=1),$BM$367,HLOOKUP(INDIRECT(ADDRESS(2,COLUMN())),OFFSET($BN$2,0,0,ROW()-1,60),ROW()-1,FALSE))</f>
        <v/>
      </c>
      <c r="BN165" t="str">
        <f>""</f>
        <v/>
      </c>
      <c r="BO165" t="str">
        <f>""</f>
        <v/>
      </c>
      <c r="BP165" t="str">
        <f>""</f>
        <v/>
      </c>
      <c r="BQ165" t="str">
        <f>""</f>
        <v/>
      </c>
      <c r="BR165" t="str">
        <f>""</f>
        <v/>
      </c>
      <c r="BS165" t="str">
        <f>""</f>
        <v/>
      </c>
      <c r="BT165" t="str">
        <f>""</f>
        <v/>
      </c>
      <c r="BU165" t="str">
        <f>""</f>
        <v/>
      </c>
      <c r="BV165" t="str">
        <f>""</f>
        <v/>
      </c>
      <c r="BW165" t="str">
        <f>""</f>
        <v/>
      </c>
      <c r="BX165" t="str">
        <f>""</f>
        <v/>
      </c>
      <c r="BY165" t="str">
        <f>""</f>
        <v/>
      </c>
      <c r="BZ165" t="str">
        <f>""</f>
        <v/>
      </c>
      <c r="CA165" t="str">
        <f>""</f>
        <v/>
      </c>
      <c r="CB165" t="str">
        <f>""</f>
        <v/>
      </c>
      <c r="CC165" t="str">
        <f>""</f>
        <v/>
      </c>
      <c r="CD165" t="str">
        <f>""</f>
        <v/>
      </c>
      <c r="CE165" t="str">
        <f>""</f>
        <v/>
      </c>
      <c r="CF165" t="str">
        <f>""</f>
        <v/>
      </c>
      <c r="CG165" t="str">
        <f>""</f>
        <v/>
      </c>
      <c r="CH165" t="str">
        <f>""</f>
        <v/>
      </c>
      <c r="CI165" t="str">
        <f>""</f>
        <v/>
      </c>
      <c r="CJ165" t="str">
        <f>""</f>
        <v/>
      </c>
      <c r="CK165" t="str">
        <f>""</f>
        <v/>
      </c>
      <c r="CL165" t="str">
        <f>""</f>
        <v/>
      </c>
      <c r="CM165" t="str">
        <f>""</f>
        <v/>
      </c>
      <c r="CN165" t="str">
        <f>""</f>
        <v/>
      </c>
      <c r="CO165" t="str">
        <f>""</f>
        <v/>
      </c>
      <c r="CP165" t="str">
        <f>""</f>
        <v/>
      </c>
      <c r="CQ165" t="str">
        <f>""</f>
        <v/>
      </c>
      <c r="CR165" t="str">
        <f>""</f>
        <v/>
      </c>
      <c r="CS165" t="str">
        <f>""</f>
        <v/>
      </c>
      <c r="CT165" t="str">
        <f>""</f>
        <v/>
      </c>
      <c r="CU165" t="str">
        <f>""</f>
        <v/>
      </c>
      <c r="CV165" t="str">
        <f>""</f>
        <v/>
      </c>
      <c r="CW165" t="str">
        <f>""</f>
        <v/>
      </c>
      <c r="CX165" t="str">
        <f>""</f>
        <v/>
      </c>
      <c r="CY165" t="str">
        <f>""</f>
        <v/>
      </c>
      <c r="CZ165" t="str">
        <f>""</f>
        <v/>
      </c>
      <c r="DA165" t="str">
        <f>""</f>
        <v/>
      </c>
      <c r="DB165" t="str">
        <f>""</f>
        <v/>
      </c>
      <c r="DC165" t="str">
        <f>""</f>
        <v/>
      </c>
      <c r="DD165" t="str">
        <f>""</f>
        <v/>
      </c>
      <c r="DE165" t="str">
        <f>""</f>
        <v/>
      </c>
      <c r="DF165" t="str">
        <f>""</f>
        <v/>
      </c>
      <c r="DG165" t="str">
        <f>""</f>
        <v/>
      </c>
      <c r="DH165" t="str">
        <f>""</f>
        <v/>
      </c>
      <c r="DI165" t="str">
        <f>""</f>
        <v/>
      </c>
      <c r="DJ165" t="str">
        <f>""</f>
        <v/>
      </c>
      <c r="DK165" t="str">
        <f>""</f>
        <v/>
      </c>
      <c r="DL165" t="str">
        <f>""</f>
        <v/>
      </c>
      <c r="DM165" t="str">
        <f>""</f>
        <v/>
      </c>
      <c r="DN165" t="str">
        <f>""</f>
        <v/>
      </c>
      <c r="DO165" t="str">
        <f>""</f>
        <v/>
      </c>
      <c r="DP165" t="str">
        <f>""</f>
        <v/>
      </c>
      <c r="DQ165" t="str">
        <f>""</f>
        <v/>
      </c>
      <c r="DR165" t="str">
        <f>""</f>
        <v/>
      </c>
      <c r="DS165" t="str">
        <f>""</f>
        <v/>
      </c>
      <c r="DT165" t="str">
        <f>""</f>
        <v/>
      </c>
      <c r="DU165" t="str">
        <f>""</f>
        <v/>
      </c>
    </row>
    <row r="166" spans="1:125" x14ac:dyDescent="0.25">
      <c r="A166" t="str">
        <f>"    Bankinter SA"</f>
        <v xml:space="preserve">    Bankinter SA</v>
      </c>
      <c r="B166" t="str">
        <f>"BKT SM Equity"</f>
        <v>BKT SM Equity</v>
      </c>
      <c r="C166" t="str">
        <f t="shared" si="12"/>
        <v>BS018</v>
      </c>
      <c r="D166" t="str">
        <f t="shared" si="13"/>
        <v>BS_OTHER_LOAN</v>
      </c>
      <c r="E166" t="str">
        <f t="shared" si="14"/>
        <v>Dynamic</v>
      </c>
      <c r="F166">
        <f ca="1">IF(AND(ISNUMBER($F$368),$B$208=1),$F$368,HLOOKUP(INDIRECT(ADDRESS(2,COLUMN())),OFFSET($BN$2,0,0,ROW()-1,60),ROW()-1,FALSE))</f>
        <v>15298.201999999999</v>
      </c>
      <c r="G166">
        <f ca="1">IF(AND(ISNUMBER($G$368),$B$208=1),$G$368,HLOOKUP(INDIRECT(ADDRESS(2,COLUMN())),OFFSET($BN$2,0,0,ROW()-1,60),ROW()-1,FALSE))</f>
        <v>15356.777</v>
      </c>
      <c r="H166">
        <f ca="1">IF(AND(ISNUMBER($H$368),$B$208=1),$H$368,HLOOKUP(INDIRECT(ADDRESS(2,COLUMN())),OFFSET($BN$2,0,0,ROW()-1,60),ROW()-1,FALSE))</f>
        <v>15538.855</v>
      </c>
      <c r="I166">
        <f ca="1">IF(AND(ISNUMBER($I$368),$B$208=1),$I$368,HLOOKUP(INDIRECT(ADDRESS(2,COLUMN())),OFFSET($BN$2,0,0,ROW()-1,60),ROW()-1,FALSE))</f>
        <v>15746.549000000001</v>
      </c>
      <c r="J166">
        <f ca="1">IF(AND(ISNUMBER($J$368),$B$208=1),$J$368,HLOOKUP(INDIRECT(ADDRESS(2,COLUMN())),OFFSET($BN$2,0,0,ROW()-1,60),ROW()-1,FALSE))</f>
        <v>28234.502</v>
      </c>
      <c r="K166">
        <f ca="1">IF(AND(ISNUMBER($K$368),$B$208=1),$K$368,HLOOKUP(INDIRECT(ADDRESS(2,COLUMN())),OFFSET($BN$2,0,0,ROW()-1,60),ROW()-1,FALSE))</f>
        <v>15139.251</v>
      </c>
      <c r="L166">
        <f ca="1">IF(AND(ISNUMBER($L$368),$B$208=1),$L$368,HLOOKUP(INDIRECT(ADDRESS(2,COLUMN())),OFFSET($BN$2,0,0,ROW()-1,60),ROW()-1,FALSE))</f>
        <v>15340.207</v>
      </c>
      <c r="M166">
        <f ca="1">IF(AND(ISNUMBER($M$368),$B$208=1),$M$368,HLOOKUP(INDIRECT(ADDRESS(2,COLUMN())),OFFSET($BN$2,0,0,ROW()-1,60),ROW()-1,FALSE))</f>
        <v>14710.794</v>
      </c>
      <c r="N166">
        <f ca="1">IF(AND(ISNUMBER($N$368),$B$208=1),$N$368,HLOOKUP(INDIRECT(ADDRESS(2,COLUMN())),OFFSET($BN$2,0,0,ROW()-1,60),ROW()-1,FALSE))</f>
        <v>26623.866000000002</v>
      </c>
      <c r="O166">
        <f ca="1">IF(AND(ISNUMBER($O$368),$B$208=1),$O$368,HLOOKUP(INDIRECT(ADDRESS(2,COLUMN())),OFFSET($BN$2,0,0,ROW()-1,60),ROW()-1,FALSE))</f>
        <v>15254.674000000001</v>
      </c>
      <c r="P166">
        <f ca="1">IF(AND(ISNUMBER($P$368),$B$208=1),$P$368,HLOOKUP(INDIRECT(ADDRESS(2,COLUMN())),OFFSET($BN$2,0,0,ROW()-1,60),ROW()-1,FALSE))</f>
        <v>14732.416999999999</v>
      </c>
      <c r="Q166">
        <f ca="1">IF(AND(ISNUMBER($Q$368),$B$208=1),$Q$368,HLOOKUP(INDIRECT(ADDRESS(2,COLUMN())),OFFSET($BN$2,0,0,ROW()-1,60),ROW()-1,FALSE))</f>
        <v>13973.739</v>
      </c>
      <c r="R166">
        <f ca="1">IF(AND(ISNUMBER($R$368),$B$208=1),$R$368,HLOOKUP(INDIRECT(ADDRESS(2,COLUMN())),OFFSET($BN$2,0,0,ROW()-1,60),ROW()-1,FALSE))</f>
        <v>25193.050999999999</v>
      </c>
      <c r="S166">
        <f ca="1">IF(AND(ISNUMBER($S$368),$B$208=1),$S$368,HLOOKUP(INDIRECT(ADDRESS(2,COLUMN())),OFFSET($BN$2,0,0,ROW()-1,60),ROW()-1,FALSE))</f>
        <v>13327.748</v>
      </c>
      <c r="T166">
        <f ca="1">IF(AND(ISNUMBER($T$368),$B$208=1),$T$368,HLOOKUP(INDIRECT(ADDRESS(2,COLUMN())),OFFSET($BN$2,0,0,ROW()-1,60),ROW()-1,FALSE))</f>
        <v>13891.468999999999</v>
      </c>
      <c r="U166">
        <f ca="1">IF(AND(ISNUMBER($U$368),$B$208=1),$U$368,HLOOKUP(INDIRECT(ADDRESS(2,COLUMN())),OFFSET($BN$2,0,0,ROW()-1,60),ROW()-1,FALSE))</f>
        <v>12920.614</v>
      </c>
      <c r="V166">
        <f ca="1">IF(AND(ISNUMBER($V$368),$B$208=1),$V$368,HLOOKUP(INDIRECT(ADDRESS(2,COLUMN())),OFFSET($BN$2,0,0,ROW()-1,60),ROW()-1,FALSE))</f>
        <v>25416.191999999999</v>
      </c>
      <c r="W166">
        <f ca="1">IF(AND(ISNUMBER($W$368),$B$208=1),$W$368,HLOOKUP(INDIRECT(ADDRESS(2,COLUMN())),OFFSET($BN$2,0,0,ROW()-1,60),ROW()-1,FALSE))</f>
        <v>13214.198</v>
      </c>
      <c r="X166">
        <f ca="1">IF(AND(ISNUMBER($X$368),$B$208=1),$X$368,HLOOKUP(INDIRECT(ADDRESS(2,COLUMN())),OFFSET($BN$2,0,0,ROW()-1,60),ROW()-1,FALSE))</f>
        <v>13468.472</v>
      </c>
      <c r="Y166">
        <f ca="1">IF(AND(ISNUMBER($Y$368),$B$208=1),$Y$368,HLOOKUP(INDIRECT(ADDRESS(2,COLUMN())),OFFSET($BN$2,0,0,ROW()-1,60),ROW()-1,FALSE))</f>
        <v>13837.761</v>
      </c>
      <c r="Z166">
        <f ca="1">IF(AND(ISNUMBER($Z$368),$B$208=1),$Z$368,HLOOKUP(INDIRECT(ADDRESS(2,COLUMN())),OFFSET($BN$2,0,0,ROW()-1,60),ROW()-1,FALSE))</f>
        <v>21375.017</v>
      </c>
      <c r="AA166">
        <f ca="1">IF(AND(ISNUMBER($AA$368),$B$208=1),$AA$368,HLOOKUP(INDIRECT(ADDRESS(2,COLUMN())),OFFSET($BN$2,0,0,ROW()-1,60),ROW()-1,FALSE))</f>
        <v>14048.550999999999</v>
      </c>
      <c r="AB166">
        <f ca="1">IF(AND(ISNUMBER($AB$368),$B$208=1),$AB$368,HLOOKUP(INDIRECT(ADDRESS(2,COLUMN())),OFFSET($BN$2,0,0,ROW()-1,60),ROW()-1,FALSE))</f>
        <v>14696.593000000001</v>
      </c>
      <c r="AC166">
        <f ca="1">IF(AND(ISNUMBER($AC$368),$B$208=1),$AC$368,HLOOKUP(INDIRECT(ADDRESS(2,COLUMN())),OFFSET($BN$2,0,0,ROW()-1,60),ROW()-1,FALSE))</f>
        <v>13923.561</v>
      </c>
      <c r="AD166">
        <f ca="1">IF(AND(ISNUMBER($AD$368),$B$208=1),$AD$368,HLOOKUP(INDIRECT(ADDRESS(2,COLUMN())),OFFSET($BN$2,0,0,ROW()-1,60),ROW()-1,FALSE))</f>
        <v>11929.655000000001</v>
      </c>
      <c r="AE166">
        <f ca="1">IF(AND(ISNUMBER($AE$368),$B$208=1),$AE$368,HLOOKUP(INDIRECT(ADDRESS(2,COLUMN())),OFFSET($BN$2,0,0,ROW()-1,60),ROW()-1,FALSE))</f>
        <v>14329.361000000001</v>
      </c>
      <c r="AF166">
        <f ca="1">IF(AND(ISNUMBER($AF$368),$B$208=1),$AF$368,HLOOKUP(INDIRECT(ADDRESS(2,COLUMN())),OFFSET($BN$2,0,0,ROW()-1,60),ROW()-1,FALSE))</f>
        <v>14249.24</v>
      </c>
      <c r="AG166">
        <f ca="1">IF(AND(ISNUMBER($AG$368),$B$208=1),$AG$368,HLOOKUP(INDIRECT(ADDRESS(2,COLUMN())),OFFSET($BN$2,0,0,ROW()-1,60),ROW()-1,FALSE))</f>
        <v>13410.459000000001</v>
      </c>
      <c r="AH166">
        <f ca="1">IF(AND(ISNUMBER($AH$368),$B$208=1),$AH$368,HLOOKUP(INDIRECT(ADDRESS(2,COLUMN())),OFFSET($BN$2,0,0,ROW()-1,60),ROW()-1,FALSE))</f>
        <v>11900.112999999999</v>
      </c>
      <c r="AI166">
        <f ca="1">IF(AND(ISNUMBER($AI$368),$B$208=1),$AI$368,HLOOKUP(INDIRECT(ADDRESS(2,COLUMN())),OFFSET($BN$2,0,0,ROW()-1,60),ROW()-1,FALSE))</f>
        <v>13361.205</v>
      </c>
      <c r="AJ166">
        <f ca="1">IF(AND(ISNUMBER($AJ$368),$B$208=1),$AJ$368,HLOOKUP(INDIRECT(ADDRESS(2,COLUMN())),OFFSET($BN$2,0,0,ROW()-1,60),ROW()-1,FALSE))</f>
        <v>13225.343999999999</v>
      </c>
      <c r="AK166">
        <f ca="1">IF(AND(ISNUMBER($AK$368),$B$208=1),$AK$368,HLOOKUP(INDIRECT(ADDRESS(2,COLUMN())),OFFSET($BN$2,0,0,ROW()-1,60),ROW()-1,FALSE))</f>
        <v>12798.333000000001</v>
      </c>
      <c r="AL166">
        <f ca="1">IF(AND(ISNUMBER($AL$368),$B$208=1),$AL$368,HLOOKUP(INDIRECT(ADDRESS(2,COLUMN())),OFFSET($BN$2,0,0,ROW()-1,60),ROW()-1,FALSE))</f>
        <v>11461.427</v>
      </c>
      <c r="AM166">
        <f ca="1">IF(AND(ISNUMBER($AM$368),$B$208=1),$AM$368,HLOOKUP(INDIRECT(ADDRESS(2,COLUMN())),OFFSET($BN$2,0,0,ROW()-1,60),ROW()-1,FALSE))</f>
        <v>12604.56</v>
      </c>
      <c r="AN166">
        <f ca="1">IF(AND(ISNUMBER($AN$368),$B$208=1),$AN$368,HLOOKUP(INDIRECT(ADDRESS(2,COLUMN())),OFFSET($BN$2,0,0,ROW()-1,60),ROW()-1,FALSE))</f>
        <v>12348.18</v>
      </c>
      <c r="AO166">
        <f ca="1">IF(AND(ISNUMBER($AO$368),$B$208=1),$AO$368,HLOOKUP(INDIRECT(ADDRESS(2,COLUMN())),OFFSET($BN$2,0,0,ROW()-1,60),ROW()-1,FALSE))</f>
        <v>11143.929</v>
      </c>
      <c r="AP166">
        <f ca="1">IF(AND(ISNUMBER($AP$368),$B$208=1),$AP$368,HLOOKUP(INDIRECT(ADDRESS(2,COLUMN())),OFFSET($BN$2,0,0,ROW()-1,60),ROW()-1,FALSE))</f>
        <v>17000.984</v>
      </c>
      <c r="AQ166">
        <f ca="1">IF(AND(ISNUMBER($AQ$368),$B$208=1),$AQ$368,HLOOKUP(INDIRECT(ADDRESS(2,COLUMN())),OFFSET($BN$2,0,0,ROW()-1,60),ROW()-1,FALSE))</f>
        <v>9790.8709999999992</v>
      </c>
      <c r="AR166">
        <f ca="1">IF(AND(ISNUMBER($AR$368),$B$208=1),$AR$368,HLOOKUP(INDIRECT(ADDRESS(2,COLUMN())),OFFSET($BN$2,0,0,ROW()-1,60),ROW()-1,FALSE))</f>
        <v>11057.519</v>
      </c>
      <c r="AS166">
        <f ca="1">IF(AND(ISNUMBER($AS$368),$B$208=1),$AS$368,HLOOKUP(INDIRECT(ADDRESS(2,COLUMN())),OFFSET($BN$2,0,0,ROW()-1,60),ROW()-1,FALSE))</f>
        <v>9065.1869999999999</v>
      </c>
      <c r="AT166">
        <f ca="1">IF(AND(ISNUMBER($AT$368),$B$208=1),$AT$368,HLOOKUP(INDIRECT(ADDRESS(2,COLUMN())),OFFSET($BN$2,0,0,ROW()-1,60),ROW()-1,FALSE))</f>
        <v>16733.527999999998</v>
      </c>
      <c r="AU166">
        <f ca="1">IF(AND(ISNUMBER($AU$368),$B$208=1),$AU$368,HLOOKUP(INDIRECT(ADDRESS(2,COLUMN())),OFFSET($BN$2,0,0,ROW()-1,60),ROW()-1,FALSE))</f>
        <v>9220.0130000000008</v>
      </c>
      <c r="AV166">
        <f ca="1">IF(AND(ISNUMBER($AV$368),$B$208=1),$AV$368,HLOOKUP(INDIRECT(ADDRESS(2,COLUMN())),OFFSET($BN$2,0,0,ROW()-1,60),ROW()-1,FALSE))</f>
        <v>11235.540999999999</v>
      </c>
      <c r="AW166">
        <f ca="1">IF(AND(ISNUMBER($AW$368),$B$208=1),$AW$368,HLOOKUP(INDIRECT(ADDRESS(2,COLUMN())),OFFSET($BN$2,0,0,ROW()-1,60),ROW()-1,FALSE))</f>
        <v>9575.0660000000007</v>
      </c>
      <c r="AX166">
        <f ca="1">IF(AND(ISNUMBER($AX$368),$B$208=1),$AX$368,HLOOKUP(INDIRECT(ADDRESS(2,COLUMN())),OFFSET($BN$2,0,0,ROW()-1,60),ROW()-1,FALSE))</f>
        <v>14800.434999999999</v>
      </c>
      <c r="AY166">
        <f ca="1">IF(AND(ISNUMBER($AY$368),$B$208=1),$AY$368,HLOOKUP(INDIRECT(ADDRESS(2,COLUMN())),OFFSET($BN$2,0,0,ROW()-1,60),ROW()-1,FALSE))</f>
        <v>10256.58</v>
      </c>
      <c r="AZ166">
        <f ca="1">IF(AND(ISNUMBER($AZ$368),$B$208=1),$AZ$368,HLOOKUP(INDIRECT(ADDRESS(2,COLUMN())),OFFSET($BN$2,0,0,ROW()-1,60),ROW()-1,FALSE))</f>
        <v>12560.866</v>
      </c>
      <c r="BA166">
        <f ca="1">IF(AND(ISNUMBER($BA$368),$B$208=1),$BA$368,HLOOKUP(INDIRECT(ADDRESS(2,COLUMN())),OFFSET($BN$2,0,0,ROW()-1,60),ROW()-1,FALSE))</f>
        <v>12169.17</v>
      </c>
      <c r="BB166">
        <f ca="1">IF(AND(ISNUMBER($BB$368),$B$208=1),$BB$368,HLOOKUP(INDIRECT(ADDRESS(2,COLUMN())),OFFSET($BN$2,0,0,ROW()-1,60),ROW()-1,FALSE))</f>
        <v>12340.125</v>
      </c>
      <c r="BC166">
        <f ca="1">IF(AND(ISNUMBER($BC$368),$B$208=1),$BC$368,HLOOKUP(INDIRECT(ADDRESS(2,COLUMN())),OFFSET($BN$2,0,0,ROW()-1,60),ROW()-1,FALSE))</f>
        <v>13534.875</v>
      </c>
      <c r="BD166">
        <f ca="1">IF(AND(ISNUMBER($BD$368),$B$208=1),$BD$368,HLOOKUP(INDIRECT(ADDRESS(2,COLUMN())),OFFSET($BN$2,0,0,ROW()-1,60),ROW()-1,FALSE))</f>
        <v>13232.153</v>
      </c>
      <c r="BE166">
        <f ca="1">IF(AND(ISNUMBER($BE$368),$B$208=1),$BE$368,HLOOKUP(INDIRECT(ADDRESS(2,COLUMN())),OFFSET($BN$2,0,0,ROW()-1,60),ROW()-1,FALSE))</f>
        <v>11783.695</v>
      </c>
      <c r="BF166">
        <f ca="1">IF(AND(ISNUMBER($BF$368),$B$208=1),$BF$368,HLOOKUP(INDIRECT(ADDRESS(2,COLUMN())),OFFSET($BN$2,0,0,ROW()-1,60),ROW()-1,FALSE))</f>
        <v>11120.075999999999</v>
      </c>
      <c r="BG166">
        <f ca="1">IF(AND(ISNUMBER($BG$368),$B$208=1),$BG$368,HLOOKUP(INDIRECT(ADDRESS(2,COLUMN())),OFFSET($BN$2,0,0,ROW()-1,60),ROW()-1,FALSE))</f>
        <v>11093.960999999999</v>
      </c>
      <c r="BH166">
        <f ca="1">IF(AND(ISNUMBER($BH$368),$B$208=1),$BH$368,HLOOKUP(INDIRECT(ADDRESS(2,COLUMN())),OFFSET($BN$2,0,0,ROW()-1,60),ROW()-1,FALSE))</f>
        <v>10701.957</v>
      </c>
      <c r="BI166">
        <f ca="1">IF(AND(ISNUMBER($BI$368),$B$208=1),$BI$368,HLOOKUP(INDIRECT(ADDRESS(2,COLUMN())),OFFSET($BN$2,0,0,ROW()-1,60),ROW()-1,FALSE))</f>
        <v>10130.166999999999</v>
      </c>
      <c r="BJ166">
        <f ca="1">IF(AND(ISNUMBER($BJ$368),$B$208=1),$BJ$368,HLOOKUP(INDIRECT(ADDRESS(2,COLUMN())),OFFSET($BN$2,0,0,ROW()-1,60),ROW()-1,FALSE))</f>
        <v>9435.3430000000008</v>
      </c>
      <c r="BK166">
        <f ca="1">IF(AND(ISNUMBER($BK$368),$B$208=1),$BK$368,HLOOKUP(INDIRECT(ADDRESS(2,COLUMN())),OFFSET($BN$2,0,0,ROW()-1,60),ROW()-1,FALSE))</f>
        <v>10117.337</v>
      </c>
      <c r="BL166">
        <f ca="1">IF(AND(ISNUMBER($BL$368),$B$208=1),$BL$368,HLOOKUP(INDIRECT(ADDRESS(2,COLUMN())),OFFSET($BN$2,0,0,ROW()-1,60),ROW()-1,FALSE))</f>
        <v>10128.369000000001</v>
      </c>
      <c r="BM166">
        <f ca="1">IF(AND(ISNUMBER($BM$368),$B$208=1),$BM$368,HLOOKUP(INDIRECT(ADDRESS(2,COLUMN())),OFFSET($BN$2,0,0,ROW()-1,60),ROW()-1,FALSE))</f>
        <v>10285.472</v>
      </c>
      <c r="BN166">
        <f>15298.202</f>
        <v>15298.201999999999</v>
      </c>
      <c r="BO166">
        <f>15356.777</f>
        <v>15356.777</v>
      </c>
      <c r="BP166">
        <f>15538.855</f>
        <v>15538.855</v>
      </c>
      <c r="BQ166">
        <f>15746.549</f>
        <v>15746.549000000001</v>
      </c>
      <c r="BR166">
        <f>28234.502</f>
        <v>28234.502</v>
      </c>
      <c r="BS166">
        <f>15139.251</f>
        <v>15139.251</v>
      </c>
      <c r="BT166">
        <f>15340.207</f>
        <v>15340.207</v>
      </c>
      <c r="BU166">
        <f>14710.794</f>
        <v>14710.794</v>
      </c>
      <c r="BV166">
        <f>26623.866</f>
        <v>26623.866000000002</v>
      </c>
      <c r="BW166">
        <f>15254.674</f>
        <v>15254.674000000001</v>
      </c>
      <c r="BX166">
        <f>14732.417</f>
        <v>14732.416999999999</v>
      </c>
      <c r="BY166">
        <f>13973.739</f>
        <v>13973.739</v>
      </c>
      <c r="BZ166">
        <f>25193.051</f>
        <v>25193.050999999999</v>
      </c>
      <c r="CA166">
        <f>13327.748</f>
        <v>13327.748</v>
      </c>
      <c r="CB166">
        <f>13891.469</f>
        <v>13891.468999999999</v>
      </c>
      <c r="CC166">
        <f>12920.614</f>
        <v>12920.614</v>
      </c>
      <c r="CD166">
        <f>25416.192</f>
        <v>25416.191999999999</v>
      </c>
      <c r="CE166">
        <f>13214.198</f>
        <v>13214.198</v>
      </c>
      <c r="CF166">
        <f>13468.472</f>
        <v>13468.472</v>
      </c>
      <c r="CG166">
        <f>13837.761</f>
        <v>13837.761</v>
      </c>
      <c r="CH166">
        <f>21375.017</f>
        <v>21375.017</v>
      </c>
      <c r="CI166">
        <f>14048.551</f>
        <v>14048.550999999999</v>
      </c>
      <c r="CJ166">
        <f>14696.593</f>
        <v>14696.593000000001</v>
      </c>
      <c r="CK166">
        <f>13923.561</f>
        <v>13923.561</v>
      </c>
      <c r="CL166">
        <f>11929.655</f>
        <v>11929.655000000001</v>
      </c>
      <c r="CM166">
        <f>14329.361</f>
        <v>14329.361000000001</v>
      </c>
      <c r="CN166">
        <f>14249.24</f>
        <v>14249.24</v>
      </c>
      <c r="CO166">
        <f>13410.459</f>
        <v>13410.459000000001</v>
      </c>
      <c r="CP166">
        <f>11900.113</f>
        <v>11900.112999999999</v>
      </c>
      <c r="CQ166">
        <f>13361.205</f>
        <v>13361.205</v>
      </c>
      <c r="CR166">
        <f>13225.344</f>
        <v>13225.343999999999</v>
      </c>
      <c r="CS166">
        <f>12798.333</f>
        <v>12798.333000000001</v>
      </c>
      <c r="CT166">
        <f>11461.427</f>
        <v>11461.427</v>
      </c>
      <c r="CU166">
        <f>12604.56</f>
        <v>12604.56</v>
      </c>
      <c r="CV166">
        <f>12348.18</f>
        <v>12348.18</v>
      </c>
      <c r="CW166">
        <f>11143.929</f>
        <v>11143.929</v>
      </c>
      <c r="CX166">
        <f>17000.984</f>
        <v>17000.984</v>
      </c>
      <c r="CY166">
        <f>9790.871</f>
        <v>9790.8709999999992</v>
      </c>
      <c r="CZ166">
        <f>11057.519</f>
        <v>11057.519</v>
      </c>
      <c r="DA166">
        <f>9065.187</f>
        <v>9065.1869999999999</v>
      </c>
      <c r="DB166">
        <f>16733.528</f>
        <v>16733.527999999998</v>
      </c>
      <c r="DC166">
        <f>9220.013</f>
        <v>9220.0130000000008</v>
      </c>
      <c r="DD166">
        <f>11235.541</f>
        <v>11235.540999999999</v>
      </c>
      <c r="DE166">
        <f>9575.066</f>
        <v>9575.0660000000007</v>
      </c>
      <c r="DF166">
        <f>14800.435</f>
        <v>14800.434999999999</v>
      </c>
      <c r="DG166">
        <f>10256.58</f>
        <v>10256.58</v>
      </c>
      <c r="DH166">
        <f>12560.866</f>
        <v>12560.866</v>
      </c>
      <c r="DI166">
        <f>12169.17</f>
        <v>12169.17</v>
      </c>
      <c r="DJ166">
        <f>12340.125</f>
        <v>12340.125</v>
      </c>
      <c r="DK166">
        <f>13534.875</f>
        <v>13534.875</v>
      </c>
      <c r="DL166">
        <f>13232.153</f>
        <v>13232.153</v>
      </c>
      <c r="DM166">
        <f>11783.695</f>
        <v>11783.695</v>
      </c>
      <c r="DN166">
        <f>11120.076</f>
        <v>11120.075999999999</v>
      </c>
      <c r="DO166">
        <f>11093.961</f>
        <v>11093.960999999999</v>
      </c>
      <c r="DP166">
        <f>10701.957</f>
        <v>10701.957</v>
      </c>
      <c r="DQ166">
        <f>10130.167</f>
        <v>10130.166999999999</v>
      </c>
      <c r="DR166">
        <f>9435.343</f>
        <v>9435.3430000000008</v>
      </c>
      <c r="DS166">
        <f>10117.337</f>
        <v>10117.337</v>
      </c>
      <c r="DT166">
        <f>10128.369</f>
        <v>10128.369000000001</v>
      </c>
      <c r="DU166">
        <f>10285.472</f>
        <v>10285.472</v>
      </c>
    </row>
    <row r="167" spans="1:125" x14ac:dyDescent="0.25">
      <c r="A167" t="str">
        <f>"    CaixaBank SA"</f>
        <v xml:space="preserve">    CaixaBank SA</v>
      </c>
      <c r="B167" t="str">
        <f>"CABK SM Equity"</f>
        <v>CABK SM Equity</v>
      </c>
      <c r="C167" t="str">
        <f t="shared" si="12"/>
        <v>BS018</v>
      </c>
      <c r="D167" t="str">
        <f t="shared" si="13"/>
        <v>BS_OTHER_LOAN</v>
      </c>
      <c r="E167" t="str">
        <f t="shared" si="14"/>
        <v>Dynamic</v>
      </c>
      <c r="F167">
        <f ca="1">IF(AND(ISNUMBER($F$369),$B$208=1),$F$369,HLOOKUP(INDIRECT(ADDRESS(2,COLUMN())),OFFSET($BN$2,0,0,ROW()-1,60),ROW()-1,FALSE))</f>
        <v>35771</v>
      </c>
      <c r="G167">
        <f ca="1">IF(AND(ISNUMBER($G$369),$B$208=1),$G$369,HLOOKUP(INDIRECT(ADDRESS(2,COLUMN())),OFFSET($BN$2,0,0,ROW()-1,60),ROW()-1,FALSE))</f>
        <v>35367</v>
      </c>
      <c r="H167">
        <f ca="1">IF(AND(ISNUMBER($H$369),$B$208=1),$H$369,HLOOKUP(INDIRECT(ADDRESS(2,COLUMN())),OFFSET($BN$2,0,0,ROW()-1,60),ROW()-1,FALSE))</f>
        <v>41599</v>
      </c>
      <c r="I167">
        <f ca="1">IF(AND(ISNUMBER($I$369),$B$208=1),$I$369,HLOOKUP(INDIRECT(ADDRESS(2,COLUMN())),OFFSET($BN$2,0,0,ROW()-1,60),ROW()-1,FALSE))</f>
        <v>37474</v>
      </c>
      <c r="J167">
        <f ca="1">IF(AND(ISNUMBER($J$369),$B$208=1),$J$369,HLOOKUP(INDIRECT(ADDRESS(2,COLUMN())),OFFSET($BN$2,0,0,ROW()-1,60),ROW()-1,FALSE))</f>
        <v>15896</v>
      </c>
      <c r="K167">
        <f ca="1">IF(AND(ISNUMBER($K$369),$B$208=1),$K$369,HLOOKUP(INDIRECT(ADDRESS(2,COLUMN())),OFFSET($BN$2,0,0,ROW()-1,60),ROW()-1,FALSE))</f>
        <v>40656</v>
      </c>
      <c r="L167">
        <f ca="1">IF(AND(ISNUMBER($L$369),$B$208=1),$L$369,HLOOKUP(INDIRECT(ADDRESS(2,COLUMN())),OFFSET($BN$2,0,0,ROW()-1,60),ROW()-1,FALSE))</f>
        <v>46638</v>
      </c>
      <c r="M167">
        <f ca="1">IF(AND(ISNUMBER($M$369),$B$208=1),$M$369,HLOOKUP(INDIRECT(ADDRESS(2,COLUMN())),OFFSET($BN$2,0,0,ROW()-1,60),ROW()-1,FALSE))</f>
        <v>43788</v>
      </c>
      <c r="N167">
        <f ca="1">IF(AND(ISNUMBER($N$369),$B$208=1),$N$369,HLOOKUP(INDIRECT(ADDRESS(2,COLUMN())),OFFSET($BN$2,0,0,ROW()-1,60),ROW()-1,FALSE))</f>
        <v>19682</v>
      </c>
      <c r="O167">
        <f ca="1">IF(AND(ISNUMBER($O$369),$B$208=1),$O$369,HLOOKUP(INDIRECT(ADDRESS(2,COLUMN())),OFFSET($BN$2,0,0,ROW()-1,60),ROW()-1,FALSE))</f>
        <v>46844</v>
      </c>
      <c r="P167">
        <f ca="1">IF(AND(ISNUMBER($P$369),$B$208=1),$P$369,HLOOKUP(INDIRECT(ADDRESS(2,COLUMN())),OFFSET($BN$2,0,0,ROW()-1,60),ROW()-1,FALSE))</f>
        <v>22570</v>
      </c>
      <c r="Q167">
        <f ca="1">IF(AND(ISNUMBER($Q$369),$B$208=1),$Q$369,HLOOKUP(INDIRECT(ADDRESS(2,COLUMN())),OFFSET($BN$2,0,0,ROW()-1,60),ROW()-1,FALSE))</f>
        <v>49300</v>
      </c>
      <c r="R167">
        <f ca="1">IF(AND(ISNUMBER($R$369),$B$208=1),$R$369,HLOOKUP(INDIRECT(ADDRESS(2,COLUMN())),OFFSET($BN$2,0,0,ROW()-1,60),ROW()-1,FALSE))</f>
        <v>20619</v>
      </c>
      <c r="S167">
        <f ca="1">IF(AND(ISNUMBER($S$369),$B$208=1),$S$369,HLOOKUP(INDIRECT(ADDRESS(2,COLUMN())),OFFSET($BN$2,0,0,ROW()-1,60),ROW()-1,FALSE))</f>
        <v>24772</v>
      </c>
      <c r="T167">
        <f ca="1">IF(AND(ISNUMBER($T$369),$B$208=1),$T$369,HLOOKUP(INDIRECT(ADDRESS(2,COLUMN())),OFFSET($BN$2,0,0,ROW()-1,60),ROW()-1,FALSE))</f>
        <v>24813</v>
      </c>
      <c r="U167">
        <f ca="1">IF(AND(ISNUMBER($U$369),$B$208=1),$U$369,HLOOKUP(INDIRECT(ADDRESS(2,COLUMN())),OFFSET($BN$2,0,0,ROW()-1,60),ROW()-1,FALSE))</f>
        <v>49820</v>
      </c>
      <c r="V167">
        <f ca="1">IF(AND(ISNUMBER($V$369),$B$208=1),$V$369,HLOOKUP(INDIRECT(ADDRESS(2,COLUMN())),OFFSET($BN$2,0,0,ROW()-1,60),ROW()-1,FALSE))</f>
        <v>15534</v>
      </c>
      <c r="W167">
        <f ca="1">IF(AND(ISNUMBER($W$369),$B$208=1),$W$369,HLOOKUP(INDIRECT(ADDRESS(2,COLUMN())),OFFSET($BN$2,0,0,ROW()-1,60),ROW()-1,FALSE))</f>
        <v>12158</v>
      </c>
      <c r="X167">
        <f ca="1">IF(AND(ISNUMBER($X$369),$B$208=1),$X$369,HLOOKUP(INDIRECT(ADDRESS(2,COLUMN())),OFFSET($BN$2,0,0,ROW()-1,60),ROW()-1,FALSE))</f>
        <v>11924</v>
      </c>
      <c r="Y167">
        <f ca="1">IF(AND(ISNUMBER($Y$369),$B$208=1),$Y$369,HLOOKUP(INDIRECT(ADDRESS(2,COLUMN())),OFFSET($BN$2,0,0,ROW()-1,60),ROW()-1,FALSE))</f>
        <v>34160</v>
      </c>
      <c r="Z167">
        <f ca="1">IF(AND(ISNUMBER($Z$369),$B$208=1),$Z$369,HLOOKUP(INDIRECT(ADDRESS(2,COLUMN())),OFFSET($BN$2,0,0,ROW()-1,60),ROW()-1,FALSE))</f>
        <v>11216</v>
      </c>
      <c r="AA167">
        <f ca="1">IF(AND(ISNUMBER($AA$369),$B$208=1),$AA$369,HLOOKUP(INDIRECT(ADDRESS(2,COLUMN())),OFFSET($BN$2,0,0,ROW()-1,60),ROW()-1,FALSE))</f>
        <v>16125</v>
      </c>
      <c r="AB167">
        <f ca="1">IF(AND(ISNUMBER($AB$369),$B$208=1),$AB$369,HLOOKUP(INDIRECT(ADDRESS(2,COLUMN())),OFFSET($BN$2,0,0,ROW()-1,60),ROW()-1,FALSE))</f>
        <v>39510.436000000002</v>
      </c>
      <c r="AC167">
        <f ca="1">IF(AND(ISNUMBER($AC$369),$B$208=1),$AC$369,HLOOKUP(INDIRECT(ADDRESS(2,COLUMN())),OFFSET($BN$2,0,0,ROW()-1,60),ROW()-1,FALSE))</f>
        <v>33709</v>
      </c>
      <c r="AD167">
        <f ca="1">IF(AND(ISNUMBER($AD$369),$B$208=1),$AD$369,HLOOKUP(INDIRECT(ADDRESS(2,COLUMN())),OFFSET($BN$2,0,0,ROW()-1,60),ROW()-1,FALSE))</f>
        <v>10832</v>
      </c>
      <c r="AE167">
        <f ca="1">IF(AND(ISNUMBER($AE$369),$B$208=1),$AE$369,HLOOKUP(INDIRECT(ADDRESS(2,COLUMN())),OFFSET($BN$2,0,0,ROW()-1,60),ROW()-1,FALSE))</f>
        <v>45940</v>
      </c>
      <c r="AF167">
        <f ca="1">IF(AND(ISNUMBER($AF$369),$B$208=1),$AF$369,HLOOKUP(INDIRECT(ADDRESS(2,COLUMN())),OFFSET($BN$2,0,0,ROW()-1,60),ROW()-1,FALSE))</f>
        <v>37327.082999999999</v>
      </c>
      <c r="AG167">
        <f ca="1">IF(AND(ISNUMBER($AG$369),$B$208=1),$AG$369,HLOOKUP(INDIRECT(ADDRESS(2,COLUMN())),OFFSET($BN$2,0,0,ROW()-1,60),ROW()-1,FALSE))</f>
        <v>35277</v>
      </c>
      <c r="AH167">
        <f ca="1">IF(AND(ISNUMBER($AH$369),$B$208=1),$AH$369,HLOOKUP(INDIRECT(ADDRESS(2,COLUMN())),OFFSET($BN$2,0,0,ROW()-1,60),ROW()-1,FALSE))</f>
        <v>11196.861000000001</v>
      </c>
      <c r="AI167">
        <f ca="1">IF(AND(ISNUMBER($AI$369),$B$208=1),$AI$369,HLOOKUP(INDIRECT(ADDRESS(2,COLUMN())),OFFSET($BN$2,0,0,ROW()-1,60),ROW()-1,FALSE))</f>
        <v>12514</v>
      </c>
      <c r="AJ167">
        <f ca="1">IF(AND(ISNUMBER($AJ$369),$B$208=1),$AJ$369,HLOOKUP(INDIRECT(ADDRESS(2,COLUMN())),OFFSET($BN$2,0,0,ROW()-1,60),ROW()-1,FALSE))</f>
        <v>12112.803</v>
      </c>
      <c r="AK167">
        <f ca="1">IF(AND(ISNUMBER($AK$369),$B$208=1),$AK$369,HLOOKUP(INDIRECT(ADDRESS(2,COLUMN())),OFFSET($BN$2,0,0,ROW()-1,60),ROW()-1,FALSE))</f>
        <v>47824</v>
      </c>
      <c r="AL167">
        <f ca="1">IF(AND(ISNUMBER($AL$369),$B$208=1),$AL$369,HLOOKUP(INDIRECT(ADDRESS(2,COLUMN())),OFFSET($BN$2,0,0,ROW()-1,60),ROW()-1,FALSE))</f>
        <v>45615</v>
      </c>
      <c r="AM167">
        <f ca="1">IF(AND(ISNUMBER($AM$369),$B$208=1),$AM$369,HLOOKUP(INDIRECT(ADDRESS(2,COLUMN())),OFFSET($BN$2,0,0,ROW()-1,60),ROW()-1,FALSE))</f>
        <v>45793</v>
      </c>
      <c r="AN167">
        <f ca="1">IF(AND(ISNUMBER($AN$369),$B$208=1),$AN$369,HLOOKUP(INDIRECT(ADDRESS(2,COLUMN())),OFFSET($BN$2,0,0,ROW()-1,60),ROW()-1,FALSE))</f>
        <v>49030</v>
      </c>
      <c r="AO167">
        <f ca="1">IF(AND(ISNUMBER($AO$369),$B$208=1),$AO$369,HLOOKUP(INDIRECT(ADDRESS(2,COLUMN())),OFFSET($BN$2,0,0,ROW()-1,60),ROW()-1,FALSE))</f>
        <v>47538</v>
      </c>
      <c r="AP167">
        <f ca="1">IF(AND(ISNUMBER($AP$369),$B$208=1),$AP$369,HLOOKUP(INDIRECT(ADDRESS(2,COLUMN())),OFFSET($BN$2,0,0,ROW()-1,60),ROW()-1,FALSE))</f>
        <v>47378</v>
      </c>
      <c r="AQ167">
        <f ca="1">IF(AND(ISNUMBER($AQ$369),$B$208=1),$AQ$369,HLOOKUP(INDIRECT(ADDRESS(2,COLUMN())),OFFSET($BN$2,0,0,ROW()-1,60),ROW()-1,FALSE))</f>
        <v>51094</v>
      </c>
      <c r="AR167">
        <f ca="1">IF(AND(ISNUMBER($AR$369),$B$208=1),$AR$369,HLOOKUP(INDIRECT(ADDRESS(2,COLUMN())),OFFSET($BN$2,0,0,ROW()-1,60),ROW()-1,FALSE))</f>
        <v>53710</v>
      </c>
      <c r="AS167">
        <f ca="1">IF(AND(ISNUMBER($AS$369),$B$208=1),$AS$369,HLOOKUP(INDIRECT(ADDRESS(2,COLUMN())),OFFSET($BN$2,0,0,ROW()-1,60),ROW()-1,FALSE))</f>
        <v>48713</v>
      </c>
      <c r="AT167">
        <f ca="1">IF(AND(ISNUMBER($AT$369),$B$208=1),$AT$369,HLOOKUP(INDIRECT(ADDRESS(2,COLUMN())),OFFSET($BN$2,0,0,ROW()-1,60),ROW()-1,FALSE))</f>
        <v>48066</v>
      </c>
      <c r="AU167">
        <f ca="1">IF(AND(ISNUMBER($AU$369),$B$208=1),$AU$369,HLOOKUP(INDIRECT(ADDRESS(2,COLUMN())),OFFSET($BN$2,0,0,ROW()-1,60),ROW()-1,FALSE))</f>
        <v>43772</v>
      </c>
      <c r="AV167">
        <f ca="1">IF(AND(ISNUMBER($AV$369),$B$208=1),$AV$369,HLOOKUP(INDIRECT(ADDRESS(2,COLUMN())),OFFSET($BN$2,0,0,ROW()-1,60),ROW()-1,FALSE))</f>
        <v>46401</v>
      </c>
      <c r="AW167">
        <f ca="1">IF(AND(ISNUMBER($AW$369),$B$208=1),$AW$369,HLOOKUP(INDIRECT(ADDRESS(2,COLUMN())),OFFSET($BN$2,0,0,ROW()-1,60),ROW()-1,FALSE))</f>
        <v>43652</v>
      </c>
      <c r="AX167">
        <f ca="1">IF(AND(ISNUMBER($AX$369),$B$208=1),$AX$369,HLOOKUP(INDIRECT(ADDRESS(2,COLUMN())),OFFSET($BN$2,0,0,ROW()-1,60),ROW()-1,FALSE))</f>
        <v>49996</v>
      </c>
      <c r="AY167">
        <f ca="1">IF(AND(ISNUMBER($AY$369),$B$208=1),$AY$369,HLOOKUP(INDIRECT(ADDRESS(2,COLUMN())),OFFSET($BN$2,0,0,ROW()-1,60),ROW()-1,FALSE))</f>
        <v>47304</v>
      </c>
      <c r="AZ167">
        <f ca="1">IF(AND(ISNUMBER($AZ$369),$B$208=1),$AZ$369,HLOOKUP(INDIRECT(ADDRESS(2,COLUMN())),OFFSET($BN$2,0,0,ROW()-1,60),ROW()-1,FALSE))</f>
        <v>49600</v>
      </c>
      <c r="BA167">
        <f ca="1">IF(AND(ISNUMBER($BA$369),$B$208=1),$BA$369,HLOOKUP(INDIRECT(ADDRESS(2,COLUMN())),OFFSET($BN$2,0,0,ROW()-1,60),ROW()-1,FALSE))</f>
        <v>52938</v>
      </c>
      <c r="BB167">
        <f ca="1">IF(AND(ISNUMBER($BB$369),$B$208=1),$BB$369,HLOOKUP(INDIRECT(ADDRESS(2,COLUMN())),OFFSET($BN$2,0,0,ROW()-1,60),ROW()-1,FALSE))</f>
        <v>48703</v>
      </c>
      <c r="BC167">
        <f ca="1">IF(AND(ISNUMBER($BC$369),$B$208=1),$BC$369,HLOOKUP(INDIRECT(ADDRESS(2,COLUMN())),OFFSET($BN$2,0,0,ROW()-1,60),ROW()-1,FALSE))</f>
        <v>47504</v>
      </c>
      <c r="BD167">
        <f ca="1">IF(AND(ISNUMBER($BD$369),$B$208=1),$BD$369,HLOOKUP(INDIRECT(ADDRESS(2,COLUMN())),OFFSET($BN$2,0,0,ROW()-1,60),ROW()-1,FALSE))</f>
        <v>41080</v>
      </c>
      <c r="BE167">
        <f ca="1">IF(AND(ISNUMBER($BE$369),$B$208=1),$BE$369,HLOOKUP(INDIRECT(ADDRESS(2,COLUMN())),OFFSET($BN$2,0,0,ROW()-1,60),ROW()-1,FALSE))</f>
        <v>39334</v>
      </c>
      <c r="BF167">
        <f ca="1">IF(AND(ISNUMBER($BF$369),$B$208=1),$BF$369,HLOOKUP(INDIRECT(ADDRESS(2,COLUMN())),OFFSET($BN$2,0,0,ROW()-1,60),ROW()-1,FALSE))</f>
        <v>38425</v>
      </c>
      <c r="BG167">
        <f ca="1">IF(AND(ISNUMBER($BG$369),$B$208=1),$BG$369,HLOOKUP(INDIRECT(ADDRESS(2,COLUMN())),OFFSET($BN$2,0,0,ROW()-1,60),ROW()-1,FALSE))</f>
        <v>39190</v>
      </c>
      <c r="BH167">
        <f ca="1">IF(AND(ISNUMBER($BH$369),$B$208=1),$BH$369,HLOOKUP(INDIRECT(ADDRESS(2,COLUMN())),OFFSET($BN$2,0,0,ROW()-1,60),ROW()-1,FALSE))</f>
        <v>38076</v>
      </c>
      <c r="BI167">
        <f ca="1">IF(AND(ISNUMBER($BI$369),$B$208=1),$BI$369,HLOOKUP(INDIRECT(ADDRESS(2,COLUMN())),OFFSET($BN$2,0,0,ROW()-1,60),ROW()-1,FALSE))</f>
        <v>93157</v>
      </c>
      <c r="BJ167">
        <f ca="1">IF(AND(ISNUMBER($BJ$369),$B$208=1),$BJ$369,HLOOKUP(INDIRECT(ADDRESS(2,COLUMN())),OFFSET($BN$2,0,0,ROW()-1,60),ROW()-1,FALSE))</f>
        <v>38211</v>
      </c>
      <c r="BK167">
        <f ca="1">IF(AND(ISNUMBER($BK$369),$B$208=1),$BK$369,HLOOKUP(INDIRECT(ADDRESS(2,COLUMN())),OFFSET($BN$2,0,0,ROW()-1,60),ROW()-1,FALSE))</f>
        <v>36323</v>
      </c>
      <c r="BL167">
        <f ca="1">IF(AND(ISNUMBER($BL$369),$B$208=1),$BL$369,HLOOKUP(INDIRECT(ADDRESS(2,COLUMN())),OFFSET($BN$2,0,0,ROW()-1,60),ROW()-1,FALSE))</f>
        <v>36344</v>
      </c>
      <c r="BM167">
        <f ca="1">IF(AND(ISNUMBER($BM$369),$B$208=1),$BM$369,HLOOKUP(INDIRECT(ADDRESS(2,COLUMN())),OFFSET($BN$2,0,0,ROW()-1,60),ROW()-1,FALSE))</f>
        <v>84220</v>
      </c>
      <c r="BN167">
        <f>35771</f>
        <v>35771</v>
      </c>
      <c r="BO167">
        <f>35367</f>
        <v>35367</v>
      </c>
      <c r="BP167">
        <f>41599</f>
        <v>41599</v>
      </c>
      <c r="BQ167">
        <f>37474</f>
        <v>37474</v>
      </c>
      <c r="BR167">
        <f>15896</f>
        <v>15896</v>
      </c>
      <c r="BS167">
        <f>40656</f>
        <v>40656</v>
      </c>
      <c r="BT167">
        <f>46638</f>
        <v>46638</v>
      </c>
      <c r="BU167">
        <f>43788</f>
        <v>43788</v>
      </c>
      <c r="BV167">
        <f>19682</f>
        <v>19682</v>
      </c>
      <c r="BW167">
        <f>46844</f>
        <v>46844</v>
      </c>
      <c r="BX167">
        <f>22570</f>
        <v>22570</v>
      </c>
      <c r="BY167">
        <f>49300</f>
        <v>49300</v>
      </c>
      <c r="BZ167">
        <f>20619</f>
        <v>20619</v>
      </c>
      <c r="CA167">
        <f>24772</f>
        <v>24772</v>
      </c>
      <c r="CB167">
        <f>24813</f>
        <v>24813</v>
      </c>
      <c r="CC167">
        <f>49820</f>
        <v>49820</v>
      </c>
      <c r="CD167">
        <f>15534</f>
        <v>15534</v>
      </c>
      <c r="CE167">
        <f>12158</f>
        <v>12158</v>
      </c>
      <c r="CF167">
        <f>11924</f>
        <v>11924</v>
      </c>
      <c r="CG167">
        <f>34160</f>
        <v>34160</v>
      </c>
      <c r="CH167">
        <f>11216</f>
        <v>11216</v>
      </c>
      <c r="CI167">
        <f>16125</f>
        <v>16125</v>
      </c>
      <c r="CJ167">
        <f>39510.436</f>
        <v>39510.436000000002</v>
      </c>
      <c r="CK167">
        <f>33709</f>
        <v>33709</v>
      </c>
      <c r="CL167">
        <f>10832</f>
        <v>10832</v>
      </c>
      <c r="CM167">
        <f>45940</f>
        <v>45940</v>
      </c>
      <c r="CN167">
        <f>37327.083</f>
        <v>37327.082999999999</v>
      </c>
      <c r="CO167">
        <f>35277</f>
        <v>35277</v>
      </c>
      <c r="CP167">
        <f>11196.861</f>
        <v>11196.861000000001</v>
      </c>
      <c r="CQ167">
        <f>12514</f>
        <v>12514</v>
      </c>
      <c r="CR167">
        <f>12112.803</f>
        <v>12112.803</v>
      </c>
      <c r="CS167">
        <f>47824</f>
        <v>47824</v>
      </c>
      <c r="CT167">
        <f>45615</f>
        <v>45615</v>
      </c>
      <c r="CU167">
        <f>45793</f>
        <v>45793</v>
      </c>
      <c r="CV167">
        <f>49030</f>
        <v>49030</v>
      </c>
      <c r="CW167">
        <f>47538</f>
        <v>47538</v>
      </c>
      <c r="CX167">
        <f>47378</f>
        <v>47378</v>
      </c>
      <c r="CY167">
        <f>51094</f>
        <v>51094</v>
      </c>
      <c r="CZ167">
        <f>53710</f>
        <v>53710</v>
      </c>
      <c r="DA167">
        <f>48713</f>
        <v>48713</v>
      </c>
      <c r="DB167">
        <f>48066</f>
        <v>48066</v>
      </c>
      <c r="DC167">
        <f>43772</f>
        <v>43772</v>
      </c>
      <c r="DD167">
        <f>46401</f>
        <v>46401</v>
      </c>
      <c r="DE167">
        <f>43652</f>
        <v>43652</v>
      </c>
      <c r="DF167">
        <f>49996</f>
        <v>49996</v>
      </c>
      <c r="DG167">
        <f>47304</f>
        <v>47304</v>
      </c>
      <c r="DH167">
        <f>49600</f>
        <v>49600</v>
      </c>
      <c r="DI167">
        <f>52938</f>
        <v>52938</v>
      </c>
      <c r="DJ167">
        <f>48703</f>
        <v>48703</v>
      </c>
      <c r="DK167">
        <f>47504</f>
        <v>47504</v>
      </c>
      <c r="DL167">
        <f>41080</f>
        <v>41080</v>
      </c>
      <c r="DM167">
        <f>39334</f>
        <v>39334</v>
      </c>
      <c r="DN167">
        <f>38425</f>
        <v>38425</v>
      </c>
      <c r="DO167">
        <f>39190</f>
        <v>39190</v>
      </c>
      <c r="DP167">
        <f>38076</f>
        <v>38076</v>
      </c>
      <c r="DQ167">
        <f>93157</f>
        <v>93157</v>
      </c>
      <c r="DR167">
        <f>38211</f>
        <v>38211</v>
      </c>
      <c r="DS167">
        <f>36323</f>
        <v>36323</v>
      </c>
      <c r="DT167">
        <f>36344</f>
        <v>36344</v>
      </c>
      <c r="DU167">
        <f>84220</f>
        <v>84220</v>
      </c>
    </row>
    <row r="168" spans="1:125" x14ac:dyDescent="0.25">
      <c r="A168" t="str">
        <f>"    Commerzbank AG"</f>
        <v xml:space="preserve">    Commerzbank AG</v>
      </c>
      <c r="B168" t="str">
        <f>"CBK GR Equity"</f>
        <v>CBK GR Equity</v>
      </c>
      <c r="C168" t="str">
        <f t="shared" si="12"/>
        <v>BS018</v>
      </c>
      <c r="D168" t="str">
        <f t="shared" si="13"/>
        <v>BS_OTHER_LOAN</v>
      </c>
      <c r="E168" t="str">
        <f t="shared" si="14"/>
        <v>Dynamic</v>
      </c>
      <c r="F168" t="str">
        <f ca="1">IF(AND(ISNUMBER($F$370),$B$208=1),$F$370,HLOOKUP(INDIRECT(ADDRESS(2,COLUMN())),OFFSET($BN$2,0,0,ROW()-1,60),ROW()-1,FALSE))</f>
        <v/>
      </c>
      <c r="G168" t="str">
        <f ca="1">IF(AND(ISNUMBER($G$370),$B$208=1),$G$370,HLOOKUP(INDIRECT(ADDRESS(2,COLUMN())),OFFSET($BN$2,0,0,ROW()-1,60),ROW()-1,FALSE))</f>
        <v/>
      </c>
      <c r="H168" t="str">
        <f ca="1">IF(AND(ISNUMBER($H$370),$B$208=1),$H$370,HLOOKUP(INDIRECT(ADDRESS(2,COLUMN())),OFFSET($BN$2,0,0,ROW()-1,60),ROW()-1,FALSE))</f>
        <v/>
      </c>
      <c r="I168" t="str">
        <f ca="1">IF(AND(ISNUMBER($I$370),$B$208=1),$I$370,HLOOKUP(INDIRECT(ADDRESS(2,COLUMN())),OFFSET($BN$2,0,0,ROW()-1,60),ROW()-1,FALSE))</f>
        <v/>
      </c>
      <c r="J168">
        <f ca="1">IF(AND(ISNUMBER($J$370),$B$208=1),$J$370,HLOOKUP(INDIRECT(ADDRESS(2,COLUMN())),OFFSET($BN$2,0,0,ROW()-1,60),ROW()-1,FALSE))</f>
        <v>32388</v>
      </c>
      <c r="K168" t="str">
        <f ca="1">IF(AND(ISNUMBER($K$370),$B$208=1),$K$370,HLOOKUP(INDIRECT(ADDRESS(2,COLUMN())),OFFSET($BN$2,0,0,ROW()-1,60),ROW()-1,FALSE))</f>
        <v/>
      </c>
      <c r="L168" t="str">
        <f ca="1">IF(AND(ISNUMBER($L$370),$B$208=1),$L$370,HLOOKUP(INDIRECT(ADDRESS(2,COLUMN())),OFFSET($BN$2,0,0,ROW()-1,60),ROW()-1,FALSE))</f>
        <v/>
      </c>
      <c r="M168" t="str">
        <f ca="1">IF(AND(ISNUMBER($M$370),$B$208=1),$M$370,HLOOKUP(INDIRECT(ADDRESS(2,COLUMN())),OFFSET($BN$2,0,0,ROW()-1,60),ROW()-1,FALSE))</f>
        <v/>
      </c>
      <c r="N168">
        <f ca="1">IF(AND(ISNUMBER($N$370),$B$208=1),$N$370,HLOOKUP(INDIRECT(ADDRESS(2,COLUMN())),OFFSET($BN$2,0,0,ROW()-1,60),ROW()-1,FALSE))</f>
        <v>30022</v>
      </c>
      <c r="O168" t="str">
        <f ca="1">IF(AND(ISNUMBER($O$370),$B$208=1),$O$370,HLOOKUP(INDIRECT(ADDRESS(2,COLUMN())),OFFSET($BN$2,0,0,ROW()-1,60),ROW()-1,FALSE))</f>
        <v/>
      </c>
      <c r="P168" t="str">
        <f ca="1">IF(AND(ISNUMBER($P$370),$B$208=1),$P$370,HLOOKUP(INDIRECT(ADDRESS(2,COLUMN())),OFFSET($BN$2,0,0,ROW()-1,60),ROW()-1,FALSE))</f>
        <v/>
      </c>
      <c r="Q168" t="str">
        <f ca="1">IF(AND(ISNUMBER($Q$370),$B$208=1),$Q$370,HLOOKUP(INDIRECT(ADDRESS(2,COLUMN())),OFFSET($BN$2,0,0,ROW()-1,60),ROW()-1,FALSE))</f>
        <v/>
      </c>
      <c r="R168">
        <f ca="1">IF(AND(ISNUMBER($R$370),$B$208=1),$R$370,HLOOKUP(INDIRECT(ADDRESS(2,COLUMN())),OFFSET($BN$2,0,0,ROW()-1,60),ROW()-1,FALSE))</f>
        <v>29525</v>
      </c>
      <c r="S168" t="str">
        <f ca="1">IF(AND(ISNUMBER($S$370),$B$208=1),$S$370,HLOOKUP(INDIRECT(ADDRESS(2,COLUMN())),OFFSET($BN$2,0,0,ROW()-1,60),ROW()-1,FALSE))</f>
        <v/>
      </c>
      <c r="T168">
        <f ca="1">IF(AND(ISNUMBER($T$370),$B$208=1),$T$370,HLOOKUP(INDIRECT(ADDRESS(2,COLUMN())),OFFSET($BN$2,0,0,ROW()-1,60),ROW()-1,FALSE))</f>
        <v>32650</v>
      </c>
      <c r="U168" t="str">
        <f ca="1">IF(AND(ISNUMBER($U$370),$B$208=1),$U$370,HLOOKUP(INDIRECT(ADDRESS(2,COLUMN())),OFFSET($BN$2,0,0,ROW()-1,60),ROW()-1,FALSE))</f>
        <v/>
      </c>
      <c r="V168">
        <f ca="1">IF(AND(ISNUMBER($V$370),$B$208=1),$V$370,HLOOKUP(INDIRECT(ADDRESS(2,COLUMN())),OFFSET($BN$2,0,0,ROW()-1,60),ROW()-1,FALSE))</f>
        <v>32325</v>
      </c>
      <c r="W168">
        <f ca="1">IF(AND(ISNUMBER($W$370),$B$208=1),$W$370,HLOOKUP(INDIRECT(ADDRESS(2,COLUMN())),OFFSET($BN$2,0,0,ROW()-1,60),ROW()-1,FALSE))</f>
        <v>20109</v>
      </c>
      <c r="X168">
        <f ca="1">IF(AND(ISNUMBER($X$370),$B$208=1),$X$370,HLOOKUP(INDIRECT(ADDRESS(2,COLUMN())),OFFSET($BN$2,0,0,ROW()-1,60),ROW()-1,FALSE))</f>
        <v>33401</v>
      </c>
      <c r="Y168">
        <f ca="1">IF(AND(ISNUMBER($Y$370),$B$208=1),$Y$370,HLOOKUP(INDIRECT(ADDRESS(2,COLUMN())),OFFSET($BN$2,0,0,ROW()-1,60),ROW()-1,FALSE))</f>
        <v>17336</v>
      </c>
      <c r="Z168">
        <f ca="1">IF(AND(ISNUMBER($Z$370),$B$208=1),$Z$370,HLOOKUP(INDIRECT(ADDRESS(2,COLUMN())),OFFSET($BN$2,0,0,ROW()-1,60),ROW()-1,FALSE))</f>
        <v>30053</v>
      </c>
      <c r="AA168">
        <f ca="1">IF(AND(ISNUMBER($AA$370),$B$208=1),$AA$370,HLOOKUP(INDIRECT(ADDRESS(2,COLUMN())),OFFSET($BN$2,0,0,ROW()-1,60),ROW()-1,FALSE))</f>
        <v>16694</v>
      </c>
      <c r="AB168">
        <f ca="1">IF(AND(ISNUMBER($AB$370),$B$208=1),$AB$370,HLOOKUP(INDIRECT(ADDRESS(2,COLUMN())),OFFSET($BN$2,0,0,ROW()-1,60),ROW()-1,FALSE))</f>
        <v>28894</v>
      </c>
      <c r="AC168">
        <f ca="1">IF(AND(ISNUMBER($AC$370),$B$208=1),$AC$370,HLOOKUP(INDIRECT(ADDRESS(2,COLUMN())),OFFSET($BN$2,0,0,ROW()-1,60),ROW()-1,FALSE))</f>
        <v>30301</v>
      </c>
      <c r="AD168">
        <f ca="1">IF(AND(ISNUMBER($AD$370),$B$208=1),$AD$370,HLOOKUP(INDIRECT(ADDRESS(2,COLUMN())),OFFSET($BN$2,0,0,ROW()-1,60),ROW()-1,FALSE))</f>
        <v>24618</v>
      </c>
      <c r="AE168">
        <f ca="1">IF(AND(ISNUMBER($AE$370),$B$208=1),$AE$370,HLOOKUP(INDIRECT(ADDRESS(2,COLUMN())),OFFSET($BN$2,0,0,ROW()-1,60),ROW()-1,FALSE))</f>
        <v>25553</v>
      </c>
      <c r="AF168">
        <f ca="1">IF(AND(ISNUMBER($AF$370),$B$208=1),$AF$370,HLOOKUP(INDIRECT(ADDRESS(2,COLUMN())),OFFSET($BN$2,0,0,ROW()-1,60),ROW()-1,FALSE))</f>
        <v>26360</v>
      </c>
      <c r="AG168">
        <f ca="1">IF(AND(ISNUMBER($AG$370),$B$208=1),$AG$370,HLOOKUP(INDIRECT(ADDRESS(2,COLUMN())),OFFSET($BN$2,0,0,ROW()-1,60),ROW()-1,FALSE))</f>
        <v>26419</v>
      </c>
      <c r="AH168">
        <f ca="1">IF(AND(ISNUMBER($AH$370),$B$208=1),$AH$370,HLOOKUP(INDIRECT(ADDRESS(2,COLUMN())),OFFSET($BN$2,0,0,ROW()-1,60),ROW()-1,FALSE))</f>
        <v>29482</v>
      </c>
      <c r="AI168" t="str">
        <f ca="1">IF(AND(ISNUMBER($AI$370),$B$208=1),$AI$370,HLOOKUP(INDIRECT(ADDRESS(2,COLUMN())),OFFSET($BN$2,0,0,ROW()-1,60),ROW()-1,FALSE))</f>
        <v/>
      </c>
      <c r="AJ168" t="str">
        <f ca="1">IF(AND(ISNUMBER($AJ$370),$B$208=1),$AJ$370,HLOOKUP(INDIRECT(ADDRESS(2,COLUMN())),OFFSET($BN$2,0,0,ROW()-1,60),ROW()-1,FALSE))</f>
        <v/>
      </c>
      <c r="AK168" t="str">
        <f ca="1">IF(AND(ISNUMBER($AK$370),$B$208=1),$AK$370,HLOOKUP(INDIRECT(ADDRESS(2,COLUMN())),OFFSET($BN$2,0,0,ROW()-1,60),ROW()-1,FALSE))</f>
        <v/>
      </c>
      <c r="AL168">
        <f ca="1">IF(AND(ISNUMBER($AL$370),$B$208=1),$AL$370,HLOOKUP(INDIRECT(ADDRESS(2,COLUMN())),OFFSET($BN$2,0,0,ROW()-1,60),ROW()-1,FALSE))</f>
        <v>53882</v>
      </c>
      <c r="AM168" t="str">
        <f ca="1">IF(AND(ISNUMBER($AM$370),$B$208=1),$AM$370,HLOOKUP(INDIRECT(ADDRESS(2,COLUMN())),OFFSET($BN$2,0,0,ROW()-1,60),ROW()-1,FALSE))</f>
        <v/>
      </c>
      <c r="AN168" t="str">
        <f ca="1">IF(AND(ISNUMBER($AN$370),$B$208=1),$AN$370,HLOOKUP(INDIRECT(ADDRESS(2,COLUMN())),OFFSET($BN$2,0,0,ROW()-1,60),ROW()-1,FALSE))</f>
        <v/>
      </c>
      <c r="AO168">
        <f ca="1">IF(AND(ISNUMBER($AO$370),$B$208=1),$AO$370,HLOOKUP(INDIRECT(ADDRESS(2,COLUMN())),OFFSET($BN$2,0,0,ROW()-1,60),ROW()-1,FALSE))</f>
        <v>184107</v>
      </c>
      <c r="AP168">
        <f ca="1">IF(AND(ISNUMBER($AP$370),$B$208=1),$AP$370,HLOOKUP(INDIRECT(ADDRESS(2,COLUMN())),OFFSET($BN$2,0,0,ROW()-1,60),ROW()-1,FALSE))</f>
        <v>79297</v>
      </c>
      <c r="AQ168">
        <f ca="1">IF(AND(ISNUMBER($AQ$370),$B$208=1),$AQ$370,HLOOKUP(INDIRECT(ADDRESS(2,COLUMN())),OFFSET($BN$2,0,0,ROW()-1,60),ROW()-1,FALSE))</f>
        <v>182819</v>
      </c>
      <c r="AR168">
        <f ca="1">IF(AND(ISNUMBER($AR$370),$B$208=1),$AR$370,HLOOKUP(INDIRECT(ADDRESS(2,COLUMN())),OFFSET($BN$2,0,0,ROW()-1,60),ROW()-1,FALSE))</f>
        <v>186362</v>
      </c>
      <c r="AS168">
        <f ca="1">IF(AND(ISNUMBER($AS$370),$B$208=1),$AS$370,HLOOKUP(INDIRECT(ADDRESS(2,COLUMN())),OFFSET($BN$2,0,0,ROW()-1,60),ROW()-1,FALSE))</f>
        <v>189899</v>
      </c>
      <c r="AT168">
        <f ca="1">IF(AND(ISNUMBER($AT$370),$B$208=1),$AT$370,HLOOKUP(INDIRECT(ADDRESS(2,COLUMN())),OFFSET($BN$2,0,0,ROW()-1,60),ROW()-1,FALSE))</f>
        <v>84620</v>
      </c>
      <c r="AU168">
        <f ca="1">IF(AND(ISNUMBER($AU$370),$B$208=1),$AU$370,HLOOKUP(INDIRECT(ADDRESS(2,COLUMN())),OFFSET($BN$2,0,0,ROW()-1,60),ROW()-1,FALSE))</f>
        <v>191604</v>
      </c>
      <c r="AV168">
        <f ca="1">IF(AND(ISNUMBER($AV$370),$B$208=1),$AV$370,HLOOKUP(INDIRECT(ADDRESS(2,COLUMN())),OFFSET($BN$2,0,0,ROW()-1,60),ROW()-1,FALSE))</f>
        <v>189076</v>
      </c>
      <c r="AW168">
        <f ca="1">IF(AND(ISNUMBER($AW$370),$B$208=1),$AW$370,HLOOKUP(INDIRECT(ADDRESS(2,COLUMN())),OFFSET($BN$2,0,0,ROW()-1,60),ROW()-1,FALSE))</f>
        <v>191771</v>
      </c>
      <c r="AX168">
        <f ca="1">IF(AND(ISNUMBER($AX$370),$B$208=1),$AX$370,HLOOKUP(INDIRECT(ADDRESS(2,COLUMN())),OFFSET($BN$2,0,0,ROW()-1,60),ROW()-1,FALSE))</f>
        <v>91150</v>
      </c>
      <c r="AY168">
        <f ca="1">IF(AND(ISNUMBER($AY$370),$B$208=1),$AY$370,HLOOKUP(INDIRECT(ADDRESS(2,COLUMN())),OFFSET($BN$2,0,0,ROW()-1,60),ROW()-1,FALSE))</f>
        <v>201179</v>
      </c>
      <c r="AZ168">
        <f ca="1">IF(AND(ISNUMBER($AZ$370),$B$208=1),$AZ$370,HLOOKUP(INDIRECT(ADDRESS(2,COLUMN())),OFFSET($BN$2,0,0,ROW()-1,60),ROW()-1,FALSE))</f>
        <v>195765</v>
      </c>
      <c r="BA168">
        <f ca="1">IF(AND(ISNUMBER($BA$370),$B$208=1),$BA$370,HLOOKUP(INDIRECT(ADDRESS(2,COLUMN())),OFFSET($BN$2,0,0,ROW()-1,60),ROW()-1,FALSE))</f>
        <v>213093</v>
      </c>
      <c r="BB168">
        <f ca="1">IF(AND(ISNUMBER($BB$370),$B$208=1),$BB$370,HLOOKUP(INDIRECT(ADDRESS(2,COLUMN())),OFFSET($BN$2,0,0,ROW()-1,60),ROW()-1,FALSE))</f>
        <v>100837</v>
      </c>
      <c r="BC168">
        <f ca="1">IF(AND(ISNUMBER($BC$370),$B$208=1),$BC$370,HLOOKUP(INDIRECT(ADDRESS(2,COLUMN())),OFFSET($BN$2,0,0,ROW()-1,60),ROW()-1,FALSE))</f>
        <v>228000</v>
      </c>
      <c r="BD168">
        <f ca="1">IF(AND(ISNUMBER($BD$370),$B$208=1),$BD$370,HLOOKUP(INDIRECT(ADDRESS(2,COLUMN())),OFFSET($BN$2,0,0,ROW()-1,60),ROW()-1,FALSE))</f>
        <v>239359</v>
      </c>
      <c r="BE168">
        <f ca="1">IF(AND(ISNUMBER($BE$370),$B$208=1),$BE$370,HLOOKUP(INDIRECT(ADDRESS(2,COLUMN())),OFFSET($BN$2,0,0,ROW()-1,60),ROW()-1,FALSE))</f>
        <v>244694</v>
      </c>
      <c r="BF168">
        <f ca="1">IF(AND(ISNUMBER($BF$370),$B$208=1),$BF$370,HLOOKUP(INDIRECT(ADDRESS(2,COLUMN())),OFFSET($BN$2,0,0,ROW()-1,60),ROW()-1,FALSE))</f>
        <v>8460</v>
      </c>
      <c r="BG168">
        <f ca="1">IF(AND(ISNUMBER($BG$370),$B$208=1),$BG$370,HLOOKUP(INDIRECT(ADDRESS(2,COLUMN())),OFFSET($BN$2,0,0,ROW()-1,60),ROW()-1,FALSE))</f>
        <v>257571</v>
      </c>
      <c r="BH168">
        <f ca="1">IF(AND(ISNUMBER($BH$370),$B$208=1),$BH$370,HLOOKUP(INDIRECT(ADDRESS(2,COLUMN())),OFFSET($BN$2,0,0,ROW()-1,60),ROW()-1,FALSE))</f>
        <v>258784</v>
      </c>
      <c r="BI168">
        <f ca="1">IF(AND(ISNUMBER($BI$370),$B$208=1),$BI$370,HLOOKUP(INDIRECT(ADDRESS(2,COLUMN())),OFFSET($BN$2,0,0,ROW()-1,60),ROW()-1,FALSE))</f>
        <v>273077</v>
      </c>
      <c r="BJ168" t="str">
        <f ca="1">IF(AND(ISNUMBER($BJ$370),$B$208=1),$BJ$370,HLOOKUP(INDIRECT(ADDRESS(2,COLUMN())),OFFSET($BN$2,0,0,ROW()-1,60),ROW()-1,FALSE))</f>
        <v/>
      </c>
      <c r="BK168">
        <f ca="1">IF(AND(ISNUMBER($BK$370),$B$208=1),$BK$370,HLOOKUP(INDIRECT(ADDRESS(2,COLUMN())),OFFSET($BN$2,0,0,ROW()-1,60),ROW()-1,FALSE))</f>
        <v>288455</v>
      </c>
      <c r="BL168">
        <f ca="1">IF(AND(ISNUMBER($BL$370),$B$208=1),$BL$370,HLOOKUP(INDIRECT(ADDRESS(2,COLUMN())),OFFSET($BN$2,0,0,ROW()-1,60),ROW()-1,FALSE))</f>
        <v>298030</v>
      </c>
      <c r="BM168">
        <f ca="1">IF(AND(ISNUMBER($BM$370),$B$208=1),$BM$370,HLOOKUP(INDIRECT(ADDRESS(2,COLUMN())),OFFSET($BN$2,0,0,ROW()-1,60),ROW()-1,FALSE))</f>
        <v>304947</v>
      </c>
      <c r="BN168" t="str">
        <f>""</f>
        <v/>
      </c>
      <c r="BO168" t="str">
        <f>""</f>
        <v/>
      </c>
      <c r="BP168" t="str">
        <f>""</f>
        <v/>
      </c>
      <c r="BQ168" t="str">
        <f>""</f>
        <v/>
      </c>
      <c r="BR168">
        <f>32388</f>
        <v>32388</v>
      </c>
      <c r="BS168" t="str">
        <f>""</f>
        <v/>
      </c>
      <c r="BT168" t="str">
        <f>""</f>
        <v/>
      </c>
      <c r="BU168" t="str">
        <f>""</f>
        <v/>
      </c>
      <c r="BV168">
        <f>30022</f>
        <v>30022</v>
      </c>
      <c r="BW168" t="str">
        <f>""</f>
        <v/>
      </c>
      <c r="BX168" t="str">
        <f>""</f>
        <v/>
      </c>
      <c r="BY168" t="str">
        <f>""</f>
        <v/>
      </c>
      <c r="BZ168">
        <f>29525</f>
        <v>29525</v>
      </c>
      <c r="CA168" t="str">
        <f>""</f>
        <v/>
      </c>
      <c r="CB168">
        <f>32650</f>
        <v>32650</v>
      </c>
      <c r="CC168" t="str">
        <f>""</f>
        <v/>
      </c>
      <c r="CD168">
        <f>32325</f>
        <v>32325</v>
      </c>
      <c r="CE168">
        <f>20109</f>
        <v>20109</v>
      </c>
      <c r="CF168">
        <f>33401</f>
        <v>33401</v>
      </c>
      <c r="CG168">
        <f>17336</f>
        <v>17336</v>
      </c>
      <c r="CH168">
        <f>30053</f>
        <v>30053</v>
      </c>
      <c r="CI168">
        <f>16694</f>
        <v>16694</v>
      </c>
      <c r="CJ168">
        <f>28894</f>
        <v>28894</v>
      </c>
      <c r="CK168">
        <f>30301</f>
        <v>30301</v>
      </c>
      <c r="CL168">
        <f>24618</f>
        <v>24618</v>
      </c>
      <c r="CM168">
        <f>25553</f>
        <v>25553</v>
      </c>
      <c r="CN168">
        <f>26360</f>
        <v>26360</v>
      </c>
      <c r="CO168">
        <f>26419</f>
        <v>26419</v>
      </c>
      <c r="CP168">
        <f>29482</f>
        <v>29482</v>
      </c>
      <c r="CQ168" t="str">
        <f>""</f>
        <v/>
      </c>
      <c r="CR168" t="str">
        <f>""</f>
        <v/>
      </c>
      <c r="CS168" t="str">
        <f>""</f>
        <v/>
      </c>
      <c r="CT168">
        <f>53882</f>
        <v>53882</v>
      </c>
      <c r="CU168" t="str">
        <f>""</f>
        <v/>
      </c>
      <c r="CV168" t="str">
        <f>""</f>
        <v/>
      </c>
      <c r="CW168">
        <f>184107</f>
        <v>184107</v>
      </c>
      <c r="CX168">
        <f>79297</f>
        <v>79297</v>
      </c>
      <c r="CY168">
        <f>182819</f>
        <v>182819</v>
      </c>
      <c r="CZ168">
        <f>186362</f>
        <v>186362</v>
      </c>
      <c r="DA168">
        <f>189899</f>
        <v>189899</v>
      </c>
      <c r="DB168">
        <f>84620</f>
        <v>84620</v>
      </c>
      <c r="DC168">
        <f>191604</f>
        <v>191604</v>
      </c>
      <c r="DD168">
        <f>189076</f>
        <v>189076</v>
      </c>
      <c r="DE168">
        <f>191771</f>
        <v>191771</v>
      </c>
      <c r="DF168">
        <f>91150</f>
        <v>91150</v>
      </c>
      <c r="DG168">
        <f>201179</f>
        <v>201179</v>
      </c>
      <c r="DH168">
        <f>195765</f>
        <v>195765</v>
      </c>
      <c r="DI168">
        <f>213093</f>
        <v>213093</v>
      </c>
      <c r="DJ168">
        <f>100837</f>
        <v>100837</v>
      </c>
      <c r="DK168">
        <f>228000</f>
        <v>228000</v>
      </c>
      <c r="DL168">
        <f>239359</f>
        <v>239359</v>
      </c>
      <c r="DM168">
        <f>244694</f>
        <v>244694</v>
      </c>
      <c r="DN168">
        <f>8460</f>
        <v>8460</v>
      </c>
      <c r="DO168">
        <f>257571</f>
        <v>257571</v>
      </c>
      <c r="DP168">
        <f>258784</f>
        <v>258784</v>
      </c>
      <c r="DQ168">
        <f>273077</f>
        <v>273077</v>
      </c>
      <c r="DR168" t="str">
        <f>""</f>
        <v/>
      </c>
      <c r="DS168">
        <f>288455</f>
        <v>288455</v>
      </c>
      <c r="DT168">
        <f>298030</f>
        <v>298030</v>
      </c>
      <c r="DU168">
        <f>304947</f>
        <v>304947</v>
      </c>
    </row>
    <row r="169" spans="1:125" x14ac:dyDescent="0.25">
      <c r="A169" t="str">
        <f>"    Credit Agricole SA"</f>
        <v xml:space="preserve">    Credit Agricole SA</v>
      </c>
      <c r="B169" t="str">
        <f>"ACA FP Equity"</f>
        <v>ACA FP Equity</v>
      </c>
      <c r="C169" t="str">
        <f t="shared" si="12"/>
        <v>BS018</v>
      </c>
      <c r="D169" t="str">
        <f t="shared" si="13"/>
        <v>BS_OTHER_LOAN</v>
      </c>
      <c r="E169" t="str">
        <f t="shared" si="14"/>
        <v>Dynamic</v>
      </c>
      <c r="F169">
        <f ca="1">IF(AND(ISNUMBER($F$371),$B$208=1),$F$371,HLOOKUP(INDIRECT(ADDRESS(2,COLUMN())),OFFSET($BN$2,0,0,ROW()-1,60),ROW()-1,FALSE))</f>
        <v>45243</v>
      </c>
      <c r="G169" t="str">
        <f ca="1">IF(AND(ISNUMBER($G$371),$B$208=1),$G$371,HLOOKUP(INDIRECT(ADDRESS(2,COLUMN())),OFFSET($BN$2,0,0,ROW()-1,60),ROW()-1,FALSE))</f>
        <v/>
      </c>
      <c r="H169">
        <f ca="1">IF(AND(ISNUMBER($H$371),$B$208=1),$H$371,HLOOKUP(INDIRECT(ADDRESS(2,COLUMN())),OFFSET($BN$2,0,0,ROW()-1,60),ROW()-1,FALSE))</f>
        <v>46721</v>
      </c>
      <c r="I169" t="str">
        <f ca="1">IF(AND(ISNUMBER($I$371),$B$208=1),$I$371,HLOOKUP(INDIRECT(ADDRESS(2,COLUMN())),OFFSET($BN$2,0,0,ROW()-1,60),ROW()-1,FALSE))</f>
        <v/>
      </c>
      <c r="J169">
        <f ca="1">IF(AND(ISNUMBER($J$371),$B$208=1),$J$371,HLOOKUP(INDIRECT(ADDRESS(2,COLUMN())),OFFSET($BN$2,0,0,ROW()-1,60),ROW()-1,FALSE))</f>
        <v>43603</v>
      </c>
      <c r="K169" t="str">
        <f ca="1">IF(AND(ISNUMBER($K$371),$B$208=1),$K$371,HLOOKUP(INDIRECT(ADDRESS(2,COLUMN())),OFFSET($BN$2,0,0,ROW()-1,60),ROW()-1,FALSE))</f>
        <v/>
      </c>
      <c r="L169">
        <f ca="1">IF(AND(ISNUMBER($L$371),$B$208=1),$L$371,HLOOKUP(INDIRECT(ADDRESS(2,COLUMN())),OFFSET($BN$2,0,0,ROW()-1,60),ROW()-1,FALSE))</f>
        <v>42293</v>
      </c>
      <c r="M169" t="str">
        <f ca="1">IF(AND(ISNUMBER($M$371),$B$208=1),$M$371,HLOOKUP(INDIRECT(ADDRESS(2,COLUMN())),OFFSET($BN$2,0,0,ROW()-1,60),ROW()-1,FALSE))</f>
        <v/>
      </c>
      <c r="N169">
        <f ca="1">IF(AND(ISNUMBER($N$371),$B$208=1),$N$371,HLOOKUP(INDIRECT(ADDRESS(2,COLUMN())),OFFSET($BN$2,0,0,ROW()-1,60),ROW()-1,FALSE))</f>
        <v>34838</v>
      </c>
      <c r="O169" t="str">
        <f ca="1">IF(AND(ISNUMBER($O$371),$B$208=1),$O$371,HLOOKUP(INDIRECT(ADDRESS(2,COLUMN())),OFFSET($BN$2,0,0,ROW()-1,60),ROW()-1,FALSE))</f>
        <v/>
      </c>
      <c r="P169">
        <f ca="1">IF(AND(ISNUMBER($P$371),$B$208=1),$P$371,HLOOKUP(INDIRECT(ADDRESS(2,COLUMN())),OFFSET($BN$2,0,0,ROW()-1,60),ROW()-1,FALSE))</f>
        <v>35288</v>
      </c>
      <c r="Q169" t="str">
        <f ca="1">IF(AND(ISNUMBER($Q$371),$B$208=1),$Q$371,HLOOKUP(INDIRECT(ADDRESS(2,COLUMN())),OFFSET($BN$2,0,0,ROW()-1,60),ROW()-1,FALSE))</f>
        <v/>
      </c>
      <c r="R169">
        <f ca="1">IF(AND(ISNUMBER($R$371),$B$208=1),$R$371,HLOOKUP(INDIRECT(ADDRESS(2,COLUMN())),OFFSET($BN$2,0,0,ROW()-1,60),ROW()-1,FALSE))</f>
        <v>31083</v>
      </c>
      <c r="S169" t="str">
        <f ca="1">IF(AND(ISNUMBER($S$371),$B$208=1),$S$371,HLOOKUP(INDIRECT(ADDRESS(2,COLUMN())),OFFSET($BN$2,0,0,ROW()-1,60),ROW()-1,FALSE))</f>
        <v/>
      </c>
      <c r="T169">
        <f ca="1">IF(AND(ISNUMBER($T$371),$B$208=1),$T$371,HLOOKUP(INDIRECT(ADDRESS(2,COLUMN())),OFFSET($BN$2,0,0,ROW()-1,60),ROW()-1,FALSE))</f>
        <v>32149</v>
      </c>
      <c r="U169" t="str">
        <f ca="1">IF(AND(ISNUMBER($U$371),$B$208=1),$U$371,HLOOKUP(INDIRECT(ADDRESS(2,COLUMN())),OFFSET($BN$2,0,0,ROW()-1,60),ROW()-1,FALSE))</f>
        <v/>
      </c>
      <c r="V169">
        <f ca="1">IF(AND(ISNUMBER($V$371),$B$208=1),$V$371,HLOOKUP(INDIRECT(ADDRESS(2,COLUMN())),OFFSET($BN$2,0,0,ROW()-1,60),ROW()-1,FALSE))</f>
        <v>31227</v>
      </c>
      <c r="W169" t="str">
        <f ca="1">IF(AND(ISNUMBER($W$371),$B$208=1),$W$371,HLOOKUP(INDIRECT(ADDRESS(2,COLUMN())),OFFSET($BN$2,0,0,ROW()-1,60),ROW()-1,FALSE))</f>
        <v/>
      </c>
      <c r="X169">
        <f ca="1">IF(AND(ISNUMBER($X$371),$B$208=1),$X$371,HLOOKUP(INDIRECT(ADDRESS(2,COLUMN())),OFFSET($BN$2,0,0,ROW()-1,60),ROW()-1,FALSE))</f>
        <v>33178</v>
      </c>
      <c r="Y169" t="str">
        <f ca="1">IF(AND(ISNUMBER($Y$371),$B$208=1),$Y$371,HLOOKUP(INDIRECT(ADDRESS(2,COLUMN())),OFFSET($BN$2,0,0,ROW()-1,60),ROW()-1,FALSE))</f>
        <v/>
      </c>
      <c r="Z169">
        <f ca="1">IF(AND(ISNUMBER($Z$371),$B$208=1),$Z$371,HLOOKUP(INDIRECT(ADDRESS(2,COLUMN())),OFFSET($BN$2,0,0,ROW()-1,60),ROW()-1,FALSE))</f>
        <v>32458</v>
      </c>
      <c r="AA169" t="str">
        <f ca="1">IF(AND(ISNUMBER($AA$371),$B$208=1),$AA$371,HLOOKUP(INDIRECT(ADDRESS(2,COLUMN())),OFFSET($BN$2,0,0,ROW()-1,60),ROW()-1,FALSE))</f>
        <v/>
      </c>
      <c r="AB169">
        <f ca="1">IF(AND(ISNUMBER($AB$371),$B$208=1),$AB$371,HLOOKUP(INDIRECT(ADDRESS(2,COLUMN())),OFFSET($BN$2,0,0,ROW()-1,60),ROW()-1,FALSE))</f>
        <v>31473</v>
      </c>
      <c r="AC169" t="str">
        <f ca="1">IF(AND(ISNUMBER($AC$371),$B$208=1),$AC$371,HLOOKUP(INDIRECT(ADDRESS(2,COLUMN())),OFFSET($BN$2,0,0,ROW()-1,60),ROW()-1,FALSE))</f>
        <v/>
      </c>
      <c r="AD169" t="str">
        <f ca="1">IF(AND(ISNUMBER($AD$371),$B$208=1),$AD$371,HLOOKUP(INDIRECT(ADDRESS(2,COLUMN())),OFFSET($BN$2,0,0,ROW()-1,60),ROW()-1,FALSE))</f>
        <v/>
      </c>
      <c r="AE169" t="str">
        <f ca="1">IF(AND(ISNUMBER($AE$371),$B$208=1),$AE$371,HLOOKUP(INDIRECT(ADDRESS(2,COLUMN())),OFFSET($BN$2,0,0,ROW()-1,60),ROW()-1,FALSE))</f>
        <v/>
      </c>
      <c r="AF169" t="str">
        <f ca="1">IF(AND(ISNUMBER($AF$371),$B$208=1),$AF$371,HLOOKUP(INDIRECT(ADDRESS(2,COLUMN())),OFFSET($BN$2,0,0,ROW()-1,60),ROW()-1,FALSE))</f>
        <v/>
      </c>
      <c r="AG169" t="str">
        <f ca="1">IF(AND(ISNUMBER($AG$371),$B$208=1),$AG$371,HLOOKUP(INDIRECT(ADDRESS(2,COLUMN())),OFFSET($BN$2,0,0,ROW()-1,60),ROW()-1,FALSE))</f>
        <v/>
      </c>
      <c r="AH169" t="str">
        <f ca="1">IF(AND(ISNUMBER($AH$371),$B$208=1),$AH$371,HLOOKUP(INDIRECT(ADDRESS(2,COLUMN())),OFFSET($BN$2,0,0,ROW()-1,60),ROW()-1,FALSE))</f>
        <v/>
      </c>
      <c r="AI169" t="str">
        <f ca="1">IF(AND(ISNUMBER($AI$371),$B$208=1),$AI$371,HLOOKUP(INDIRECT(ADDRESS(2,COLUMN())),OFFSET($BN$2,0,0,ROW()-1,60),ROW()-1,FALSE))</f>
        <v/>
      </c>
      <c r="AJ169" t="str">
        <f ca="1">IF(AND(ISNUMBER($AJ$371),$B$208=1),$AJ$371,HLOOKUP(INDIRECT(ADDRESS(2,COLUMN())),OFFSET($BN$2,0,0,ROW()-1,60),ROW()-1,FALSE))</f>
        <v/>
      </c>
      <c r="AK169" t="str">
        <f ca="1">IF(AND(ISNUMBER($AK$371),$B$208=1),$AK$371,HLOOKUP(INDIRECT(ADDRESS(2,COLUMN())),OFFSET($BN$2,0,0,ROW()-1,60),ROW()-1,FALSE))</f>
        <v/>
      </c>
      <c r="AL169" t="str">
        <f ca="1">IF(AND(ISNUMBER($AL$371),$B$208=1),$AL$371,HLOOKUP(INDIRECT(ADDRESS(2,COLUMN())),OFFSET($BN$2,0,0,ROW()-1,60),ROW()-1,FALSE))</f>
        <v/>
      </c>
      <c r="AM169" t="str">
        <f ca="1">IF(AND(ISNUMBER($AM$371),$B$208=1),$AM$371,HLOOKUP(INDIRECT(ADDRESS(2,COLUMN())),OFFSET($BN$2,0,0,ROW()-1,60),ROW()-1,FALSE))</f>
        <v/>
      </c>
      <c r="AN169" t="str">
        <f ca="1">IF(AND(ISNUMBER($AN$371),$B$208=1),$AN$371,HLOOKUP(INDIRECT(ADDRESS(2,COLUMN())),OFFSET($BN$2,0,0,ROW()-1,60),ROW()-1,FALSE))</f>
        <v/>
      </c>
      <c r="AO169" t="str">
        <f ca="1">IF(AND(ISNUMBER($AO$371),$B$208=1),$AO$371,HLOOKUP(INDIRECT(ADDRESS(2,COLUMN())),OFFSET($BN$2,0,0,ROW()-1,60),ROW()-1,FALSE))</f>
        <v/>
      </c>
      <c r="AP169" t="str">
        <f ca="1">IF(AND(ISNUMBER($AP$371),$B$208=1),$AP$371,HLOOKUP(INDIRECT(ADDRESS(2,COLUMN())),OFFSET($BN$2,0,0,ROW()-1,60),ROW()-1,FALSE))</f>
        <v/>
      </c>
      <c r="AQ169" t="str">
        <f ca="1">IF(AND(ISNUMBER($AQ$371),$B$208=1),$AQ$371,HLOOKUP(INDIRECT(ADDRESS(2,COLUMN())),OFFSET($BN$2,0,0,ROW()-1,60),ROW()-1,FALSE))</f>
        <v/>
      </c>
      <c r="AR169" t="str">
        <f ca="1">IF(AND(ISNUMBER($AR$371),$B$208=1),$AR$371,HLOOKUP(INDIRECT(ADDRESS(2,COLUMN())),OFFSET($BN$2,0,0,ROW()-1,60),ROW()-1,FALSE))</f>
        <v/>
      </c>
      <c r="AS169" t="str">
        <f ca="1">IF(AND(ISNUMBER($AS$371),$B$208=1),$AS$371,HLOOKUP(INDIRECT(ADDRESS(2,COLUMN())),OFFSET($BN$2,0,0,ROW()-1,60),ROW()-1,FALSE))</f>
        <v/>
      </c>
      <c r="AT169" t="str">
        <f ca="1">IF(AND(ISNUMBER($AT$371),$B$208=1),$AT$371,HLOOKUP(INDIRECT(ADDRESS(2,COLUMN())),OFFSET($BN$2,0,0,ROW()-1,60),ROW()-1,FALSE))</f>
        <v/>
      </c>
      <c r="AU169" t="str">
        <f ca="1">IF(AND(ISNUMBER($AU$371),$B$208=1),$AU$371,HLOOKUP(INDIRECT(ADDRESS(2,COLUMN())),OFFSET($BN$2,0,0,ROW()-1,60),ROW()-1,FALSE))</f>
        <v/>
      </c>
      <c r="AV169" t="str">
        <f ca="1">IF(AND(ISNUMBER($AV$371),$B$208=1),$AV$371,HLOOKUP(INDIRECT(ADDRESS(2,COLUMN())),OFFSET($BN$2,0,0,ROW()-1,60),ROW()-1,FALSE))</f>
        <v/>
      </c>
      <c r="AW169" t="str">
        <f ca="1">IF(AND(ISNUMBER($AW$371),$B$208=1),$AW$371,HLOOKUP(INDIRECT(ADDRESS(2,COLUMN())),OFFSET($BN$2,0,0,ROW()-1,60),ROW()-1,FALSE))</f>
        <v/>
      </c>
      <c r="AX169" t="str">
        <f ca="1">IF(AND(ISNUMBER($AX$371),$B$208=1),$AX$371,HLOOKUP(INDIRECT(ADDRESS(2,COLUMN())),OFFSET($BN$2,0,0,ROW()-1,60),ROW()-1,FALSE))</f>
        <v/>
      </c>
      <c r="AY169" t="str">
        <f ca="1">IF(AND(ISNUMBER($AY$371),$B$208=1),$AY$371,HLOOKUP(INDIRECT(ADDRESS(2,COLUMN())),OFFSET($BN$2,0,0,ROW()-1,60),ROW()-1,FALSE))</f>
        <v/>
      </c>
      <c r="AZ169" t="str">
        <f ca="1">IF(AND(ISNUMBER($AZ$371),$B$208=1),$AZ$371,HLOOKUP(INDIRECT(ADDRESS(2,COLUMN())),OFFSET($BN$2,0,0,ROW()-1,60),ROW()-1,FALSE))</f>
        <v/>
      </c>
      <c r="BA169" t="str">
        <f ca="1">IF(AND(ISNUMBER($BA$371),$B$208=1),$BA$371,HLOOKUP(INDIRECT(ADDRESS(2,COLUMN())),OFFSET($BN$2,0,0,ROW()-1,60),ROW()-1,FALSE))</f>
        <v/>
      </c>
      <c r="BB169" t="str">
        <f ca="1">IF(AND(ISNUMBER($BB$371),$B$208=1),$BB$371,HLOOKUP(INDIRECT(ADDRESS(2,COLUMN())),OFFSET($BN$2,0,0,ROW()-1,60),ROW()-1,FALSE))</f>
        <v/>
      </c>
      <c r="BC169" t="str">
        <f ca="1">IF(AND(ISNUMBER($BC$371),$B$208=1),$BC$371,HLOOKUP(INDIRECT(ADDRESS(2,COLUMN())),OFFSET($BN$2,0,0,ROW()-1,60),ROW()-1,FALSE))</f>
        <v/>
      </c>
      <c r="BD169" t="str">
        <f ca="1">IF(AND(ISNUMBER($BD$371),$B$208=1),$BD$371,HLOOKUP(INDIRECT(ADDRESS(2,COLUMN())),OFFSET($BN$2,0,0,ROW()-1,60),ROW()-1,FALSE))</f>
        <v/>
      </c>
      <c r="BE169" t="str">
        <f ca="1">IF(AND(ISNUMBER($BE$371),$B$208=1),$BE$371,HLOOKUP(INDIRECT(ADDRESS(2,COLUMN())),OFFSET($BN$2,0,0,ROW()-1,60),ROW()-1,FALSE))</f>
        <v/>
      </c>
      <c r="BF169" t="str">
        <f ca="1">IF(AND(ISNUMBER($BF$371),$B$208=1),$BF$371,HLOOKUP(INDIRECT(ADDRESS(2,COLUMN())),OFFSET($BN$2,0,0,ROW()-1,60),ROW()-1,FALSE))</f>
        <v/>
      </c>
      <c r="BG169" t="str">
        <f ca="1">IF(AND(ISNUMBER($BG$371),$B$208=1),$BG$371,HLOOKUP(INDIRECT(ADDRESS(2,COLUMN())),OFFSET($BN$2,0,0,ROW()-1,60),ROW()-1,FALSE))</f>
        <v/>
      </c>
      <c r="BH169" t="str">
        <f ca="1">IF(AND(ISNUMBER($BH$371),$B$208=1),$BH$371,HLOOKUP(INDIRECT(ADDRESS(2,COLUMN())),OFFSET($BN$2,0,0,ROW()-1,60),ROW()-1,FALSE))</f>
        <v/>
      </c>
      <c r="BI169" t="str">
        <f ca="1">IF(AND(ISNUMBER($BI$371),$B$208=1),$BI$371,HLOOKUP(INDIRECT(ADDRESS(2,COLUMN())),OFFSET($BN$2,0,0,ROW()-1,60),ROW()-1,FALSE))</f>
        <v/>
      </c>
      <c r="BJ169" t="str">
        <f ca="1">IF(AND(ISNUMBER($BJ$371),$B$208=1),$BJ$371,HLOOKUP(INDIRECT(ADDRESS(2,COLUMN())),OFFSET($BN$2,0,0,ROW()-1,60),ROW()-1,FALSE))</f>
        <v/>
      </c>
      <c r="BK169" t="str">
        <f ca="1">IF(AND(ISNUMBER($BK$371),$B$208=1),$BK$371,HLOOKUP(INDIRECT(ADDRESS(2,COLUMN())),OFFSET($BN$2,0,0,ROW()-1,60),ROW()-1,FALSE))</f>
        <v/>
      </c>
      <c r="BL169" t="str">
        <f ca="1">IF(AND(ISNUMBER($BL$371),$B$208=1),$BL$371,HLOOKUP(INDIRECT(ADDRESS(2,COLUMN())),OFFSET($BN$2,0,0,ROW()-1,60),ROW()-1,FALSE))</f>
        <v/>
      </c>
      <c r="BM169" t="str">
        <f ca="1">IF(AND(ISNUMBER($BM$371),$B$208=1),$BM$371,HLOOKUP(INDIRECT(ADDRESS(2,COLUMN())),OFFSET($BN$2,0,0,ROW()-1,60),ROW()-1,FALSE))</f>
        <v/>
      </c>
      <c r="BN169">
        <f>45243</f>
        <v>45243</v>
      </c>
      <c r="BO169" t="str">
        <f>""</f>
        <v/>
      </c>
      <c r="BP169">
        <f>46721</f>
        <v>46721</v>
      </c>
      <c r="BQ169" t="str">
        <f>""</f>
        <v/>
      </c>
      <c r="BR169">
        <f>43603</f>
        <v>43603</v>
      </c>
      <c r="BS169" t="str">
        <f>""</f>
        <v/>
      </c>
      <c r="BT169">
        <f>42293</f>
        <v>42293</v>
      </c>
      <c r="BU169" t="str">
        <f>""</f>
        <v/>
      </c>
      <c r="BV169">
        <f>34838</f>
        <v>34838</v>
      </c>
      <c r="BW169" t="str">
        <f>""</f>
        <v/>
      </c>
      <c r="BX169">
        <f>35288</f>
        <v>35288</v>
      </c>
      <c r="BY169" t="str">
        <f>""</f>
        <v/>
      </c>
      <c r="BZ169">
        <f>31083</f>
        <v>31083</v>
      </c>
      <c r="CA169" t="str">
        <f>""</f>
        <v/>
      </c>
      <c r="CB169">
        <f>32149</f>
        <v>32149</v>
      </c>
      <c r="CC169" t="str">
        <f>""</f>
        <v/>
      </c>
      <c r="CD169">
        <f>31227</f>
        <v>31227</v>
      </c>
      <c r="CE169" t="str">
        <f>""</f>
        <v/>
      </c>
      <c r="CF169">
        <f>33178</f>
        <v>33178</v>
      </c>
      <c r="CG169" t="str">
        <f>""</f>
        <v/>
      </c>
      <c r="CH169">
        <f>32458</f>
        <v>32458</v>
      </c>
      <c r="CI169" t="str">
        <f>""</f>
        <v/>
      </c>
      <c r="CJ169">
        <f>31473</f>
        <v>31473</v>
      </c>
      <c r="CK169" t="str">
        <f>""</f>
        <v/>
      </c>
      <c r="CL169" t="str">
        <f>""</f>
        <v/>
      </c>
      <c r="CM169" t="str">
        <f>""</f>
        <v/>
      </c>
      <c r="CN169" t="str">
        <f>""</f>
        <v/>
      </c>
      <c r="CO169" t="str">
        <f>""</f>
        <v/>
      </c>
      <c r="CP169" t="str">
        <f>""</f>
        <v/>
      </c>
      <c r="CQ169" t="str">
        <f>""</f>
        <v/>
      </c>
      <c r="CR169" t="str">
        <f>""</f>
        <v/>
      </c>
      <c r="CS169" t="str">
        <f>""</f>
        <v/>
      </c>
      <c r="CT169" t="str">
        <f>""</f>
        <v/>
      </c>
      <c r="CU169" t="str">
        <f>""</f>
        <v/>
      </c>
      <c r="CV169" t="str">
        <f>""</f>
        <v/>
      </c>
      <c r="CW169" t="str">
        <f>""</f>
        <v/>
      </c>
      <c r="CX169" t="str">
        <f>""</f>
        <v/>
      </c>
      <c r="CY169" t="str">
        <f>""</f>
        <v/>
      </c>
      <c r="CZ169" t="str">
        <f>""</f>
        <v/>
      </c>
      <c r="DA169" t="str">
        <f>""</f>
        <v/>
      </c>
      <c r="DB169" t="str">
        <f>""</f>
        <v/>
      </c>
      <c r="DC169" t="str">
        <f>""</f>
        <v/>
      </c>
      <c r="DD169" t="str">
        <f>""</f>
        <v/>
      </c>
      <c r="DE169" t="str">
        <f>""</f>
        <v/>
      </c>
      <c r="DF169" t="str">
        <f>""</f>
        <v/>
      </c>
      <c r="DG169" t="str">
        <f>""</f>
        <v/>
      </c>
      <c r="DH169" t="str">
        <f>""</f>
        <v/>
      </c>
      <c r="DI169" t="str">
        <f>""</f>
        <v/>
      </c>
      <c r="DJ169" t="str">
        <f>""</f>
        <v/>
      </c>
      <c r="DK169" t="str">
        <f>""</f>
        <v/>
      </c>
      <c r="DL169" t="str">
        <f>""</f>
        <v/>
      </c>
      <c r="DM169" t="str">
        <f>""</f>
        <v/>
      </c>
      <c r="DN169" t="str">
        <f>""</f>
        <v/>
      </c>
      <c r="DO169" t="str">
        <f>""</f>
        <v/>
      </c>
      <c r="DP169" t="str">
        <f>""</f>
        <v/>
      </c>
      <c r="DQ169" t="str">
        <f>""</f>
        <v/>
      </c>
      <c r="DR169" t="str">
        <f>""</f>
        <v/>
      </c>
      <c r="DS169" t="str">
        <f>""</f>
        <v/>
      </c>
      <c r="DT169" t="str">
        <f>""</f>
        <v/>
      </c>
      <c r="DU169" t="str">
        <f>""</f>
        <v/>
      </c>
    </row>
    <row r="170" spans="1:125" x14ac:dyDescent="0.25">
      <c r="A170" t="str">
        <f>"    Deutsche Bank AG"</f>
        <v xml:space="preserve">    Deutsche Bank AG</v>
      </c>
      <c r="B170" t="str">
        <f>"DBK GR Equity"</f>
        <v>DBK GR Equity</v>
      </c>
      <c r="C170" t="str">
        <f t="shared" si="12"/>
        <v>BS018</v>
      </c>
      <c r="D170" t="str">
        <f t="shared" si="13"/>
        <v>BS_OTHER_LOAN</v>
      </c>
      <c r="E170" t="str">
        <f t="shared" si="14"/>
        <v>Dynamic</v>
      </c>
      <c r="F170">
        <f ca="1">IF(AND(ISNUMBER($F$372),$B$208=1),$F$372,HLOOKUP(INDIRECT(ADDRESS(2,COLUMN())),OFFSET($BN$2,0,0,ROW()-1,60),ROW()-1,FALSE))</f>
        <v>5483</v>
      </c>
      <c r="G170" t="str">
        <f ca="1">IF(AND(ISNUMBER($G$372),$B$208=1),$G$372,HLOOKUP(INDIRECT(ADDRESS(2,COLUMN())),OFFSET($BN$2,0,0,ROW()-1,60),ROW()-1,FALSE))</f>
        <v/>
      </c>
      <c r="H170" t="str">
        <f ca="1">IF(AND(ISNUMBER($H$372),$B$208=1),$H$372,HLOOKUP(INDIRECT(ADDRESS(2,COLUMN())),OFFSET($BN$2,0,0,ROW()-1,60),ROW()-1,FALSE))</f>
        <v/>
      </c>
      <c r="I170" t="str">
        <f ca="1">IF(AND(ISNUMBER($I$372),$B$208=1),$I$372,HLOOKUP(INDIRECT(ADDRESS(2,COLUMN())),OFFSET($BN$2,0,0,ROW()-1,60),ROW()-1,FALSE))</f>
        <v/>
      </c>
      <c r="J170">
        <f ca="1">IF(AND(ISNUMBER($J$372),$B$208=1),$J$372,HLOOKUP(INDIRECT(ADDRESS(2,COLUMN())),OFFSET($BN$2,0,0,ROW()-1,60),ROW()-1,FALSE))</f>
        <v>3375</v>
      </c>
      <c r="K170" t="str">
        <f ca="1">IF(AND(ISNUMBER($K$372),$B$208=1),$K$372,HLOOKUP(INDIRECT(ADDRESS(2,COLUMN())),OFFSET($BN$2,0,0,ROW()-1,60),ROW()-1,FALSE))</f>
        <v/>
      </c>
      <c r="L170" t="str">
        <f ca="1">IF(AND(ISNUMBER($L$372),$B$208=1),$L$372,HLOOKUP(INDIRECT(ADDRESS(2,COLUMN())),OFFSET($BN$2,0,0,ROW()-1,60),ROW()-1,FALSE))</f>
        <v/>
      </c>
      <c r="M170" t="str">
        <f ca="1">IF(AND(ISNUMBER($M$372),$B$208=1),$M$372,HLOOKUP(INDIRECT(ADDRESS(2,COLUMN())),OFFSET($BN$2,0,0,ROW()-1,60),ROW()-1,FALSE))</f>
        <v/>
      </c>
      <c r="N170">
        <f ca="1">IF(AND(ISNUMBER($N$372),$B$208=1),$N$372,HLOOKUP(INDIRECT(ADDRESS(2,COLUMN())),OFFSET($BN$2,0,0,ROW()-1,60),ROW()-1,FALSE))</f>
        <v>4475</v>
      </c>
      <c r="O170" t="str">
        <f ca="1">IF(AND(ISNUMBER($O$372),$B$208=1),$O$372,HLOOKUP(INDIRECT(ADDRESS(2,COLUMN())),OFFSET($BN$2,0,0,ROW()-1,60),ROW()-1,FALSE))</f>
        <v/>
      </c>
      <c r="P170" t="str">
        <f ca="1">IF(AND(ISNUMBER($P$372),$B$208=1),$P$372,HLOOKUP(INDIRECT(ADDRESS(2,COLUMN())),OFFSET($BN$2,0,0,ROW()-1,60),ROW()-1,FALSE))</f>
        <v/>
      </c>
      <c r="Q170" t="str">
        <f ca="1">IF(AND(ISNUMBER($Q$372),$B$208=1),$Q$372,HLOOKUP(INDIRECT(ADDRESS(2,COLUMN())),OFFSET($BN$2,0,0,ROW()-1,60),ROW()-1,FALSE))</f>
        <v/>
      </c>
      <c r="R170">
        <f ca="1">IF(AND(ISNUMBER($R$372),$B$208=1),$R$372,HLOOKUP(INDIRECT(ADDRESS(2,COLUMN())),OFFSET($BN$2,0,0,ROW()-1,60),ROW()-1,FALSE))</f>
        <v>5034</v>
      </c>
      <c r="S170" t="str">
        <f ca="1">IF(AND(ISNUMBER($S$372),$B$208=1),$S$372,HLOOKUP(INDIRECT(ADDRESS(2,COLUMN())),OFFSET($BN$2,0,0,ROW()-1,60),ROW()-1,FALSE))</f>
        <v/>
      </c>
      <c r="T170" t="str">
        <f ca="1">IF(AND(ISNUMBER($T$372),$B$208=1),$T$372,HLOOKUP(INDIRECT(ADDRESS(2,COLUMN())),OFFSET($BN$2,0,0,ROW()-1,60),ROW()-1,FALSE))</f>
        <v/>
      </c>
      <c r="U170" t="str">
        <f ca="1">IF(AND(ISNUMBER($U$372),$B$208=1),$U$372,HLOOKUP(INDIRECT(ADDRESS(2,COLUMN())),OFFSET($BN$2,0,0,ROW()-1,60),ROW()-1,FALSE))</f>
        <v/>
      </c>
      <c r="V170">
        <f ca="1">IF(AND(ISNUMBER($V$372),$B$208=1),$V$372,HLOOKUP(INDIRECT(ADDRESS(2,COLUMN())),OFFSET($BN$2,0,0,ROW()-1,60),ROW()-1,FALSE))</f>
        <v>5771</v>
      </c>
      <c r="W170" t="str">
        <f ca="1">IF(AND(ISNUMBER($W$372),$B$208=1),$W$372,HLOOKUP(INDIRECT(ADDRESS(2,COLUMN())),OFFSET($BN$2,0,0,ROW()-1,60),ROW()-1,FALSE))</f>
        <v/>
      </c>
      <c r="X170" t="str">
        <f ca="1">IF(AND(ISNUMBER($X$372),$B$208=1),$X$372,HLOOKUP(INDIRECT(ADDRESS(2,COLUMN())),OFFSET($BN$2,0,0,ROW()-1,60),ROW()-1,FALSE))</f>
        <v/>
      </c>
      <c r="Y170" t="str">
        <f ca="1">IF(AND(ISNUMBER($Y$372),$B$208=1),$Y$372,HLOOKUP(INDIRECT(ADDRESS(2,COLUMN())),OFFSET($BN$2,0,0,ROW()-1,60),ROW()-1,FALSE))</f>
        <v/>
      </c>
      <c r="Z170">
        <f ca="1">IF(AND(ISNUMBER($Z$372),$B$208=1),$Z$372,HLOOKUP(INDIRECT(ADDRESS(2,COLUMN())),OFFSET($BN$2,0,0,ROW()-1,60),ROW()-1,FALSE))</f>
        <v>5426</v>
      </c>
      <c r="AA170" t="str">
        <f ca="1">IF(AND(ISNUMBER($AA$372),$B$208=1),$AA$372,HLOOKUP(INDIRECT(ADDRESS(2,COLUMN())),OFFSET($BN$2,0,0,ROW()-1,60),ROW()-1,FALSE))</f>
        <v/>
      </c>
      <c r="AB170" t="str">
        <f ca="1">IF(AND(ISNUMBER($AB$372),$B$208=1),$AB$372,HLOOKUP(INDIRECT(ADDRESS(2,COLUMN())),OFFSET($BN$2,0,0,ROW()-1,60),ROW()-1,FALSE))</f>
        <v/>
      </c>
      <c r="AC170" t="str">
        <f ca="1">IF(AND(ISNUMBER($AC$372),$B$208=1),$AC$372,HLOOKUP(INDIRECT(ADDRESS(2,COLUMN())),OFFSET($BN$2,0,0,ROW()-1,60),ROW()-1,FALSE))</f>
        <v/>
      </c>
      <c r="AD170">
        <f ca="1">IF(AND(ISNUMBER($AD$372),$B$208=1),$AD$372,HLOOKUP(INDIRECT(ADDRESS(2,COLUMN())),OFFSET($BN$2,0,0,ROW()-1,60),ROW()-1,FALSE))</f>
        <v>5074</v>
      </c>
      <c r="AE170" t="str">
        <f ca="1">IF(AND(ISNUMBER($AE$372),$B$208=1),$AE$372,HLOOKUP(INDIRECT(ADDRESS(2,COLUMN())),OFFSET($BN$2,0,0,ROW()-1,60),ROW()-1,FALSE))</f>
        <v/>
      </c>
      <c r="AF170" t="str">
        <f ca="1">IF(AND(ISNUMBER($AF$372),$B$208=1),$AF$372,HLOOKUP(INDIRECT(ADDRESS(2,COLUMN())),OFFSET($BN$2,0,0,ROW()-1,60),ROW()-1,FALSE))</f>
        <v/>
      </c>
      <c r="AG170" t="str">
        <f ca="1">IF(AND(ISNUMBER($AG$372),$B$208=1),$AG$372,HLOOKUP(INDIRECT(ADDRESS(2,COLUMN())),OFFSET($BN$2,0,0,ROW()-1,60),ROW()-1,FALSE))</f>
        <v/>
      </c>
      <c r="AH170">
        <f ca="1">IF(AND(ISNUMBER($AH$372),$B$208=1),$AH$372,HLOOKUP(INDIRECT(ADDRESS(2,COLUMN())),OFFSET($BN$2,0,0,ROW()-1,60),ROW()-1,FALSE))</f>
        <v>77000</v>
      </c>
      <c r="AI170" t="str">
        <f ca="1">IF(AND(ISNUMBER($AI$372),$B$208=1),$AI$372,HLOOKUP(INDIRECT(ADDRESS(2,COLUMN())),OFFSET($BN$2,0,0,ROW()-1,60),ROW()-1,FALSE))</f>
        <v/>
      </c>
      <c r="AJ170" t="str">
        <f ca="1">IF(AND(ISNUMBER($AJ$372),$B$208=1),$AJ$372,HLOOKUP(INDIRECT(ADDRESS(2,COLUMN())),OFFSET($BN$2,0,0,ROW()-1,60),ROW()-1,FALSE))</f>
        <v/>
      </c>
      <c r="AK170" t="str">
        <f ca="1">IF(AND(ISNUMBER($AK$372),$B$208=1),$AK$372,HLOOKUP(INDIRECT(ADDRESS(2,COLUMN())),OFFSET($BN$2,0,0,ROW()-1,60),ROW()-1,FALSE))</f>
        <v/>
      </c>
      <c r="AL170">
        <f ca="1">IF(AND(ISNUMBER($AL$372),$B$208=1),$AL$372,HLOOKUP(INDIRECT(ADDRESS(2,COLUMN())),OFFSET($BN$2,0,0,ROW()-1,60),ROW()-1,FALSE))</f>
        <v>86825</v>
      </c>
      <c r="AM170" t="str">
        <f ca="1">IF(AND(ISNUMBER($AM$372),$B$208=1),$AM$372,HLOOKUP(INDIRECT(ADDRESS(2,COLUMN())),OFFSET($BN$2,0,0,ROW()-1,60),ROW()-1,FALSE))</f>
        <v/>
      </c>
      <c r="AN170" t="str">
        <f ca="1">IF(AND(ISNUMBER($AN$372),$B$208=1),$AN$372,HLOOKUP(INDIRECT(ADDRESS(2,COLUMN())),OFFSET($BN$2,0,0,ROW()-1,60),ROW()-1,FALSE))</f>
        <v/>
      </c>
      <c r="AO170" t="str">
        <f ca="1">IF(AND(ISNUMBER($AO$372),$B$208=1),$AO$372,HLOOKUP(INDIRECT(ADDRESS(2,COLUMN())),OFFSET($BN$2,0,0,ROW()-1,60),ROW()-1,FALSE))</f>
        <v/>
      </c>
      <c r="AP170">
        <f ca="1">IF(AND(ISNUMBER($AP$372),$B$208=1),$AP$372,HLOOKUP(INDIRECT(ADDRESS(2,COLUMN())),OFFSET($BN$2,0,0,ROW()-1,60),ROW()-1,FALSE))</f>
        <v>71620</v>
      </c>
      <c r="AQ170" t="str">
        <f ca="1">IF(AND(ISNUMBER($AQ$372),$B$208=1),$AQ$372,HLOOKUP(INDIRECT(ADDRESS(2,COLUMN())),OFFSET($BN$2,0,0,ROW()-1,60),ROW()-1,FALSE))</f>
        <v/>
      </c>
      <c r="AR170" t="str">
        <f ca="1">IF(AND(ISNUMBER($AR$372),$B$208=1),$AR$372,HLOOKUP(INDIRECT(ADDRESS(2,COLUMN())),OFFSET($BN$2,0,0,ROW()-1,60),ROW()-1,FALSE))</f>
        <v/>
      </c>
      <c r="AS170" t="str">
        <f ca="1">IF(AND(ISNUMBER($AS$372),$B$208=1),$AS$372,HLOOKUP(INDIRECT(ADDRESS(2,COLUMN())),OFFSET($BN$2,0,0,ROW()-1,60),ROW()-1,FALSE))</f>
        <v/>
      </c>
      <c r="AT170">
        <f ca="1">IF(AND(ISNUMBER($AT$372),$B$208=1),$AT$372,HLOOKUP(INDIRECT(ADDRESS(2,COLUMN())),OFFSET($BN$2,0,0,ROW()-1,60),ROW()-1,FALSE))</f>
        <v>94728</v>
      </c>
      <c r="AU170" t="str">
        <f ca="1">IF(AND(ISNUMBER($AU$372),$B$208=1),$AU$372,HLOOKUP(INDIRECT(ADDRESS(2,COLUMN())),OFFSET($BN$2,0,0,ROW()-1,60),ROW()-1,FALSE))</f>
        <v/>
      </c>
      <c r="AV170" t="str">
        <f ca="1">IF(AND(ISNUMBER($AV$372),$B$208=1),$AV$372,HLOOKUP(INDIRECT(ADDRESS(2,COLUMN())),OFFSET($BN$2,0,0,ROW()-1,60),ROW()-1,FALSE))</f>
        <v/>
      </c>
      <c r="AW170" t="str">
        <f ca="1">IF(AND(ISNUMBER($AW$372),$B$208=1),$AW$372,HLOOKUP(INDIRECT(ADDRESS(2,COLUMN())),OFFSET($BN$2,0,0,ROW()-1,60),ROW()-1,FALSE))</f>
        <v/>
      </c>
      <c r="AX170">
        <f ca="1">IF(AND(ISNUMBER($AX$372),$B$208=1),$AX$372,HLOOKUP(INDIRECT(ADDRESS(2,COLUMN())),OFFSET($BN$2,0,0,ROW()-1,60),ROW()-1,FALSE))</f>
        <v>77697</v>
      </c>
      <c r="AY170" t="str">
        <f ca="1">IF(AND(ISNUMBER($AY$372),$B$208=1),$AY$372,HLOOKUP(INDIRECT(ADDRESS(2,COLUMN())),OFFSET($BN$2,0,0,ROW()-1,60),ROW()-1,FALSE))</f>
        <v/>
      </c>
      <c r="AZ170" t="str">
        <f ca="1">IF(AND(ISNUMBER($AZ$372),$B$208=1),$AZ$372,HLOOKUP(INDIRECT(ADDRESS(2,COLUMN())),OFFSET($BN$2,0,0,ROW()-1,60),ROW()-1,FALSE))</f>
        <v/>
      </c>
      <c r="BA170" t="str">
        <f ca="1">IF(AND(ISNUMBER($BA$372),$B$208=1),$BA$372,HLOOKUP(INDIRECT(ADDRESS(2,COLUMN())),OFFSET($BN$2,0,0,ROW()-1,60),ROW()-1,FALSE))</f>
        <v/>
      </c>
      <c r="BB170">
        <f ca="1">IF(AND(ISNUMBER($BB$372),$B$208=1),$BB$372,HLOOKUP(INDIRECT(ADDRESS(2,COLUMN())),OFFSET($BN$2,0,0,ROW()-1,60),ROW()-1,FALSE))</f>
        <v>92333</v>
      </c>
      <c r="BC170" t="str">
        <f ca="1">IF(AND(ISNUMBER($BC$372),$B$208=1),$BC$372,HLOOKUP(INDIRECT(ADDRESS(2,COLUMN())),OFFSET($BN$2,0,0,ROW()-1,60),ROW()-1,FALSE))</f>
        <v/>
      </c>
      <c r="BD170" t="str">
        <f ca="1">IF(AND(ISNUMBER($BD$372),$B$208=1),$BD$372,HLOOKUP(INDIRECT(ADDRESS(2,COLUMN())),OFFSET($BN$2,0,0,ROW()-1,60),ROW()-1,FALSE))</f>
        <v/>
      </c>
      <c r="BE170" t="str">
        <f ca="1">IF(AND(ISNUMBER($BE$372),$B$208=1),$BE$372,HLOOKUP(INDIRECT(ADDRESS(2,COLUMN())),OFFSET($BN$2,0,0,ROW()-1,60),ROW()-1,FALSE))</f>
        <v/>
      </c>
      <c r="BF170">
        <f ca="1">IF(AND(ISNUMBER($BF$372),$B$208=1),$BF$372,HLOOKUP(INDIRECT(ADDRESS(2,COLUMN())),OFFSET($BN$2,0,0,ROW()-1,60),ROW()-1,FALSE))</f>
        <v>106826</v>
      </c>
      <c r="BG170" t="str">
        <f ca="1">IF(AND(ISNUMBER($BG$372),$B$208=1),$BG$372,HLOOKUP(INDIRECT(ADDRESS(2,COLUMN())),OFFSET($BN$2,0,0,ROW()-1,60),ROW()-1,FALSE))</f>
        <v/>
      </c>
      <c r="BH170" t="str">
        <f ca="1">IF(AND(ISNUMBER($BH$372),$B$208=1),$BH$372,HLOOKUP(INDIRECT(ADDRESS(2,COLUMN())),OFFSET($BN$2,0,0,ROW()-1,60),ROW()-1,FALSE))</f>
        <v/>
      </c>
      <c r="BI170" t="str">
        <f ca="1">IF(AND(ISNUMBER($BI$372),$B$208=1),$BI$372,HLOOKUP(INDIRECT(ADDRESS(2,COLUMN())),OFFSET($BN$2,0,0,ROW()-1,60),ROW()-1,FALSE))</f>
        <v/>
      </c>
      <c r="BJ170">
        <f ca="1">IF(AND(ISNUMBER($BJ$372),$B$208=1),$BJ$372,HLOOKUP(INDIRECT(ADDRESS(2,COLUMN())),OFFSET($BN$2,0,0,ROW()-1,60),ROW()-1,FALSE))</f>
        <v>102259</v>
      </c>
      <c r="BK170" t="str">
        <f ca="1">IF(AND(ISNUMBER($BK$372),$B$208=1),$BK$372,HLOOKUP(INDIRECT(ADDRESS(2,COLUMN())),OFFSET($BN$2,0,0,ROW()-1,60),ROW()-1,FALSE))</f>
        <v/>
      </c>
      <c r="BL170" t="str">
        <f ca="1">IF(AND(ISNUMBER($BL$372),$B$208=1),$BL$372,HLOOKUP(INDIRECT(ADDRESS(2,COLUMN())),OFFSET($BN$2,0,0,ROW()-1,60),ROW()-1,FALSE))</f>
        <v/>
      </c>
      <c r="BM170" t="str">
        <f ca="1">IF(AND(ISNUMBER($BM$372),$B$208=1),$BM$372,HLOOKUP(INDIRECT(ADDRESS(2,COLUMN())),OFFSET($BN$2,0,0,ROW()-1,60),ROW()-1,FALSE))</f>
        <v/>
      </c>
      <c r="BN170">
        <f>5483</f>
        <v>5483</v>
      </c>
      <c r="BO170" t="str">
        <f>""</f>
        <v/>
      </c>
      <c r="BP170" t="str">
        <f>""</f>
        <v/>
      </c>
      <c r="BQ170" t="str">
        <f>""</f>
        <v/>
      </c>
      <c r="BR170">
        <f>3375</f>
        <v>3375</v>
      </c>
      <c r="BS170" t="str">
        <f>""</f>
        <v/>
      </c>
      <c r="BT170" t="str">
        <f>""</f>
        <v/>
      </c>
      <c r="BU170" t="str">
        <f>""</f>
        <v/>
      </c>
      <c r="BV170">
        <f>4475</f>
        <v>4475</v>
      </c>
      <c r="BW170" t="str">
        <f>""</f>
        <v/>
      </c>
      <c r="BX170" t="str">
        <f>""</f>
        <v/>
      </c>
      <c r="BY170" t="str">
        <f>""</f>
        <v/>
      </c>
      <c r="BZ170">
        <f>5034</f>
        <v>5034</v>
      </c>
      <c r="CA170" t="str">
        <f>""</f>
        <v/>
      </c>
      <c r="CB170" t="str">
        <f>""</f>
        <v/>
      </c>
      <c r="CC170" t="str">
        <f>""</f>
        <v/>
      </c>
      <c r="CD170">
        <f>5771</f>
        <v>5771</v>
      </c>
      <c r="CE170" t="str">
        <f>""</f>
        <v/>
      </c>
      <c r="CF170" t="str">
        <f>""</f>
        <v/>
      </c>
      <c r="CG170" t="str">
        <f>""</f>
        <v/>
      </c>
      <c r="CH170">
        <f>5426</f>
        <v>5426</v>
      </c>
      <c r="CI170" t="str">
        <f>""</f>
        <v/>
      </c>
      <c r="CJ170" t="str">
        <f>""</f>
        <v/>
      </c>
      <c r="CK170" t="str">
        <f>""</f>
        <v/>
      </c>
      <c r="CL170">
        <f>5074</f>
        <v>5074</v>
      </c>
      <c r="CM170" t="str">
        <f>""</f>
        <v/>
      </c>
      <c r="CN170" t="str">
        <f>""</f>
        <v/>
      </c>
      <c r="CO170" t="str">
        <f>""</f>
        <v/>
      </c>
      <c r="CP170">
        <f>77000</f>
        <v>77000</v>
      </c>
      <c r="CQ170" t="str">
        <f>""</f>
        <v/>
      </c>
      <c r="CR170" t="str">
        <f>""</f>
        <v/>
      </c>
      <c r="CS170" t="str">
        <f>""</f>
        <v/>
      </c>
      <c r="CT170">
        <f>86825</f>
        <v>86825</v>
      </c>
      <c r="CU170" t="str">
        <f>""</f>
        <v/>
      </c>
      <c r="CV170" t="str">
        <f>""</f>
        <v/>
      </c>
      <c r="CW170" t="str">
        <f>""</f>
        <v/>
      </c>
      <c r="CX170">
        <f>71620</f>
        <v>71620</v>
      </c>
      <c r="CY170" t="str">
        <f>""</f>
        <v/>
      </c>
      <c r="CZ170" t="str">
        <f>""</f>
        <v/>
      </c>
      <c r="DA170" t="str">
        <f>""</f>
        <v/>
      </c>
      <c r="DB170">
        <f>94728</f>
        <v>94728</v>
      </c>
      <c r="DC170" t="str">
        <f>""</f>
        <v/>
      </c>
      <c r="DD170" t="str">
        <f>""</f>
        <v/>
      </c>
      <c r="DE170" t="str">
        <f>""</f>
        <v/>
      </c>
      <c r="DF170">
        <f>77697</f>
        <v>77697</v>
      </c>
      <c r="DG170" t="str">
        <f>""</f>
        <v/>
      </c>
      <c r="DH170" t="str">
        <f>""</f>
        <v/>
      </c>
      <c r="DI170" t="str">
        <f>""</f>
        <v/>
      </c>
      <c r="DJ170">
        <f>92333</f>
        <v>92333</v>
      </c>
      <c r="DK170" t="str">
        <f>""</f>
        <v/>
      </c>
      <c r="DL170" t="str">
        <f>""</f>
        <v/>
      </c>
      <c r="DM170" t="str">
        <f>""</f>
        <v/>
      </c>
      <c r="DN170">
        <f>106826</f>
        <v>106826</v>
      </c>
      <c r="DO170" t="str">
        <f>""</f>
        <v/>
      </c>
      <c r="DP170" t="str">
        <f>""</f>
        <v/>
      </c>
      <c r="DQ170" t="str">
        <f>""</f>
        <v/>
      </c>
      <c r="DR170">
        <f>102259</f>
        <v>102259</v>
      </c>
      <c r="DS170" t="str">
        <f>""</f>
        <v/>
      </c>
      <c r="DT170" t="str">
        <f>""</f>
        <v/>
      </c>
      <c r="DU170" t="str">
        <f>""</f>
        <v/>
      </c>
    </row>
    <row r="171" spans="1:125" x14ac:dyDescent="0.25">
      <c r="A171" t="str">
        <f>"    DNB Bank ASA"</f>
        <v xml:space="preserve">    DNB Bank ASA</v>
      </c>
      <c r="B171" t="str">
        <f>"DNB NO Equity"</f>
        <v>DNB NO Equity</v>
      </c>
      <c r="C171" t="str">
        <f t="shared" si="12"/>
        <v>BS018</v>
      </c>
      <c r="D171" t="str">
        <f t="shared" si="13"/>
        <v>BS_OTHER_LOAN</v>
      </c>
      <c r="E171" t="str">
        <f t="shared" si="14"/>
        <v>Dynamic</v>
      </c>
      <c r="F171">
        <f ca="1">IF(AND(ISNUMBER($F$373),$B$208=1),$F$373,HLOOKUP(INDIRECT(ADDRESS(2,COLUMN())),OFFSET($BN$2,0,0,ROW()-1,60),ROW()-1,FALSE))</f>
        <v>6972.5698949999996</v>
      </c>
      <c r="G171">
        <f ca="1">IF(AND(ISNUMBER($G$373),$B$208=1),$G$373,HLOOKUP(INDIRECT(ADDRESS(2,COLUMN())),OFFSET($BN$2,0,0,ROW()-1,60),ROW()-1,FALSE))</f>
        <v>-738.13635390000002</v>
      </c>
      <c r="H171">
        <f ca="1">IF(AND(ISNUMBER($H$373),$B$208=1),$H$373,HLOOKUP(INDIRECT(ADDRESS(2,COLUMN())),OFFSET($BN$2,0,0,ROW()-1,60),ROW()-1,FALSE))</f>
        <v>6728.9892360000003</v>
      </c>
      <c r="I171">
        <f ca="1">IF(AND(ISNUMBER($I$373),$B$208=1),$I$373,HLOOKUP(INDIRECT(ADDRESS(2,COLUMN())),OFFSET($BN$2,0,0,ROW()-1,60),ROW()-1,FALSE))</f>
        <v>1119.9478779999999</v>
      </c>
      <c r="J171">
        <f ca="1">IF(AND(ISNUMBER($J$373),$B$208=1),$J$373,HLOOKUP(INDIRECT(ADDRESS(2,COLUMN())),OFFSET($BN$2,0,0,ROW()-1,60),ROW()-1,FALSE))</f>
        <v>4611.6406690000003</v>
      </c>
      <c r="K171">
        <f ca="1">IF(AND(ISNUMBER($K$373),$B$208=1),$K$373,HLOOKUP(INDIRECT(ADDRESS(2,COLUMN())),OFFSET($BN$2,0,0,ROW()-1,60),ROW()-1,FALSE))</f>
        <v>872.20345569999995</v>
      </c>
      <c r="L171">
        <f ca="1">IF(AND(ISNUMBER($L$373),$B$208=1),$L$373,HLOOKUP(INDIRECT(ADDRESS(2,COLUMN())),OFFSET($BN$2,0,0,ROW()-1,60),ROW()-1,FALSE))</f>
        <v>1444.4951000000001</v>
      </c>
      <c r="M171">
        <f ca="1">IF(AND(ISNUMBER($M$373),$B$208=1),$M$373,HLOOKUP(INDIRECT(ADDRESS(2,COLUMN())),OFFSET($BN$2,0,0,ROW()-1,60),ROW()-1,FALSE))</f>
        <v>1378.2888109999999</v>
      </c>
      <c r="N171">
        <f ca="1">IF(AND(ISNUMBER($N$373),$B$208=1),$N$373,HLOOKUP(INDIRECT(ADDRESS(2,COLUMN())),OFFSET($BN$2,0,0,ROW()-1,60),ROW()-1,FALSE))</f>
        <v>5758.4482459999999</v>
      </c>
      <c r="O171">
        <f ca="1">IF(AND(ISNUMBER($O$373),$B$208=1),$O$373,HLOOKUP(INDIRECT(ADDRESS(2,COLUMN())),OFFSET($BN$2,0,0,ROW()-1,60),ROW()-1,FALSE))</f>
        <v>7500.4662950000002</v>
      </c>
      <c r="P171">
        <f ca="1">IF(AND(ISNUMBER($P$373),$B$208=1),$P$373,HLOOKUP(INDIRECT(ADDRESS(2,COLUMN())),OFFSET($BN$2,0,0,ROW()-1,60),ROW()-1,FALSE))</f>
        <v>573.83272290000002</v>
      </c>
      <c r="Q171">
        <f ca="1">IF(AND(ISNUMBER($Q$373),$B$208=1),$Q$373,HLOOKUP(INDIRECT(ADDRESS(2,COLUMN())),OFFSET($BN$2,0,0,ROW()-1,60),ROW()-1,FALSE))</f>
        <v>2411.0955469999999</v>
      </c>
      <c r="R171">
        <f ca="1">IF(AND(ISNUMBER($R$373),$B$208=1),$R$373,HLOOKUP(INDIRECT(ADDRESS(2,COLUMN())),OFFSET($BN$2,0,0,ROW()-1,60),ROW()-1,FALSE))</f>
        <v>111.8957023</v>
      </c>
      <c r="S171">
        <f ca="1">IF(AND(ISNUMBER($S$373),$B$208=1),$S$373,HLOOKUP(INDIRECT(ADDRESS(2,COLUMN())),OFFSET($BN$2,0,0,ROW()-1,60),ROW()-1,FALSE))</f>
        <v>747.74857350000002</v>
      </c>
      <c r="T171">
        <f ca="1">IF(AND(ISNUMBER($T$373),$B$208=1),$T$373,HLOOKUP(INDIRECT(ADDRESS(2,COLUMN())),OFFSET($BN$2,0,0,ROW()-1,60),ROW()-1,FALSE))</f>
        <v>1198.314431</v>
      </c>
      <c r="U171">
        <f ca="1">IF(AND(ISNUMBER($U$373),$B$208=1),$U$373,HLOOKUP(INDIRECT(ADDRESS(2,COLUMN())),OFFSET($BN$2,0,0,ROW()-1,60),ROW()-1,FALSE))</f>
        <v>947.60071500000004</v>
      </c>
      <c r="V171">
        <f ca="1">IF(AND(ISNUMBER($V$373),$B$208=1),$V$373,HLOOKUP(INDIRECT(ADDRESS(2,COLUMN())),OFFSET($BN$2,0,0,ROW()-1,60),ROW()-1,FALSE))</f>
        <v>1235.5771729999999</v>
      </c>
      <c r="W171">
        <f ca="1">IF(AND(ISNUMBER($W$373),$B$208=1),$W$373,HLOOKUP(INDIRECT(ADDRESS(2,COLUMN())),OFFSET($BN$2,0,0,ROW()-1,60),ROW()-1,FALSE))</f>
        <v>2445.5373020000002</v>
      </c>
      <c r="X171">
        <f ca="1">IF(AND(ISNUMBER($X$373),$B$208=1),$X$373,HLOOKUP(INDIRECT(ADDRESS(2,COLUMN())),OFFSET($BN$2,0,0,ROW()-1,60),ROW()-1,FALSE))</f>
        <v>2000.5693510000001</v>
      </c>
      <c r="Y171">
        <f ca="1">IF(AND(ISNUMBER($Y$373),$B$208=1),$Y$373,HLOOKUP(INDIRECT(ADDRESS(2,COLUMN())),OFFSET($BN$2,0,0,ROW()-1,60),ROW()-1,FALSE))</f>
        <v>1202.0474099999999</v>
      </c>
      <c r="Z171">
        <f ca="1">IF(AND(ISNUMBER($Z$373),$B$208=1),$Z$373,HLOOKUP(INDIRECT(ADDRESS(2,COLUMN())),OFFSET($BN$2,0,0,ROW()-1,60),ROW()-1,FALSE))</f>
        <v>8649.8232339999995</v>
      </c>
      <c r="AA171">
        <f ca="1">IF(AND(ISNUMBER($AA$373),$B$208=1),$AA$373,HLOOKUP(INDIRECT(ADDRESS(2,COLUMN())),OFFSET($BN$2,0,0,ROW()-1,60),ROW()-1,FALSE))</f>
        <v>8533.0806190000003</v>
      </c>
      <c r="AB171">
        <f ca="1">IF(AND(ISNUMBER($AB$373),$B$208=1),$AB$373,HLOOKUP(INDIRECT(ADDRESS(2,COLUMN())),OFFSET($BN$2,0,0,ROW()-1,60),ROW()-1,FALSE))</f>
        <v>2850.6436870000002</v>
      </c>
      <c r="AC171">
        <f ca="1">IF(AND(ISNUMBER($AC$373),$B$208=1),$AC$373,HLOOKUP(INDIRECT(ADDRESS(2,COLUMN())),OFFSET($BN$2,0,0,ROW()-1,60),ROW()-1,FALSE))</f>
        <v>2678.7708469999998</v>
      </c>
      <c r="AD171">
        <f ca="1">IF(AND(ISNUMBER($AD$373),$B$208=1),$AD$373,HLOOKUP(INDIRECT(ADDRESS(2,COLUMN())),OFFSET($BN$2,0,0,ROW()-1,60),ROW()-1,FALSE))</f>
        <v>8558.4646969999994</v>
      </c>
      <c r="AE171">
        <f ca="1">IF(AND(ISNUMBER($AE$373),$B$208=1),$AE$373,HLOOKUP(INDIRECT(ADDRESS(2,COLUMN())),OFFSET($BN$2,0,0,ROW()-1,60),ROW()-1,FALSE))</f>
        <v>15341.685310000001</v>
      </c>
      <c r="AF171">
        <f ca="1">IF(AND(ISNUMBER($AF$373),$B$208=1),$AF$373,HLOOKUP(INDIRECT(ADDRESS(2,COLUMN())),OFFSET($BN$2,0,0,ROW()-1,60),ROW()-1,FALSE))</f>
        <v>8066.0725460000003</v>
      </c>
      <c r="AG171">
        <f ca="1">IF(AND(ISNUMBER($AG$373),$B$208=1),$AG$373,HLOOKUP(INDIRECT(ADDRESS(2,COLUMN())),OFFSET($BN$2,0,0,ROW()-1,60),ROW()-1,FALSE))</f>
        <v>11118.647370000001</v>
      </c>
      <c r="AH171">
        <f ca="1">IF(AND(ISNUMBER($AH$373),$B$208=1),$AH$373,HLOOKUP(INDIRECT(ADDRESS(2,COLUMN())),OFFSET($BN$2,0,0,ROW()-1,60),ROW()-1,FALSE))</f>
        <v>4711.7212890000001</v>
      </c>
      <c r="AI171" t="str">
        <f ca="1">IF(AND(ISNUMBER($AI$373),$B$208=1),$AI$373,HLOOKUP(INDIRECT(ADDRESS(2,COLUMN())),OFFSET($BN$2,0,0,ROW()-1,60),ROW()-1,FALSE))</f>
        <v/>
      </c>
      <c r="AJ171" t="str">
        <f ca="1">IF(AND(ISNUMBER($AJ$373),$B$208=1),$AJ$373,HLOOKUP(INDIRECT(ADDRESS(2,COLUMN())),OFFSET($BN$2,0,0,ROW()-1,60),ROW()-1,FALSE))</f>
        <v/>
      </c>
      <c r="AK171" t="str">
        <f ca="1">IF(AND(ISNUMBER($AK$373),$B$208=1),$AK$373,HLOOKUP(INDIRECT(ADDRESS(2,COLUMN())),OFFSET($BN$2,0,0,ROW()-1,60),ROW()-1,FALSE))</f>
        <v/>
      </c>
      <c r="AL171">
        <f ca="1">IF(AND(ISNUMBER($AL$373),$B$208=1),$AL$373,HLOOKUP(INDIRECT(ADDRESS(2,COLUMN())),OFFSET($BN$2,0,0,ROW()-1,60),ROW()-1,FALSE))</f>
        <v>4392.6198210000002</v>
      </c>
      <c r="AM171" t="str">
        <f ca="1">IF(AND(ISNUMBER($AM$373),$B$208=1),$AM$373,HLOOKUP(INDIRECT(ADDRESS(2,COLUMN())),OFFSET($BN$2,0,0,ROW()-1,60),ROW()-1,FALSE))</f>
        <v/>
      </c>
      <c r="AN171" t="str">
        <f ca="1">IF(AND(ISNUMBER($AN$373),$B$208=1),$AN$373,HLOOKUP(INDIRECT(ADDRESS(2,COLUMN())),OFFSET($BN$2,0,0,ROW()-1,60),ROW()-1,FALSE))</f>
        <v/>
      </c>
      <c r="AO171" t="str">
        <f ca="1">IF(AND(ISNUMBER($AO$373),$B$208=1),$AO$373,HLOOKUP(INDIRECT(ADDRESS(2,COLUMN())),OFFSET($BN$2,0,0,ROW()-1,60),ROW()-1,FALSE))</f>
        <v/>
      </c>
      <c r="AP171">
        <f ca="1">IF(AND(ISNUMBER($AP$373),$B$208=1),$AP$373,HLOOKUP(INDIRECT(ADDRESS(2,COLUMN())),OFFSET($BN$2,0,0,ROW()-1,60),ROW()-1,FALSE))</f>
        <v>3100.7990589999999</v>
      </c>
      <c r="AQ171" t="str">
        <f ca="1">IF(AND(ISNUMBER($AQ$373),$B$208=1),$AQ$373,HLOOKUP(INDIRECT(ADDRESS(2,COLUMN())),OFFSET($BN$2,0,0,ROW()-1,60),ROW()-1,FALSE))</f>
        <v/>
      </c>
      <c r="AR171" t="str">
        <f ca="1">IF(AND(ISNUMBER($AR$373),$B$208=1),$AR$373,HLOOKUP(INDIRECT(ADDRESS(2,COLUMN())),OFFSET($BN$2,0,0,ROW()-1,60),ROW()-1,FALSE))</f>
        <v/>
      </c>
      <c r="AS171" t="str">
        <f ca="1">IF(AND(ISNUMBER($AS$373),$B$208=1),$AS$373,HLOOKUP(INDIRECT(ADDRESS(2,COLUMN())),OFFSET($BN$2,0,0,ROW()-1,60),ROW()-1,FALSE))</f>
        <v/>
      </c>
      <c r="AT171">
        <f ca="1">IF(AND(ISNUMBER($AT$373),$B$208=1),$AT$373,HLOOKUP(INDIRECT(ADDRESS(2,COLUMN())),OFFSET($BN$2,0,0,ROW()-1,60),ROW()-1,FALSE))</f>
        <v>2661.30249</v>
      </c>
      <c r="AU171" t="str">
        <f ca="1">IF(AND(ISNUMBER($AU$373),$B$208=1),$AU$373,HLOOKUP(INDIRECT(ADDRESS(2,COLUMN())),OFFSET($BN$2,0,0,ROW()-1,60),ROW()-1,FALSE))</f>
        <v/>
      </c>
      <c r="AV171" t="str">
        <f ca="1">IF(AND(ISNUMBER($AV$373),$B$208=1),$AV$373,HLOOKUP(INDIRECT(ADDRESS(2,COLUMN())),OFFSET($BN$2,0,0,ROW()-1,60),ROW()-1,FALSE))</f>
        <v/>
      </c>
      <c r="AW171" t="str">
        <f ca="1">IF(AND(ISNUMBER($AW$373),$B$208=1),$AW$373,HLOOKUP(INDIRECT(ADDRESS(2,COLUMN())),OFFSET($BN$2,0,0,ROW()-1,60),ROW()-1,FALSE))</f>
        <v/>
      </c>
      <c r="AX171" t="str">
        <f ca="1">IF(AND(ISNUMBER($AX$373),$B$208=1),$AX$373,HLOOKUP(INDIRECT(ADDRESS(2,COLUMN())),OFFSET($BN$2,0,0,ROW()-1,60),ROW()-1,FALSE))</f>
        <v/>
      </c>
      <c r="AY171" t="str">
        <f ca="1">IF(AND(ISNUMBER($AY$373),$B$208=1),$AY$373,HLOOKUP(INDIRECT(ADDRESS(2,COLUMN())),OFFSET($BN$2,0,0,ROW()-1,60),ROW()-1,FALSE))</f>
        <v/>
      </c>
      <c r="AZ171" t="str">
        <f ca="1">IF(AND(ISNUMBER($AZ$373),$B$208=1),$AZ$373,HLOOKUP(INDIRECT(ADDRESS(2,COLUMN())),OFFSET($BN$2,0,0,ROW()-1,60),ROW()-1,FALSE))</f>
        <v/>
      </c>
      <c r="BA171" t="str">
        <f ca="1">IF(AND(ISNUMBER($BA$373),$B$208=1),$BA$373,HLOOKUP(INDIRECT(ADDRESS(2,COLUMN())),OFFSET($BN$2,0,0,ROW()-1,60),ROW()-1,FALSE))</f>
        <v/>
      </c>
      <c r="BB171" t="str">
        <f ca="1">IF(AND(ISNUMBER($BB$373),$B$208=1),$BB$373,HLOOKUP(INDIRECT(ADDRESS(2,COLUMN())),OFFSET($BN$2,0,0,ROW()-1,60),ROW()-1,FALSE))</f>
        <v/>
      </c>
      <c r="BC171" t="str">
        <f ca="1">IF(AND(ISNUMBER($BC$373),$B$208=1),$BC$373,HLOOKUP(INDIRECT(ADDRESS(2,COLUMN())),OFFSET($BN$2,0,0,ROW()-1,60),ROW()-1,FALSE))</f>
        <v/>
      </c>
      <c r="BD171" t="str">
        <f ca="1">IF(AND(ISNUMBER($BD$373),$B$208=1),$BD$373,HLOOKUP(INDIRECT(ADDRESS(2,COLUMN())),OFFSET($BN$2,0,0,ROW()-1,60),ROW()-1,FALSE))</f>
        <v/>
      </c>
      <c r="BE171" t="str">
        <f ca="1">IF(AND(ISNUMBER($BE$373),$B$208=1),$BE$373,HLOOKUP(INDIRECT(ADDRESS(2,COLUMN())),OFFSET($BN$2,0,0,ROW()-1,60),ROW()-1,FALSE))</f>
        <v/>
      </c>
      <c r="BF171" t="str">
        <f ca="1">IF(AND(ISNUMBER($BF$373),$B$208=1),$BF$373,HLOOKUP(INDIRECT(ADDRESS(2,COLUMN())),OFFSET($BN$2,0,0,ROW()-1,60),ROW()-1,FALSE))</f>
        <v/>
      </c>
      <c r="BG171" t="str">
        <f ca="1">IF(AND(ISNUMBER($BG$373),$B$208=1),$BG$373,HLOOKUP(INDIRECT(ADDRESS(2,COLUMN())),OFFSET($BN$2,0,0,ROW()-1,60),ROW()-1,FALSE))</f>
        <v/>
      </c>
      <c r="BH171" t="str">
        <f ca="1">IF(AND(ISNUMBER($BH$373),$B$208=1),$BH$373,HLOOKUP(INDIRECT(ADDRESS(2,COLUMN())),OFFSET($BN$2,0,0,ROW()-1,60),ROW()-1,FALSE))</f>
        <v/>
      </c>
      <c r="BI171" t="str">
        <f ca="1">IF(AND(ISNUMBER($BI$373),$B$208=1),$BI$373,HLOOKUP(INDIRECT(ADDRESS(2,COLUMN())),OFFSET($BN$2,0,0,ROW()-1,60),ROW()-1,FALSE))</f>
        <v/>
      </c>
      <c r="BJ171" t="str">
        <f ca="1">IF(AND(ISNUMBER($BJ$373),$B$208=1),$BJ$373,HLOOKUP(INDIRECT(ADDRESS(2,COLUMN())),OFFSET($BN$2,0,0,ROW()-1,60),ROW()-1,FALSE))</f>
        <v/>
      </c>
      <c r="BK171" t="str">
        <f ca="1">IF(AND(ISNUMBER($BK$373),$B$208=1),$BK$373,HLOOKUP(INDIRECT(ADDRESS(2,COLUMN())),OFFSET($BN$2,0,0,ROW()-1,60),ROW()-1,FALSE))</f>
        <v/>
      </c>
      <c r="BL171" t="str">
        <f ca="1">IF(AND(ISNUMBER($BL$373),$B$208=1),$BL$373,HLOOKUP(INDIRECT(ADDRESS(2,COLUMN())),OFFSET($BN$2,0,0,ROW()-1,60),ROW()-1,FALSE))</f>
        <v/>
      </c>
      <c r="BM171" t="str">
        <f ca="1">IF(AND(ISNUMBER($BM$373),$B$208=1),$BM$373,HLOOKUP(INDIRECT(ADDRESS(2,COLUMN())),OFFSET($BN$2,0,0,ROW()-1,60),ROW()-1,FALSE))</f>
        <v/>
      </c>
      <c r="BN171">
        <f>6972.569895</f>
        <v>6972.5698949999996</v>
      </c>
      <c r="BO171">
        <f>-738.1363539</f>
        <v>-738.13635390000002</v>
      </c>
      <c r="BP171">
        <f>6728.989236</f>
        <v>6728.9892360000003</v>
      </c>
      <c r="BQ171">
        <f>1119.947878</f>
        <v>1119.9478779999999</v>
      </c>
      <c r="BR171">
        <f>4611.640669</f>
        <v>4611.6406690000003</v>
      </c>
      <c r="BS171">
        <f>872.2034557</f>
        <v>872.20345569999995</v>
      </c>
      <c r="BT171">
        <f>1444.4951</f>
        <v>1444.4951000000001</v>
      </c>
      <c r="BU171">
        <f>1378.288811</f>
        <v>1378.2888109999999</v>
      </c>
      <c r="BV171">
        <f>5758.448246</f>
        <v>5758.4482459999999</v>
      </c>
      <c r="BW171">
        <f>7500.466295</f>
        <v>7500.4662950000002</v>
      </c>
      <c r="BX171">
        <f>573.8327229</f>
        <v>573.83272290000002</v>
      </c>
      <c r="BY171">
        <f>2411.095547</f>
        <v>2411.0955469999999</v>
      </c>
      <c r="BZ171">
        <f>111.8957023</f>
        <v>111.8957023</v>
      </c>
      <c r="CA171">
        <f>747.7485735</f>
        <v>747.74857350000002</v>
      </c>
      <c r="CB171">
        <f>1198.314431</f>
        <v>1198.314431</v>
      </c>
      <c r="CC171">
        <f>947.600715</f>
        <v>947.60071500000004</v>
      </c>
      <c r="CD171">
        <f>1235.577173</f>
        <v>1235.5771729999999</v>
      </c>
      <c r="CE171">
        <f>2445.537302</f>
        <v>2445.5373020000002</v>
      </c>
      <c r="CF171">
        <f>2000.569351</f>
        <v>2000.5693510000001</v>
      </c>
      <c r="CG171">
        <f>1202.04741</f>
        <v>1202.0474099999999</v>
      </c>
      <c r="CH171">
        <f>8649.823234</f>
        <v>8649.8232339999995</v>
      </c>
      <c r="CI171">
        <f>8533.080619</f>
        <v>8533.0806190000003</v>
      </c>
      <c r="CJ171">
        <f>2850.643687</f>
        <v>2850.6436870000002</v>
      </c>
      <c r="CK171">
        <f>2678.770847</f>
        <v>2678.7708469999998</v>
      </c>
      <c r="CL171">
        <f>8558.464697</f>
        <v>8558.4646969999994</v>
      </c>
      <c r="CM171">
        <f>15341.68531</f>
        <v>15341.685310000001</v>
      </c>
      <c r="CN171">
        <f>8066.072546</f>
        <v>8066.0725460000003</v>
      </c>
      <c r="CO171">
        <f>11118.64737</f>
        <v>11118.647370000001</v>
      </c>
      <c r="CP171">
        <f>4711.721289</f>
        <v>4711.7212890000001</v>
      </c>
      <c r="CQ171" t="str">
        <f>""</f>
        <v/>
      </c>
      <c r="CR171" t="str">
        <f>""</f>
        <v/>
      </c>
      <c r="CS171" t="str">
        <f>""</f>
        <v/>
      </c>
      <c r="CT171">
        <f>4392.619821</f>
        <v>4392.6198210000002</v>
      </c>
      <c r="CU171" t="str">
        <f>""</f>
        <v/>
      </c>
      <c r="CV171" t="str">
        <f>""</f>
        <v/>
      </c>
      <c r="CW171" t="str">
        <f>""</f>
        <v/>
      </c>
      <c r="CX171">
        <f>3100.799059</f>
        <v>3100.7990589999999</v>
      </c>
      <c r="CY171" t="str">
        <f>""</f>
        <v/>
      </c>
      <c r="CZ171" t="str">
        <f>""</f>
        <v/>
      </c>
      <c r="DA171" t="str">
        <f>""</f>
        <v/>
      </c>
      <c r="DB171">
        <f>2661.30249</f>
        <v>2661.30249</v>
      </c>
      <c r="DC171" t="str">
        <f>""</f>
        <v/>
      </c>
      <c r="DD171" t="str">
        <f>""</f>
        <v/>
      </c>
      <c r="DE171" t="str">
        <f>""</f>
        <v/>
      </c>
      <c r="DF171" t="str">
        <f>""</f>
        <v/>
      </c>
      <c r="DG171" t="str">
        <f>""</f>
        <v/>
      </c>
      <c r="DH171" t="str">
        <f>""</f>
        <v/>
      </c>
      <c r="DI171" t="str">
        <f>""</f>
        <v/>
      </c>
      <c r="DJ171" t="str">
        <f>""</f>
        <v/>
      </c>
      <c r="DK171" t="str">
        <f>""</f>
        <v/>
      </c>
      <c r="DL171" t="str">
        <f>""</f>
        <v/>
      </c>
      <c r="DM171" t="str">
        <f>""</f>
        <v/>
      </c>
      <c r="DN171" t="str">
        <f>""</f>
        <v/>
      </c>
      <c r="DO171" t="str">
        <f>""</f>
        <v/>
      </c>
      <c r="DP171" t="str">
        <f>""</f>
        <v/>
      </c>
      <c r="DQ171" t="str">
        <f>""</f>
        <v/>
      </c>
      <c r="DR171" t="str">
        <f>""</f>
        <v/>
      </c>
      <c r="DS171" t="str">
        <f>""</f>
        <v/>
      </c>
      <c r="DT171" t="str">
        <f>""</f>
        <v/>
      </c>
      <c r="DU171" t="str">
        <f>""</f>
        <v/>
      </c>
    </row>
    <row r="172" spans="1:125" x14ac:dyDescent="0.25">
      <c r="A172" t="str">
        <f>"    Danske Bank A/S"</f>
        <v xml:space="preserve">    Danske Bank A/S</v>
      </c>
      <c r="B172" t="str">
        <f>"DANSKE DC Equity"</f>
        <v>DANSKE DC Equity</v>
      </c>
      <c r="C172" t="str">
        <f t="shared" si="12"/>
        <v>BS018</v>
      </c>
      <c r="D172" t="str">
        <f t="shared" si="13"/>
        <v>BS_OTHER_LOAN</v>
      </c>
      <c r="E172" t="str">
        <f t="shared" si="14"/>
        <v>Dynamic</v>
      </c>
      <c r="F172" t="str">
        <f ca="1">IF(AND(ISNUMBER($F$374),$B$208=1),$F$374,HLOOKUP(INDIRECT(ADDRESS(2,COLUMN())),OFFSET($BN$2,0,0,ROW()-1,60),ROW()-1,FALSE))</f>
        <v/>
      </c>
      <c r="G172" t="str">
        <f ca="1">IF(AND(ISNUMBER($G$374),$B$208=1),$G$374,HLOOKUP(INDIRECT(ADDRESS(2,COLUMN())),OFFSET($BN$2,0,0,ROW()-1,60),ROW()-1,FALSE))</f>
        <v/>
      </c>
      <c r="H172" t="str">
        <f ca="1">IF(AND(ISNUMBER($H$374),$B$208=1),$H$374,HLOOKUP(INDIRECT(ADDRESS(2,COLUMN())),OFFSET($BN$2,0,0,ROW()-1,60),ROW()-1,FALSE))</f>
        <v/>
      </c>
      <c r="I172" t="str">
        <f ca="1">IF(AND(ISNUMBER($I$374),$B$208=1),$I$374,HLOOKUP(INDIRECT(ADDRESS(2,COLUMN())),OFFSET($BN$2,0,0,ROW()-1,60),ROW()-1,FALSE))</f>
        <v/>
      </c>
      <c r="J172" t="str">
        <f ca="1">IF(AND(ISNUMBER($J$374),$B$208=1),$J$374,HLOOKUP(INDIRECT(ADDRESS(2,COLUMN())),OFFSET($BN$2,0,0,ROW()-1,60),ROW()-1,FALSE))</f>
        <v/>
      </c>
      <c r="K172" t="str">
        <f ca="1">IF(AND(ISNUMBER($K$374),$B$208=1),$K$374,HLOOKUP(INDIRECT(ADDRESS(2,COLUMN())),OFFSET($BN$2,0,0,ROW()-1,60),ROW()-1,FALSE))</f>
        <v/>
      </c>
      <c r="L172" t="str">
        <f ca="1">IF(AND(ISNUMBER($L$374),$B$208=1),$L$374,HLOOKUP(INDIRECT(ADDRESS(2,COLUMN())),OFFSET($BN$2,0,0,ROW()-1,60),ROW()-1,FALSE))</f>
        <v/>
      </c>
      <c r="M172" t="str">
        <f ca="1">IF(AND(ISNUMBER($M$374),$B$208=1),$M$374,HLOOKUP(INDIRECT(ADDRESS(2,COLUMN())),OFFSET($BN$2,0,0,ROW()-1,60),ROW()-1,FALSE))</f>
        <v/>
      </c>
      <c r="N172" t="str">
        <f ca="1">IF(AND(ISNUMBER($N$374),$B$208=1),$N$374,HLOOKUP(INDIRECT(ADDRESS(2,COLUMN())),OFFSET($BN$2,0,0,ROW()-1,60),ROW()-1,FALSE))</f>
        <v/>
      </c>
      <c r="O172" t="str">
        <f ca="1">IF(AND(ISNUMBER($O$374),$B$208=1),$O$374,HLOOKUP(INDIRECT(ADDRESS(2,COLUMN())),OFFSET($BN$2,0,0,ROW()-1,60),ROW()-1,FALSE))</f>
        <v/>
      </c>
      <c r="P172" t="str">
        <f ca="1">IF(AND(ISNUMBER($P$374),$B$208=1),$P$374,HLOOKUP(INDIRECT(ADDRESS(2,COLUMN())),OFFSET($BN$2,0,0,ROW()-1,60),ROW()-1,FALSE))</f>
        <v/>
      </c>
      <c r="Q172" t="str">
        <f ca="1">IF(AND(ISNUMBER($Q$374),$B$208=1),$Q$374,HLOOKUP(INDIRECT(ADDRESS(2,COLUMN())),OFFSET($BN$2,0,0,ROW()-1,60),ROW()-1,FALSE))</f>
        <v/>
      </c>
      <c r="R172" t="str">
        <f ca="1">IF(AND(ISNUMBER($R$374),$B$208=1),$R$374,HLOOKUP(INDIRECT(ADDRESS(2,COLUMN())),OFFSET($BN$2,0,0,ROW()-1,60),ROW()-1,FALSE))</f>
        <v/>
      </c>
      <c r="S172" t="str">
        <f ca="1">IF(AND(ISNUMBER($S$374),$B$208=1),$S$374,HLOOKUP(INDIRECT(ADDRESS(2,COLUMN())),OFFSET($BN$2,0,0,ROW()-1,60),ROW()-1,FALSE))</f>
        <v/>
      </c>
      <c r="T172" t="str">
        <f ca="1">IF(AND(ISNUMBER($T$374),$B$208=1),$T$374,HLOOKUP(INDIRECT(ADDRESS(2,COLUMN())),OFFSET($BN$2,0,0,ROW()-1,60),ROW()-1,FALSE))</f>
        <v/>
      </c>
      <c r="U172" t="str">
        <f ca="1">IF(AND(ISNUMBER($U$374),$B$208=1),$U$374,HLOOKUP(INDIRECT(ADDRESS(2,COLUMN())),OFFSET($BN$2,0,0,ROW()-1,60),ROW()-1,FALSE))</f>
        <v/>
      </c>
      <c r="V172" t="str">
        <f ca="1">IF(AND(ISNUMBER($V$374),$B$208=1),$V$374,HLOOKUP(INDIRECT(ADDRESS(2,COLUMN())),OFFSET($BN$2,0,0,ROW()-1,60),ROW()-1,FALSE))</f>
        <v/>
      </c>
      <c r="W172" t="str">
        <f ca="1">IF(AND(ISNUMBER($W$374),$B$208=1),$W$374,HLOOKUP(INDIRECT(ADDRESS(2,COLUMN())),OFFSET($BN$2,0,0,ROW()-1,60),ROW()-1,FALSE))</f>
        <v/>
      </c>
      <c r="X172" t="str">
        <f ca="1">IF(AND(ISNUMBER($X$374),$B$208=1),$X$374,HLOOKUP(INDIRECT(ADDRESS(2,COLUMN())),OFFSET($BN$2,0,0,ROW()-1,60),ROW()-1,FALSE))</f>
        <v/>
      </c>
      <c r="Y172" t="str">
        <f ca="1">IF(AND(ISNUMBER($Y$374),$B$208=1),$Y$374,HLOOKUP(INDIRECT(ADDRESS(2,COLUMN())),OFFSET($BN$2,0,0,ROW()-1,60),ROW()-1,FALSE))</f>
        <v/>
      </c>
      <c r="Z172" t="str">
        <f ca="1">IF(AND(ISNUMBER($Z$374),$B$208=1),$Z$374,HLOOKUP(INDIRECT(ADDRESS(2,COLUMN())),OFFSET($BN$2,0,0,ROW()-1,60),ROW()-1,FALSE))</f>
        <v/>
      </c>
      <c r="AA172" t="str">
        <f ca="1">IF(AND(ISNUMBER($AA$374),$B$208=1),$AA$374,HLOOKUP(INDIRECT(ADDRESS(2,COLUMN())),OFFSET($BN$2,0,0,ROW()-1,60),ROW()-1,FALSE))</f>
        <v/>
      </c>
      <c r="AB172" t="str">
        <f ca="1">IF(AND(ISNUMBER($AB$374),$B$208=1),$AB$374,HLOOKUP(INDIRECT(ADDRESS(2,COLUMN())),OFFSET($BN$2,0,0,ROW()-1,60),ROW()-1,FALSE))</f>
        <v/>
      </c>
      <c r="AC172" t="str">
        <f ca="1">IF(AND(ISNUMBER($AC$374),$B$208=1),$AC$374,HLOOKUP(INDIRECT(ADDRESS(2,COLUMN())),OFFSET($BN$2,0,0,ROW()-1,60),ROW()-1,FALSE))</f>
        <v/>
      </c>
      <c r="AD172" t="str">
        <f ca="1">IF(AND(ISNUMBER($AD$374),$B$208=1),$AD$374,HLOOKUP(INDIRECT(ADDRESS(2,COLUMN())),OFFSET($BN$2,0,0,ROW()-1,60),ROW()-1,FALSE))</f>
        <v/>
      </c>
      <c r="AE172" t="str">
        <f ca="1">IF(AND(ISNUMBER($AE$374),$B$208=1),$AE$374,HLOOKUP(INDIRECT(ADDRESS(2,COLUMN())),OFFSET($BN$2,0,0,ROW()-1,60),ROW()-1,FALSE))</f>
        <v/>
      </c>
      <c r="AF172" t="str">
        <f ca="1">IF(AND(ISNUMBER($AF$374),$B$208=1),$AF$374,HLOOKUP(INDIRECT(ADDRESS(2,COLUMN())),OFFSET($BN$2,0,0,ROW()-1,60),ROW()-1,FALSE))</f>
        <v/>
      </c>
      <c r="AG172" t="str">
        <f ca="1">IF(AND(ISNUMBER($AG$374),$B$208=1),$AG$374,HLOOKUP(INDIRECT(ADDRESS(2,COLUMN())),OFFSET($BN$2,0,0,ROW()-1,60),ROW()-1,FALSE))</f>
        <v/>
      </c>
      <c r="AH172" t="str">
        <f ca="1">IF(AND(ISNUMBER($AH$374),$B$208=1),$AH$374,HLOOKUP(INDIRECT(ADDRESS(2,COLUMN())),OFFSET($BN$2,0,0,ROW()-1,60),ROW()-1,FALSE))</f>
        <v/>
      </c>
      <c r="AI172" t="str">
        <f ca="1">IF(AND(ISNUMBER($AI$374),$B$208=1),$AI$374,HLOOKUP(INDIRECT(ADDRESS(2,COLUMN())),OFFSET($BN$2,0,0,ROW()-1,60),ROW()-1,FALSE))</f>
        <v/>
      </c>
      <c r="AJ172" t="str">
        <f ca="1">IF(AND(ISNUMBER($AJ$374),$B$208=1),$AJ$374,HLOOKUP(INDIRECT(ADDRESS(2,COLUMN())),OFFSET($BN$2,0,0,ROW()-1,60),ROW()-1,FALSE))</f>
        <v/>
      </c>
      <c r="AK172" t="str">
        <f ca="1">IF(AND(ISNUMBER($AK$374),$B$208=1),$AK$374,HLOOKUP(INDIRECT(ADDRESS(2,COLUMN())),OFFSET($BN$2,0,0,ROW()-1,60),ROW()-1,FALSE))</f>
        <v/>
      </c>
      <c r="AL172" t="str">
        <f ca="1">IF(AND(ISNUMBER($AL$374),$B$208=1),$AL$374,HLOOKUP(INDIRECT(ADDRESS(2,COLUMN())),OFFSET($BN$2,0,0,ROW()-1,60),ROW()-1,FALSE))</f>
        <v/>
      </c>
      <c r="AM172" t="str">
        <f ca="1">IF(AND(ISNUMBER($AM$374),$B$208=1),$AM$374,HLOOKUP(INDIRECT(ADDRESS(2,COLUMN())),OFFSET($BN$2,0,0,ROW()-1,60),ROW()-1,FALSE))</f>
        <v/>
      </c>
      <c r="AN172" t="str">
        <f ca="1">IF(AND(ISNUMBER($AN$374),$B$208=1),$AN$374,HLOOKUP(INDIRECT(ADDRESS(2,COLUMN())),OFFSET($BN$2,0,0,ROW()-1,60),ROW()-1,FALSE))</f>
        <v/>
      </c>
      <c r="AO172" t="str">
        <f ca="1">IF(AND(ISNUMBER($AO$374),$B$208=1),$AO$374,HLOOKUP(INDIRECT(ADDRESS(2,COLUMN())),OFFSET($BN$2,0,0,ROW()-1,60),ROW()-1,FALSE))</f>
        <v/>
      </c>
      <c r="AP172" t="str">
        <f ca="1">IF(AND(ISNUMBER($AP$374),$B$208=1),$AP$374,HLOOKUP(INDIRECT(ADDRESS(2,COLUMN())),OFFSET($BN$2,0,0,ROW()-1,60),ROW()-1,FALSE))</f>
        <v/>
      </c>
      <c r="AQ172" t="str">
        <f ca="1">IF(AND(ISNUMBER($AQ$374),$B$208=1),$AQ$374,HLOOKUP(INDIRECT(ADDRESS(2,COLUMN())),OFFSET($BN$2,0,0,ROW()-1,60),ROW()-1,FALSE))</f>
        <v/>
      </c>
      <c r="AR172" t="str">
        <f ca="1">IF(AND(ISNUMBER($AR$374),$B$208=1),$AR$374,HLOOKUP(INDIRECT(ADDRESS(2,COLUMN())),OFFSET($BN$2,0,0,ROW()-1,60),ROW()-1,FALSE))</f>
        <v/>
      </c>
      <c r="AS172" t="str">
        <f ca="1">IF(AND(ISNUMBER($AS$374),$B$208=1),$AS$374,HLOOKUP(INDIRECT(ADDRESS(2,COLUMN())),OFFSET($BN$2,0,0,ROW()-1,60),ROW()-1,FALSE))</f>
        <v/>
      </c>
      <c r="AT172" t="str">
        <f ca="1">IF(AND(ISNUMBER($AT$374),$B$208=1),$AT$374,HLOOKUP(INDIRECT(ADDRESS(2,COLUMN())),OFFSET($BN$2,0,0,ROW()-1,60),ROW()-1,FALSE))</f>
        <v/>
      </c>
      <c r="AU172" t="str">
        <f ca="1">IF(AND(ISNUMBER($AU$374),$B$208=1),$AU$374,HLOOKUP(INDIRECT(ADDRESS(2,COLUMN())),OFFSET($BN$2,0,0,ROW()-1,60),ROW()-1,FALSE))</f>
        <v/>
      </c>
      <c r="AV172" t="str">
        <f ca="1">IF(AND(ISNUMBER($AV$374),$B$208=1),$AV$374,HLOOKUP(INDIRECT(ADDRESS(2,COLUMN())),OFFSET($BN$2,0,0,ROW()-1,60),ROW()-1,FALSE))</f>
        <v/>
      </c>
      <c r="AW172" t="str">
        <f ca="1">IF(AND(ISNUMBER($AW$374),$B$208=1),$AW$374,HLOOKUP(INDIRECT(ADDRESS(2,COLUMN())),OFFSET($BN$2,0,0,ROW()-1,60),ROW()-1,FALSE))</f>
        <v/>
      </c>
      <c r="AX172" t="str">
        <f ca="1">IF(AND(ISNUMBER($AX$374),$B$208=1),$AX$374,HLOOKUP(INDIRECT(ADDRESS(2,COLUMN())),OFFSET($BN$2,0,0,ROW()-1,60),ROW()-1,FALSE))</f>
        <v/>
      </c>
      <c r="AY172" t="str">
        <f ca="1">IF(AND(ISNUMBER($AY$374),$B$208=1),$AY$374,HLOOKUP(INDIRECT(ADDRESS(2,COLUMN())),OFFSET($BN$2,0,0,ROW()-1,60),ROW()-1,FALSE))</f>
        <v/>
      </c>
      <c r="AZ172" t="str">
        <f ca="1">IF(AND(ISNUMBER($AZ$374),$B$208=1),$AZ$374,HLOOKUP(INDIRECT(ADDRESS(2,COLUMN())),OFFSET($BN$2,0,0,ROW()-1,60),ROW()-1,FALSE))</f>
        <v/>
      </c>
      <c r="BA172" t="str">
        <f ca="1">IF(AND(ISNUMBER($BA$374),$B$208=1),$BA$374,HLOOKUP(INDIRECT(ADDRESS(2,COLUMN())),OFFSET($BN$2,0,0,ROW()-1,60),ROW()-1,FALSE))</f>
        <v/>
      </c>
      <c r="BB172" t="str">
        <f ca="1">IF(AND(ISNUMBER($BB$374),$B$208=1),$BB$374,HLOOKUP(INDIRECT(ADDRESS(2,COLUMN())),OFFSET($BN$2,0,0,ROW()-1,60),ROW()-1,FALSE))</f>
        <v/>
      </c>
      <c r="BC172" t="str">
        <f ca="1">IF(AND(ISNUMBER($BC$374),$B$208=1),$BC$374,HLOOKUP(INDIRECT(ADDRESS(2,COLUMN())),OFFSET($BN$2,0,0,ROW()-1,60),ROW()-1,FALSE))</f>
        <v/>
      </c>
      <c r="BD172" t="str">
        <f ca="1">IF(AND(ISNUMBER($BD$374),$B$208=1),$BD$374,HLOOKUP(INDIRECT(ADDRESS(2,COLUMN())),OFFSET($BN$2,0,0,ROW()-1,60),ROW()-1,FALSE))</f>
        <v/>
      </c>
      <c r="BE172" t="str">
        <f ca="1">IF(AND(ISNUMBER($BE$374),$B$208=1),$BE$374,HLOOKUP(INDIRECT(ADDRESS(2,COLUMN())),OFFSET($BN$2,0,0,ROW()-1,60),ROW()-1,FALSE))</f>
        <v/>
      </c>
      <c r="BF172" t="str">
        <f ca="1">IF(AND(ISNUMBER($BF$374),$B$208=1),$BF$374,HLOOKUP(INDIRECT(ADDRESS(2,COLUMN())),OFFSET($BN$2,0,0,ROW()-1,60),ROW()-1,FALSE))</f>
        <v/>
      </c>
      <c r="BG172" t="str">
        <f ca="1">IF(AND(ISNUMBER($BG$374),$B$208=1),$BG$374,HLOOKUP(INDIRECT(ADDRESS(2,COLUMN())),OFFSET($BN$2,0,0,ROW()-1,60),ROW()-1,FALSE))</f>
        <v/>
      </c>
      <c r="BH172" t="str">
        <f ca="1">IF(AND(ISNUMBER($BH$374),$B$208=1),$BH$374,HLOOKUP(INDIRECT(ADDRESS(2,COLUMN())),OFFSET($BN$2,0,0,ROW()-1,60),ROW()-1,FALSE))</f>
        <v/>
      </c>
      <c r="BI172" t="str">
        <f ca="1">IF(AND(ISNUMBER($BI$374),$B$208=1),$BI$374,HLOOKUP(INDIRECT(ADDRESS(2,COLUMN())),OFFSET($BN$2,0,0,ROW()-1,60),ROW()-1,FALSE))</f>
        <v/>
      </c>
      <c r="BJ172" t="str">
        <f ca="1">IF(AND(ISNUMBER($BJ$374),$B$208=1),$BJ$374,HLOOKUP(INDIRECT(ADDRESS(2,COLUMN())),OFFSET($BN$2,0,0,ROW()-1,60),ROW()-1,FALSE))</f>
        <v/>
      </c>
      <c r="BK172" t="str">
        <f ca="1">IF(AND(ISNUMBER($BK$374),$B$208=1),$BK$374,HLOOKUP(INDIRECT(ADDRESS(2,COLUMN())),OFFSET($BN$2,0,0,ROW()-1,60),ROW()-1,FALSE))</f>
        <v/>
      </c>
      <c r="BL172" t="str">
        <f ca="1">IF(AND(ISNUMBER($BL$374),$B$208=1),$BL$374,HLOOKUP(INDIRECT(ADDRESS(2,COLUMN())),OFFSET($BN$2,0,0,ROW()-1,60),ROW()-1,FALSE))</f>
        <v/>
      </c>
      <c r="BM172" t="str">
        <f ca="1">IF(AND(ISNUMBER($BM$374),$B$208=1),$BM$374,HLOOKUP(INDIRECT(ADDRESS(2,COLUMN())),OFFSET($BN$2,0,0,ROW()-1,60),ROW()-1,FALSE))</f>
        <v/>
      </c>
      <c r="BN172" t="str">
        <f>""</f>
        <v/>
      </c>
      <c r="BO172" t="str">
        <f>""</f>
        <v/>
      </c>
      <c r="BP172" t="str">
        <f>""</f>
        <v/>
      </c>
      <c r="BQ172" t="str">
        <f>""</f>
        <v/>
      </c>
      <c r="BR172" t="str">
        <f>""</f>
        <v/>
      </c>
      <c r="BS172" t="str">
        <f>""</f>
        <v/>
      </c>
      <c r="BT172" t="str">
        <f>""</f>
        <v/>
      </c>
      <c r="BU172" t="str">
        <f>""</f>
        <v/>
      </c>
      <c r="BV172" t="str">
        <f>""</f>
        <v/>
      </c>
      <c r="BW172" t="str">
        <f>""</f>
        <v/>
      </c>
      <c r="BX172" t="str">
        <f>""</f>
        <v/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  <c r="CH172" t="str">
        <f>""</f>
        <v/>
      </c>
      <c r="CI172" t="str">
        <f>""</f>
        <v/>
      </c>
      <c r="CJ172" t="str">
        <f>""</f>
        <v/>
      </c>
      <c r="CK172" t="str">
        <f>""</f>
        <v/>
      </c>
      <c r="CL172" t="str">
        <f>""</f>
        <v/>
      </c>
      <c r="CM172" t="str">
        <f>""</f>
        <v/>
      </c>
      <c r="CN172" t="str">
        <f>""</f>
        <v/>
      </c>
      <c r="CO172" t="str">
        <f>""</f>
        <v/>
      </c>
      <c r="CP172" t="str">
        <f>""</f>
        <v/>
      </c>
      <c r="CQ172" t="str">
        <f>""</f>
        <v/>
      </c>
      <c r="CR172" t="str">
        <f>""</f>
        <v/>
      </c>
      <c r="CS172" t="str">
        <f>""</f>
        <v/>
      </c>
      <c r="CT172" t="str">
        <f>""</f>
        <v/>
      </c>
      <c r="CU172" t="str">
        <f>""</f>
        <v/>
      </c>
      <c r="CV172" t="str">
        <f>""</f>
        <v/>
      </c>
      <c r="CW172" t="str">
        <f>""</f>
        <v/>
      </c>
      <c r="CX172" t="str">
        <f>""</f>
        <v/>
      </c>
      <c r="CY172" t="str">
        <f>""</f>
        <v/>
      </c>
      <c r="CZ172" t="str">
        <f>""</f>
        <v/>
      </c>
      <c r="DA172" t="str">
        <f>""</f>
        <v/>
      </c>
      <c r="DB172" t="str">
        <f>""</f>
        <v/>
      </c>
      <c r="DC172" t="str">
        <f>""</f>
        <v/>
      </c>
      <c r="DD172" t="str">
        <f>""</f>
        <v/>
      </c>
      <c r="DE172" t="str">
        <f>""</f>
        <v/>
      </c>
      <c r="DF172" t="str">
        <f>""</f>
        <v/>
      </c>
      <c r="DG172" t="str">
        <f>""</f>
        <v/>
      </c>
      <c r="DH172" t="str">
        <f>""</f>
        <v/>
      </c>
      <c r="DI172" t="str">
        <f>""</f>
        <v/>
      </c>
      <c r="DJ172" t="str">
        <f>""</f>
        <v/>
      </c>
      <c r="DK172" t="str">
        <f>""</f>
        <v/>
      </c>
      <c r="DL172" t="str">
        <f>""</f>
        <v/>
      </c>
      <c r="DM172" t="str">
        <f>""</f>
        <v/>
      </c>
      <c r="DN172" t="str">
        <f>""</f>
        <v/>
      </c>
      <c r="DO172" t="str">
        <f>""</f>
        <v/>
      </c>
      <c r="DP172" t="str">
        <f>""</f>
        <v/>
      </c>
      <c r="DQ172" t="str">
        <f>""</f>
        <v/>
      </c>
      <c r="DR172" t="str">
        <f>""</f>
        <v/>
      </c>
      <c r="DS172" t="str">
        <f>""</f>
        <v/>
      </c>
      <c r="DT172" t="str">
        <f>""</f>
        <v/>
      </c>
      <c r="DU172" t="str">
        <f>""</f>
        <v/>
      </c>
    </row>
    <row r="173" spans="1:125" x14ac:dyDescent="0.25">
      <c r="A173" t="str">
        <f>"    Erste Group Bank AG"</f>
        <v xml:space="preserve">    Erste Group Bank AG</v>
      </c>
      <c r="B173" t="str">
        <f>"EBS AV Equity"</f>
        <v>EBS AV Equity</v>
      </c>
      <c r="C173" t="str">
        <f t="shared" si="12"/>
        <v>BS018</v>
      </c>
      <c r="D173" t="str">
        <f t="shared" si="13"/>
        <v>BS_OTHER_LOAN</v>
      </c>
      <c r="E173" t="str">
        <f t="shared" si="14"/>
        <v>Dynamic</v>
      </c>
      <c r="F173" t="str">
        <f ca="1">IF(AND(ISNUMBER($F$375),$B$208=1),$F$375,HLOOKUP(INDIRECT(ADDRESS(2,COLUMN())),OFFSET($BN$2,0,0,ROW()-1,60),ROW()-1,FALSE))</f>
        <v/>
      </c>
      <c r="G173">
        <f ca="1">IF(AND(ISNUMBER($G$375),$B$208=1),$G$375,HLOOKUP(INDIRECT(ADDRESS(2,COLUMN())),OFFSET($BN$2,0,0,ROW()-1,60),ROW()-1,FALSE))</f>
        <v>4138</v>
      </c>
      <c r="H173">
        <f ca="1">IF(AND(ISNUMBER($H$375),$B$208=1),$H$375,HLOOKUP(INDIRECT(ADDRESS(2,COLUMN())),OFFSET($BN$2,0,0,ROW()-1,60),ROW()-1,FALSE))</f>
        <v>4129</v>
      </c>
      <c r="I173">
        <f ca="1">IF(AND(ISNUMBER($I$375),$B$208=1),$I$375,HLOOKUP(INDIRECT(ADDRESS(2,COLUMN())),OFFSET($BN$2,0,0,ROW()-1,60),ROW()-1,FALSE))</f>
        <v>4126</v>
      </c>
      <c r="J173">
        <f ca="1">IF(AND(ISNUMBER($J$375),$B$208=1),$J$375,HLOOKUP(INDIRECT(ADDRESS(2,COLUMN())),OFFSET($BN$2,0,0,ROW()-1,60),ROW()-1,FALSE))</f>
        <v>4068</v>
      </c>
      <c r="K173">
        <f ca="1">IF(AND(ISNUMBER($K$375),$B$208=1),$K$375,HLOOKUP(INDIRECT(ADDRESS(2,COLUMN())),OFFSET($BN$2,0,0,ROW()-1,60),ROW()-1,FALSE))</f>
        <v>4104</v>
      </c>
      <c r="L173">
        <f ca="1">IF(AND(ISNUMBER($L$375),$B$208=1),$L$375,HLOOKUP(INDIRECT(ADDRESS(2,COLUMN())),OFFSET($BN$2,0,0,ROW()-1,60),ROW()-1,FALSE))</f>
        <v>8511.19</v>
      </c>
      <c r="M173">
        <f ca="1">IF(AND(ISNUMBER($M$375),$B$208=1),$M$375,HLOOKUP(INDIRECT(ADDRESS(2,COLUMN())),OFFSET($BN$2,0,0,ROW()-1,60),ROW()-1,FALSE))</f>
        <v>4010</v>
      </c>
      <c r="N173">
        <f ca="1">IF(AND(ISNUMBER($N$375),$B$208=1),$N$375,HLOOKUP(INDIRECT(ADDRESS(2,COLUMN())),OFFSET($BN$2,0,0,ROW()-1,60),ROW()-1,FALSE))</f>
        <v>3981</v>
      </c>
      <c r="O173">
        <f ca="1">IF(AND(ISNUMBER($O$375),$B$208=1),$O$375,HLOOKUP(INDIRECT(ADDRESS(2,COLUMN())),OFFSET($BN$2,0,0,ROW()-1,60),ROW()-1,FALSE))</f>
        <v>9314.6080000000002</v>
      </c>
      <c r="P173">
        <f ca="1">IF(AND(ISNUMBER($P$375),$B$208=1),$P$375,HLOOKUP(INDIRECT(ADDRESS(2,COLUMN())),OFFSET($BN$2,0,0,ROW()-1,60),ROW()-1,FALSE))</f>
        <v>8187.8649999999998</v>
      </c>
      <c r="Q173">
        <f ca="1">IF(AND(ISNUMBER($Q$375),$B$208=1),$Q$375,HLOOKUP(INDIRECT(ADDRESS(2,COLUMN())),OFFSET($BN$2,0,0,ROW()-1,60),ROW()-1,FALSE))</f>
        <v>6726</v>
      </c>
      <c r="R173">
        <f ca="1">IF(AND(ISNUMBER($R$375),$B$208=1),$R$375,HLOOKUP(INDIRECT(ADDRESS(2,COLUMN())),OFFSET($BN$2,0,0,ROW()-1,60),ROW()-1,FALSE))</f>
        <v>3936</v>
      </c>
      <c r="S173">
        <f ca="1">IF(AND(ISNUMBER($S$375),$B$208=1),$S$375,HLOOKUP(INDIRECT(ADDRESS(2,COLUMN())),OFFSET($BN$2,0,0,ROW()-1,60),ROW()-1,FALSE))</f>
        <v>7653.2669999999998</v>
      </c>
      <c r="T173">
        <f ca="1">IF(AND(ISNUMBER($T$375),$B$208=1),$T$375,HLOOKUP(INDIRECT(ADDRESS(2,COLUMN())),OFFSET($BN$2,0,0,ROW()-1,60),ROW()-1,FALSE))</f>
        <v>7871.6009999999997</v>
      </c>
      <c r="U173">
        <f ca="1">IF(AND(ISNUMBER($U$375),$B$208=1),$U$375,HLOOKUP(INDIRECT(ADDRESS(2,COLUMN())),OFFSET($BN$2,0,0,ROW()-1,60),ROW()-1,FALSE))</f>
        <v>7424.2460000000001</v>
      </c>
      <c r="V173">
        <f ca="1">IF(AND(ISNUMBER($V$375),$B$208=1),$V$375,HLOOKUP(INDIRECT(ADDRESS(2,COLUMN())),OFFSET($BN$2,0,0,ROW()-1,60),ROW()-1,FALSE))</f>
        <v>4002</v>
      </c>
      <c r="W173">
        <f ca="1">IF(AND(ISNUMBER($W$375),$B$208=1),$W$375,HLOOKUP(INDIRECT(ADDRESS(2,COLUMN())),OFFSET($BN$2,0,0,ROW()-1,60),ROW()-1,FALSE))</f>
        <v>7677.1779999999999</v>
      </c>
      <c r="X173">
        <f ca="1">IF(AND(ISNUMBER($X$375),$B$208=1),$X$375,HLOOKUP(INDIRECT(ADDRESS(2,COLUMN())),OFFSET($BN$2,0,0,ROW()-1,60),ROW()-1,FALSE))</f>
        <v>11456.790999999999</v>
      </c>
      <c r="Y173">
        <f ca="1">IF(AND(ISNUMBER($Y$375),$B$208=1),$Y$375,HLOOKUP(INDIRECT(ADDRESS(2,COLUMN())),OFFSET($BN$2,0,0,ROW()-1,60),ROW()-1,FALSE))</f>
        <v>7268.3469999999998</v>
      </c>
      <c r="Z173">
        <f ca="1">IF(AND(ISNUMBER($Z$375),$B$208=1),$Z$375,HLOOKUP(INDIRECT(ADDRESS(2,COLUMN())),OFFSET($BN$2,0,0,ROW()-1,60),ROW()-1,FALSE))</f>
        <v>7469.1310000000003</v>
      </c>
      <c r="AA173">
        <f ca="1">IF(AND(ISNUMBER($AA$375),$B$208=1),$AA$375,HLOOKUP(INDIRECT(ADDRESS(2,COLUMN())),OFFSET($BN$2,0,0,ROW()-1,60),ROW()-1,FALSE))</f>
        <v>6945.3270000000002</v>
      </c>
      <c r="AB173">
        <f ca="1">IF(AND(ISNUMBER($AB$375),$B$208=1),$AB$375,HLOOKUP(INDIRECT(ADDRESS(2,COLUMN())),OFFSET($BN$2,0,0,ROW()-1,60),ROW()-1,FALSE))</f>
        <v>7297.1469999999999</v>
      </c>
      <c r="AC173">
        <f ca="1">IF(AND(ISNUMBER($AC$375),$B$208=1),$AC$375,HLOOKUP(INDIRECT(ADDRESS(2,COLUMN())),OFFSET($BN$2,0,0,ROW()-1,60),ROW()-1,FALSE))</f>
        <v>7163.6260000000002</v>
      </c>
      <c r="AD173">
        <f ca="1">IF(AND(ISNUMBER($AD$375),$B$208=1),$AD$375,HLOOKUP(INDIRECT(ADDRESS(2,COLUMN())),OFFSET($BN$2,0,0,ROW()-1,60),ROW()-1,FALSE))</f>
        <v>7618.0339999999997</v>
      </c>
      <c r="AE173">
        <f ca="1">IF(AND(ISNUMBER($AE$375),$B$208=1),$AE$375,HLOOKUP(INDIRECT(ADDRESS(2,COLUMN())),OFFSET($BN$2,0,0,ROW()-1,60),ROW()-1,FALSE))</f>
        <v>7387.5219999999999</v>
      </c>
      <c r="AF173">
        <f ca="1">IF(AND(ISNUMBER($AF$375),$B$208=1),$AF$375,HLOOKUP(INDIRECT(ADDRESS(2,COLUMN())),OFFSET($BN$2,0,0,ROW()-1,60),ROW()-1,FALSE))</f>
        <v>7354.3909999999996</v>
      </c>
      <c r="AG173">
        <f ca="1">IF(AND(ISNUMBER($AG$375),$B$208=1),$AG$375,HLOOKUP(INDIRECT(ADDRESS(2,COLUMN())),OFFSET($BN$2,0,0,ROW()-1,60),ROW()-1,FALSE))</f>
        <v>7198.3810000000003</v>
      </c>
      <c r="AH173">
        <f ca="1">IF(AND(ISNUMBER($AH$375),$B$208=1),$AH$375,HLOOKUP(INDIRECT(ADDRESS(2,COLUMN())),OFFSET($BN$2,0,0,ROW()-1,60),ROW()-1,FALSE))</f>
        <v>7048.277</v>
      </c>
      <c r="AI173">
        <f ca="1">IF(AND(ISNUMBER($AI$375),$B$208=1),$AI$375,HLOOKUP(INDIRECT(ADDRESS(2,COLUMN())),OFFSET($BN$2,0,0,ROW()-1,60),ROW()-1,FALSE))</f>
        <v>7347.4560000000001</v>
      </c>
      <c r="AJ173">
        <f ca="1">IF(AND(ISNUMBER($AJ$375),$B$208=1),$AJ$375,HLOOKUP(INDIRECT(ADDRESS(2,COLUMN())),OFFSET($BN$2,0,0,ROW()-1,60),ROW()-1,FALSE))</f>
        <v>7285.07</v>
      </c>
      <c r="AK173">
        <f ca="1">IF(AND(ISNUMBER($AK$375),$B$208=1),$AK$375,HLOOKUP(INDIRECT(ADDRESS(2,COLUMN())),OFFSET($BN$2,0,0,ROW()-1,60),ROW()-1,FALSE))</f>
        <v>7390.9539999999997</v>
      </c>
      <c r="AL173">
        <f ca="1">IF(AND(ISNUMBER($AL$375),$B$208=1),$AL$375,HLOOKUP(INDIRECT(ADDRESS(2,COLUMN())),OFFSET($BN$2,0,0,ROW()-1,60),ROW()-1,FALSE))</f>
        <v>7442.451</v>
      </c>
      <c r="AM173">
        <f ca="1">IF(AND(ISNUMBER($AM$375),$B$208=1),$AM$375,HLOOKUP(INDIRECT(ADDRESS(2,COLUMN())),OFFSET($BN$2,0,0,ROW()-1,60),ROW()-1,FALSE))</f>
        <v>7481.6769999999997</v>
      </c>
      <c r="AN173">
        <f ca="1">IF(AND(ISNUMBER($AN$375),$B$208=1),$AN$375,HLOOKUP(INDIRECT(ADDRESS(2,COLUMN())),OFFSET($BN$2,0,0,ROW()-1,60),ROW()-1,FALSE))</f>
        <v>7565.3639999999996</v>
      </c>
      <c r="AO173" t="str">
        <f ca="1">IF(AND(ISNUMBER($AO$375),$B$208=1),$AO$375,HLOOKUP(INDIRECT(ADDRESS(2,COLUMN())),OFFSET($BN$2,0,0,ROW()-1,60),ROW()-1,FALSE))</f>
        <v/>
      </c>
      <c r="AP173">
        <f ca="1">IF(AND(ISNUMBER($AP$375),$B$208=1),$AP$375,HLOOKUP(INDIRECT(ADDRESS(2,COLUMN())),OFFSET($BN$2,0,0,ROW()-1,60),ROW()-1,FALSE))</f>
        <v>7615.65</v>
      </c>
      <c r="AQ173" t="str">
        <f ca="1">IF(AND(ISNUMBER($AQ$375),$B$208=1),$AQ$375,HLOOKUP(INDIRECT(ADDRESS(2,COLUMN())),OFFSET($BN$2,0,0,ROW()-1,60),ROW()-1,FALSE))</f>
        <v/>
      </c>
      <c r="AR173" t="str">
        <f ca="1">IF(AND(ISNUMBER($AR$375),$B$208=1),$AR$375,HLOOKUP(INDIRECT(ADDRESS(2,COLUMN())),OFFSET($BN$2,0,0,ROW()-1,60),ROW()-1,FALSE))</f>
        <v/>
      </c>
      <c r="AS173" t="str">
        <f ca="1">IF(AND(ISNUMBER($AS$375),$B$208=1),$AS$375,HLOOKUP(INDIRECT(ADDRESS(2,COLUMN())),OFFSET($BN$2,0,0,ROW()-1,60),ROW()-1,FALSE))</f>
        <v/>
      </c>
      <c r="AT173" t="str">
        <f ca="1">IF(AND(ISNUMBER($AT$375),$B$208=1),$AT$375,HLOOKUP(INDIRECT(ADDRESS(2,COLUMN())),OFFSET($BN$2,0,0,ROW()-1,60),ROW()-1,FALSE))</f>
        <v/>
      </c>
      <c r="AU173" t="str">
        <f ca="1">IF(AND(ISNUMBER($AU$375),$B$208=1),$AU$375,HLOOKUP(INDIRECT(ADDRESS(2,COLUMN())),OFFSET($BN$2,0,0,ROW()-1,60),ROW()-1,FALSE))</f>
        <v/>
      </c>
      <c r="AV173" t="str">
        <f ca="1">IF(AND(ISNUMBER($AV$375),$B$208=1),$AV$375,HLOOKUP(INDIRECT(ADDRESS(2,COLUMN())),OFFSET($BN$2,0,0,ROW()-1,60),ROW()-1,FALSE))</f>
        <v/>
      </c>
      <c r="AW173" t="str">
        <f ca="1">IF(AND(ISNUMBER($AW$375),$B$208=1),$AW$375,HLOOKUP(INDIRECT(ADDRESS(2,COLUMN())),OFFSET($BN$2,0,0,ROW()-1,60),ROW()-1,FALSE))</f>
        <v/>
      </c>
      <c r="AX173" t="str">
        <f ca="1">IF(AND(ISNUMBER($AX$375),$B$208=1),$AX$375,HLOOKUP(INDIRECT(ADDRESS(2,COLUMN())),OFFSET($BN$2,0,0,ROW()-1,60),ROW()-1,FALSE))</f>
        <v/>
      </c>
      <c r="AY173">
        <f ca="1">IF(AND(ISNUMBER($AY$375),$B$208=1),$AY$375,HLOOKUP(INDIRECT(ADDRESS(2,COLUMN())),OFFSET($BN$2,0,0,ROW()-1,60),ROW()-1,FALSE))</f>
        <v>7052.24</v>
      </c>
      <c r="AZ173">
        <f ca="1">IF(AND(ISNUMBER($AZ$375),$B$208=1),$AZ$375,HLOOKUP(INDIRECT(ADDRESS(2,COLUMN())),OFFSET($BN$2,0,0,ROW()-1,60),ROW()-1,FALSE))</f>
        <v>7226.8280000000004</v>
      </c>
      <c r="BA173">
        <f ca="1">IF(AND(ISNUMBER($BA$375),$B$208=1),$BA$375,HLOOKUP(INDIRECT(ADDRESS(2,COLUMN())),OFFSET($BN$2,0,0,ROW()-1,60),ROW()-1,FALSE))</f>
        <v>6896</v>
      </c>
      <c r="BB173">
        <f ca="1">IF(AND(ISNUMBER($BB$375),$B$208=1),$BB$375,HLOOKUP(INDIRECT(ADDRESS(2,COLUMN())),OFFSET($BN$2,0,0,ROW()-1,60),ROW()-1,FALSE))</f>
        <v>7849.5280000000002</v>
      </c>
      <c r="BC173">
        <f ca="1">IF(AND(ISNUMBER($BC$375),$B$208=1),$BC$375,HLOOKUP(INDIRECT(ADDRESS(2,COLUMN())),OFFSET($BN$2,0,0,ROW()-1,60),ROW()-1,FALSE))</f>
        <v>7804</v>
      </c>
      <c r="BD173">
        <f ca="1">IF(AND(ISNUMBER($BD$375),$B$208=1),$BD$375,HLOOKUP(INDIRECT(ADDRESS(2,COLUMN())),OFFSET($BN$2,0,0,ROW()-1,60),ROW()-1,FALSE))</f>
        <v>7718</v>
      </c>
      <c r="BE173">
        <f ca="1">IF(AND(ISNUMBER($BE$375),$B$208=1),$BE$375,HLOOKUP(INDIRECT(ADDRESS(2,COLUMN())),OFFSET($BN$2,0,0,ROW()-1,60),ROW()-1,FALSE))</f>
        <v>7934</v>
      </c>
      <c r="BF173">
        <f ca="1">IF(AND(ISNUMBER($BF$375),$B$208=1),$BF$375,HLOOKUP(INDIRECT(ADDRESS(2,COLUMN())),OFFSET($BN$2,0,0,ROW()-1,60),ROW()-1,FALSE))</f>
        <v>8019.509</v>
      </c>
      <c r="BG173">
        <f ca="1">IF(AND(ISNUMBER($BG$375),$B$208=1),$BG$375,HLOOKUP(INDIRECT(ADDRESS(2,COLUMN())),OFFSET($BN$2,0,0,ROW()-1,60),ROW()-1,FALSE))</f>
        <v>7710</v>
      </c>
      <c r="BH173">
        <f ca="1">IF(AND(ISNUMBER($BH$375),$B$208=1),$BH$375,HLOOKUP(INDIRECT(ADDRESS(2,COLUMN())),OFFSET($BN$2,0,0,ROW()-1,60),ROW()-1,FALSE))</f>
        <v>7890</v>
      </c>
      <c r="BI173">
        <f ca="1">IF(AND(ISNUMBER($BI$375),$B$208=1),$BI$375,HLOOKUP(INDIRECT(ADDRESS(2,COLUMN())),OFFSET($BN$2,0,0,ROW()-1,60),ROW()-1,FALSE))</f>
        <v>7869</v>
      </c>
      <c r="BJ173">
        <f ca="1">IF(AND(ISNUMBER($BJ$375),$B$208=1),$BJ$375,HLOOKUP(INDIRECT(ADDRESS(2,COLUMN())),OFFSET($BN$2,0,0,ROW()-1,60),ROW()-1,FALSE))</f>
        <v>7839.1139999999996</v>
      </c>
      <c r="BK173">
        <f ca="1">IF(AND(ISNUMBER($BK$375),$B$208=1),$BK$375,HLOOKUP(INDIRECT(ADDRESS(2,COLUMN())),OFFSET($BN$2,0,0,ROW()-1,60),ROW()-1,FALSE))</f>
        <v>7505</v>
      </c>
      <c r="BL173">
        <f ca="1">IF(AND(ISNUMBER($BL$375),$B$208=1),$BL$375,HLOOKUP(INDIRECT(ADDRESS(2,COLUMN())),OFFSET($BN$2,0,0,ROW()-1,60),ROW()-1,FALSE))</f>
        <v>7406</v>
      </c>
      <c r="BM173" t="str">
        <f ca="1">IF(AND(ISNUMBER($BM$375),$B$208=1),$BM$375,HLOOKUP(INDIRECT(ADDRESS(2,COLUMN())),OFFSET($BN$2,0,0,ROW()-1,60),ROW()-1,FALSE))</f>
        <v/>
      </c>
      <c r="BN173" t="str">
        <f>""</f>
        <v/>
      </c>
      <c r="BO173">
        <f>4138</f>
        <v>4138</v>
      </c>
      <c r="BP173">
        <f>4129</f>
        <v>4129</v>
      </c>
      <c r="BQ173">
        <f>4126</f>
        <v>4126</v>
      </c>
      <c r="BR173">
        <f>4068</f>
        <v>4068</v>
      </c>
      <c r="BS173">
        <f>4104</f>
        <v>4104</v>
      </c>
      <c r="BT173">
        <f>8511.19</f>
        <v>8511.19</v>
      </c>
      <c r="BU173">
        <f>4010</f>
        <v>4010</v>
      </c>
      <c r="BV173">
        <f>3981</f>
        <v>3981</v>
      </c>
      <c r="BW173">
        <f>9314.608</f>
        <v>9314.6080000000002</v>
      </c>
      <c r="BX173">
        <f>8187.865</f>
        <v>8187.8649999999998</v>
      </c>
      <c r="BY173">
        <f>6726</f>
        <v>6726</v>
      </c>
      <c r="BZ173">
        <f>3936</f>
        <v>3936</v>
      </c>
      <c r="CA173">
        <f>7653.267</f>
        <v>7653.2669999999998</v>
      </c>
      <c r="CB173">
        <f>7871.601</f>
        <v>7871.6009999999997</v>
      </c>
      <c r="CC173">
        <f>7424.246</f>
        <v>7424.2460000000001</v>
      </c>
      <c r="CD173">
        <f>4002</f>
        <v>4002</v>
      </c>
      <c r="CE173">
        <f>7677.178</f>
        <v>7677.1779999999999</v>
      </c>
      <c r="CF173">
        <f>11456.791</f>
        <v>11456.790999999999</v>
      </c>
      <c r="CG173">
        <f>7268.347</f>
        <v>7268.3469999999998</v>
      </c>
      <c r="CH173">
        <f>7469.131</f>
        <v>7469.1310000000003</v>
      </c>
      <c r="CI173">
        <f>6945.327</f>
        <v>6945.3270000000002</v>
      </c>
      <c r="CJ173">
        <f>7297.147</f>
        <v>7297.1469999999999</v>
      </c>
      <c r="CK173">
        <f>7163.626</f>
        <v>7163.6260000000002</v>
      </c>
      <c r="CL173">
        <f>7618.034</f>
        <v>7618.0339999999997</v>
      </c>
      <c r="CM173">
        <f>7387.522</f>
        <v>7387.5219999999999</v>
      </c>
      <c r="CN173">
        <f>7354.391</f>
        <v>7354.3909999999996</v>
      </c>
      <c r="CO173">
        <f>7198.381</f>
        <v>7198.3810000000003</v>
      </c>
      <c r="CP173">
        <f>7048.277</f>
        <v>7048.277</v>
      </c>
      <c r="CQ173">
        <f>7347.456</f>
        <v>7347.4560000000001</v>
      </c>
      <c r="CR173">
        <f>7285.07</f>
        <v>7285.07</v>
      </c>
      <c r="CS173">
        <f>7390.954</f>
        <v>7390.9539999999997</v>
      </c>
      <c r="CT173">
        <f>7442.451</f>
        <v>7442.451</v>
      </c>
      <c r="CU173">
        <f>7481.677</f>
        <v>7481.6769999999997</v>
      </c>
      <c r="CV173">
        <f>7565.364</f>
        <v>7565.3639999999996</v>
      </c>
      <c r="CW173" t="str">
        <f>""</f>
        <v/>
      </c>
      <c r="CX173">
        <f>7615.65</f>
        <v>7615.65</v>
      </c>
      <c r="CY173" t="str">
        <f>""</f>
        <v/>
      </c>
      <c r="CZ173" t="str">
        <f>""</f>
        <v/>
      </c>
      <c r="DA173" t="str">
        <f>""</f>
        <v/>
      </c>
      <c r="DB173" t="str">
        <f>""</f>
        <v/>
      </c>
      <c r="DC173" t="str">
        <f>""</f>
        <v/>
      </c>
      <c r="DD173" t="str">
        <f>""</f>
        <v/>
      </c>
      <c r="DE173" t="str">
        <f>""</f>
        <v/>
      </c>
      <c r="DF173" t="str">
        <f>""</f>
        <v/>
      </c>
      <c r="DG173">
        <f>7052.24</f>
        <v>7052.24</v>
      </c>
      <c r="DH173">
        <f>7226.828</f>
        <v>7226.8280000000004</v>
      </c>
      <c r="DI173">
        <f>6896</f>
        <v>6896</v>
      </c>
      <c r="DJ173">
        <f>7849.528</f>
        <v>7849.5280000000002</v>
      </c>
      <c r="DK173">
        <f>7804</f>
        <v>7804</v>
      </c>
      <c r="DL173">
        <f>7718</f>
        <v>7718</v>
      </c>
      <c r="DM173">
        <f>7934</f>
        <v>7934</v>
      </c>
      <c r="DN173">
        <f>8019.509</f>
        <v>8019.509</v>
      </c>
      <c r="DO173">
        <f>7710</f>
        <v>7710</v>
      </c>
      <c r="DP173">
        <f>7890</f>
        <v>7890</v>
      </c>
      <c r="DQ173">
        <f>7869</f>
        <v>7869</v>
      </c>
      <c r="DR173">
        <f>7839.114</f>
        <v>7839.1139999999996</v>
      </c>
      <c r="DS173">
        <f>7505</f>
        <v>7505</v>
      </c>
      <c r="DT173">
        <f>7406</f>
        <v>7406</v>
      </c>
      <c r="DU173" t="str">
        <f>""</f>
        <v/>
      </c>
    </row>
    <row r="174" spans="1:125" x14ac:dyDescent="0.25">
      <c r="A174" t="str">
        <f>"    FinecoBank Banca Fineco SpA"</f>
        <v xml:space="preserve">    FinecoBank Banca Fineco SpA</v>
      </c>
      <c r="B174" t="str">
        <f>"FBK IM Equity"</f>
        <v>FBK IM Equity</v>
      </c>
      <c r="C174" t="str">
        <f t="shared" si="12"/>
        <v>BS018</v>
      </c>
      <c r="D174" t="str">
        <f t="shared" si="13"/>
        <v>BS_OTHER_LOAN</v>
      </c>
      <c r="E174" t="str">
        <f t="shared" si="14"/>
        <v>Dynamic</v>
      </c>
      <c r="F174" t="str">
        <f ca="1">IF(AND(ISNUMBER($F$376),$B$208=1),$F$376,HLOOKUP(INDIRECT(ADDRESS(2,COLUMN())),OFFSET($BN$2,0,0,ROW()-1,60),ROW()-1,FALSE))</f>
        <v/>
      </c>
      <c r="G174" t="str">
        <f ca="1">IF(AND(ISNUMBER($G$376),$B$208=1),$G$376,HLOOKUP(INDIRECT(ADDRESS(2,COLUMN())),OFFSET($BN$2,0,0,ROW()-1,60),ROW()-1,FALSE))</f>
        <v/>
      </c>
      <c r="H174">
        <f ca="1">IF(AND(ISNUMBER($H$376),$B$208=1),$H$376,HLOOKUP(INDIRECT(ADDRESS(2,COLUMN())),OFFSET($BN$2,0,0,ROW()-1,60),ROW()-1,FALSE))</f>
        <v>757.88900000000001</v>
      </c>
      <c r="I174" t="str">
        <f ca="1">IF(AND(ISNUMBER($I$376),$B$208=1),$I$376,HLOOKUP(INDIRECT(ADDRESS(2,COLUMN())),OFFSET($BN$2,0,0,ROW()-1,60),ROW()-1,FALSE))</f>
        <v/>
      </c>
      <c r="J174">
        <f ca="1">IF(AND(ISNUMBER($J$376),$B$208=1),$J$376,HLOOKUP(INDIRECT(ADDRESS(2,COLUMN())),OFFSET($BN$2,0,0,ROW()-1,60),ROW()-1,FALSE))</f>
        <v>574.88699999999994</v>
      </c>
      <c r="K174" t="str">
        <f ca="1">IF(AND(ISNUMBER($K$376),$B$208=1),$K$376,HLOOKUP(INDIRECT(ADDRESS(2,COLUMN())),OFFSET($BN$2,0,0,ROW()-1,60),ROW()-1,FALSE))</f>
        <v/>
      </c>
      <c r="L174">
        <f ca="1">IF(AND(ISNUMBER($L$376),$B$208=1),$L$376,HLOOKUP(INDIRECT(ADDRESS(2,COLUMN())),OFFSET($BN$2,0,0,ROW()-1,60),ROW()-1,FALSE))</f>
        <v>317.30700000000002</v>
      </c>
      <c r="M174" t="str">
        <f ca="1">IF(AND(ISNUMBER($M$376),$B$208=1),$M$376,HLOOKUP(INDIRECT(ADDRESS(2,COLUMN())),OFFSET($BN$2,0,0,ROW()-1,60),ROW()-1,FALSE))</f>
        <v/>
      </c>
      <c r="N174">
        <f ca="1">IF(AND(ISNUMBER($N$376),$B$208=1),$N$376,HLOOKUP(INDIRECT(ADDRESS(2,COLUMN())),OFFSET($BN$2,0,0,ROW()-1,60),ROW()-1,FALSE))</f>
        <v>435.25299999999999</v>
      </c>
      <c r="O174" t="str">
        <f ca="1">IF(AND(ISNUMBER($O$376),$B$208=1),$O$376,HLOOKUP(INDIRECT(ADDRESS(2,COLUMN())),OFFSET($BN$2,0,0,ROW()-1,60),ROW()-1,FALSE))</f>
        <v/>
      </c>
      <c r="P174">
        <f ca="1">IF(AND(ISNUMBER($P$376),$B$208=1),$P$376,HLOOKUP(INDIRECT(ADDRESS(2,COLUMN())),OFFSET($BN$2,0,0,ROW()-1,60),ROW()-1,FALSE))</f>
        <v>475.16</v>
      </c>
      <c r="Q174" t="str">
        <f ca="1">IF(AND(ISNUMBER($Q$376),$B$208=1),$Q$376,HLOOKUP(INDIRECT(ADDRESS(2,COLUMN())),OFFSET($BN$2,0,0,ROW()-1,60),ROW()-1,FALSE))</f>
        <v/>
      </c>
      <c r="R174">
        <f ca="1">IF(AND(ISNUMBER($R$376),$B$208=1),$R$376,HLOOKUP(INDIRECT(ADDRESS(2,COLUMN())),OFFSET($BN$2,0,0,ROW()-1,60),ROW()-1,FALSE))</f>
        <v>433.61099999999999</v>
      </c>
      <c r="S174" t="str">
        <f ca="1">IF(AND(ISNUMBER($S$376),$B$208=1),$S$376,HLOOKUP(INDIRECT(ADDRESS(2,COLUMN())),OFFSET($BN$2,0,0,ROW()-1,60),ROW()-1,FALSE))</f>
        <v/>
      </c>
      <c r="T174">
        <f ca="1">IF(AND(ISNUMBER($T$376),$B$208=1),$T$376,HLOOKUP(INDIRECT(ADDRESS(2,COLUMN())),OFFSET($BN$2,0,0,ROW()-1,60),ROW()-1,FALSE))</f>
        <v>432.42700000000002</v>
      </c>
      <c r="U174" t="str">
        <f ca="1">IF(AND(ISNUMBER($U$376),$B$208=1),$U$376,HLOOKUP(INDIRECT(ADDRESS(2,COLUMN())),OFFSET($BN$2,0,0,ROW()-1,60),ROW()-1,FALSE))</f>
        <v/>
      </c>
      <c r="V174">
        <f ca="1">IF(AND(ISNUMBER($V$376),$B$208=1),$V$376,HLOOKUP(INDIRECT(ADDRESS(2,COLUMN())),OFFSET($BN$2,0,0,ROW()-1,60),ROW()-1,FALSE))</f>
        <v>410.45299999999997</v>
      </c>
      <c r="W174" t="str">
        <f ca="1">IF(AND(ISNUMBER($W$376),$B$208=1),$W$376,HLOOKUP(INDIRECT(ADDRESS(2,COLUMN())),OFFSET($BN$2,0,0,ROW()-1,60),ROW()-1,FALSE))</f>
        <v/>
      </c>
      <c r="X174">
        <f ca="1">IF(AND(ISNUMBER($X$376),$B$208=1),$X$376,HLOOKUP(INDIRECT(ADDRESS(2,COLUMN())),OFFSET($BN$2,0,0,ROW()-1,60),ROW()-1,FALSE))</f>
        <v>333.14299999999997</v>
      </c>
      <c r="Y174" t="str">
        <f ca="1">IF(AND(ISNUMBER($Y$376),$B$208=1),$Y$376,HLOOKUP(INDIRECT(ADDRESS(2,COLUMN())),OFFSET($BN$2,0,0,ROW()-1,60),ROW()-1,FALSE))</f>
        <v/>
      </c>
      <c r="Z174">
        <f ca="1">IF(AND(ISNUMBER($Z$376),$B$208=1),$Z$376,HLOOKUP(INDIRECT(ADDRESS(2,COLUMN())),OFFSET($BN$2,0,0,ROW()-1,60),ROW()-1,FALSE))</f>
        <v>298.67</v>
      </c>
      <c r="AA174" t="str">
        <f ca="1">IF(AND(ISNUMBER($AA$376),$B$208=1),$AA$376,HLOOKUP(INDIRECT(ADDRESS(2,COLUMN())),OFFSET($BN$2,0,0,ROW()-1,60),ROW()-1,FALSE))</f>
        <v/>
      </c>
      <c r="AB174">
        <f ca="1">IF(AND(ISNUMBER($AB$376),$B$208=1),$AB$376,HLOOKUP(INDIRECT(ADDRESS(2,COLUMN())),OFFSET($BN$2,0,0,ROW()-1,60),ROW()-1,FALSE))</f>
        <v>397.97800000000001</v>
      </c>
      <c r="AC174" t="str">
        <f ca="1">IF(AND(ISNUMBER($AC$376),$B$208=1),$AC$376,HLOOKUP(INDIRECT(ADDRESS(2,COLUMN())),OFFSET($BN$2,0,0,ROW()-1,60),ROW()-1,FALSE))</f>
        <v/>
      </c>
      <c r="AD174">
        <f ca="1">IF(AND(ISNUMBER($AD$376),$B$208=1),$AD$376,HLOOKUP(INDIRECT(ADDRESS(2,COLUMN())),OFFSET($BN$2,0,0,ROW()-1,60),ROW()-1,FALSE))</f>
        <v>226.80199999999999</v>
      </c>
      <c r="AE174" t="str">
        <f ca="1">IF(AND(ISNUMBER($AE$376),$B$208=1),$AE$376,HLOOKUP(INDIRECT(ADDRESS(2,COLUMN())),OFFSET($BN$2,0,0,ROW()-1,60),ROW()-1,FALSE))</f>
        <v/>
      </c>
      <c r="AF174">
        <f ca="1">IF(AND(ISNUMBER($AF$376),$B$208=1),$AF$376,HLOOKUP(INDIRECT(ADDRESS(2,COLUMN())),OFFSET($BN$2,0,0,ROW()-1,60),ROW()-1,FALSE))</f>
        <v>227.71100000000001</v>
      </c>
      <c r="AG174" t="str">
        <f ca="1">IF(AND(ISNUMBER($AG$376),$B$208=1),$AG$376,HLOOKUP(INDIRECT(ADDRESS(2,COLUMN())),OFFSET($BN$2,0,0,ROW()-1,60),ROW()-1,FALSE))</f>
        <v/>
      </c>
      <c r="AH174">
        <f ca="1">IF(AND(ISNUMBER($AH$376),$B$208=1),$AH$376,HLOOKUP(INDIRECT(ADDRESS(2,COLUMN())),OFFSET($BN$2,0,0,ROW()-1,60),ROW()-1,FALSE))</f>
        <v>168.19826699999999</v>
      </c>
      <c r="AI174" t="str">
        <f ca="1">IF(AND(ISNUMBER($AI$376),$B$208=1),$AI$376,HLOOKUP(INDIRECT(ADDRESS(2,COLUMN())),OFFSET($BN$2,0,0,ROW()-1,60),ROW()-1,FALSE))</f>
        <v/>
      </c>
      <c r="AJ174">
        <f ca="1">IF(AND(ISNUMBER($AJ$376),$B$208=1),$AJ$376,HLOOKUP(INDIRECT(ADDRESS(2,COLUMN())),OFFSET($BN$2,0,0,ROW()-1,60),ROW()-1,FALSE))</f>
        <v>177.17994100000001</v>
      </c>
      <c r="AK174" t="str">
        <f ca="1">IF(AND(ISNUMBER($AK$376),$B$208=1),$AK$376,HLOOKUP(INDIRECT(ADDRESS(2,COLUMN())),OFFSET($BN$2,0,0,ROW()-1,60),ROW()-1,FALSE))</f>
        <v/>
      </c>
      <c r="AL174">
        <f ca="1">IF(AND(ISNUMBER($AL$376),$B$208=1),$AL$376,HLOOKUP(INDIRECT(ADDRESS(2,COLUMN())),OFFSET($BN$2,0,0,ROW()-1,60),ROW()-1,FALSE))</f>
        <v>152.702</v>
      </c>
      <c r="AM174" t="str">
        <f ca="1">IF(AND(ISNUMBER($AM$376),$B$208=1),$AM$376,HLOOKUP(INDIRECT(ADDRESS(2,COLUMN())),OFFSET($BN$2,0,0,ROW()-1,60),ROW()-1,FALSE))</f>
        <v/>
      </c>
      <c r="AN174">
        <f ca="1">IF(AND(ISNUMBER($AN$376),$B$208=1),$AN$376,HLOOKUP(INDIRECT(ADDRESS(2,COLUMN())),OFFSET($BN$2,0,0,ROW()-1,60),ROW()-1,FALSE))</f>
        <v>161.32479599999999</v>
      </c>
      <c r="AO174" t="str">
        <f ca="1">IF(AND(ISNUMBER($AO$376),$B$208=1),$AO$376,HLOOKUP(INDIRECT(ADDRESS(2,COLUMN())),OFFSET($BN$2,0,0,ROW()-1,60),ROW()-1,FALSE))</f>
        <v/>
      </c>
      <c r="AP174">
        <f ca="1">IF(AND(ISNUMBER($AP$376),$B$208=1),$AP$376,HLOOKUP(INDIRECT(ADDRESS(2,COLUMN())),OFFSET($BN$2,0,0,ROW()-1,60),ROW()-1,FALSE))</f>
        <v>140.804</v>
      </c>
      <c r="AQ174" t="str">
        <f ca="1">IF(AND(ISNUMBER($AQ$376),$B$208=1),$AQ$376,HLOOKUP(INDIRECT(ADDRESS(2,COLUMN())),OFFSET($BN$2,0,0,ROW()-1,60),ROW()-1,FALSE))</f>
        <v/>
      </c>
      <c r="AR174">
        <f ca="1">IF(AND(ISNUMBER($AR$376),$B$208=1),$AR$376,HLOOKUP(INDIRECT(ADDRESS(2,COLUMN())),OFFSET($BN$2,0,0,ROW()-1,60),ROW()-1,FALSE))</f>
        <v>159.72967399999999</v>
      </c>
      <c r="AS174" t="str">
        <f ca="1">IF(AND(ISNUMBER($AS$376),$B$208=1),$AS$376,HLOOKUP(INDIRECT(ADDRESS(2,COLUMN())),OFFSET($BN$2,0,0,ROW()-1,60),ROW()-1,FALSE))</f>
        <v/>
      </c>
      <c r="AT174">
        <f ca="1">IF(AND(ISNUMBER($AT$376),$B$208=1),$AT$376,HLOOKUP(INDIRECT(ADDRESS(2,COLUMN())),OFFSET($BN$2,0,0,ROW()-1,60),ROW()-1,FALSE))</f>
        <v>126.141232</v>
      </c>
      <c r="AU174">
        <f ca="1">IF(AND(ISNUMBER($AU$376),$B$208=1),$AU$376,HLOOKUP(INDIRECT(ADDRESS(2,COLUMN())),OFFSET($BN$2,0,0,ROW()-1,60),ROW()-1,FALSE))</f>
        <v>113.54641100000001</v>
      </c>
      <c r="AV174">
        <f ca="1">IF(AND(ISNUMBER($AV$376),$B$208=1),$AV$376,HLOOKUP(INDIRECT(ADDRESS(2,COLUMN())),OFFSET($BN$2,0,0,ROW()-1,60),ROW()-1,FALSE))</f>
        <v>147.166729</v>
      </c>
      <c r="AW174">
        <f ca="1">IF(AND(ISNUMBER($AW$376),$B$208=1),$AW$376,HLOOKUP(INDIRECT(ADDRESS(2,COLUMN())),OFFSET($BN$2,0,0,ROW()-1,60),ROW()-1,FALSE))</f>
        <v>162.187196</v>
      </c>
      <c r="AX174" t="str">
        <f ca="1">IF(AND(ISNUMBER($AX$376),$B$208=1),$AX$376,HLOOKUP(INDIRECT(ADDRESS(2,COLUMN())),OFFSET($BN$2,0,0,ROW()-1,60),ROW()-1,FALSE))</f>
        <v/>
      </c>
      <c r="AY174" t="str">
        <f ca="1">IF(AND(ISNUMBER($AY$376),$B$208=1),$AY$376,HLOOKUP(INDIRECT(ADDRESS(2,COLUMN())),OFFSET($BN$2,0,0,ROW()-1,60),ROW()-1,FALSE))</f>
        <v/>
      </c>
      <c r="AZ174" t="str">
        <f ca="1">IF(AND(ISNUMBER($AZ$376),$B$208=1),$AZ$376,HLOOKUP(INDIRECT(ADDRESS(2,COLUMN())),OFFSET($BN$2,0,0,ROW()-1,60),ROW()-1,FALSE))</f>
        <v/>
      </c>
      <c r="BA174" t="str">
        <f ca="1">IF(AND(ISNUMBER($BA$376),$B$208=1),$BA$376,HLOOKUP(INDIRECT(ADDRESS(2,COLUMN())),OFFSET($BN$2,0,0,ROW()-1,60),ROW()-1,FALSE))</f>
        <v/>
      </c>
      <c r="BB174" t="str">
        <f ca="1">IF(AND(ISNUMBER($BB$376),$B$208=1),$BB$376,HLOOKUP(INDIRECT(ADDRESS(2,COLUMN())),OFFSET($BN$2,0,0,ROW()-1,60),ROW()-1,FALSE))</f>
        <v/>
      </c>
      <c r="BC174" t="str">
        <f ca="1">IF(AND(ISNUMBER($BC$376),$B$208=1),$BC$376,HLOOKUP(INDIRECT(ADDRESS(2,COLUMN())),OFFSET($BN$2,0,0,ROW()-1,60),ROW()-1,FALSE))</f>
        <v/>
      </c>
      <c r="BD174" t="str">
        <f ca="1">IF(AND(ISNUMBER($BD$376),$B$208=1),$BD$376,HLOOKUP(INDIRECT(ADDRESS(2,COLUMN())),OFFSET($BN$2,0,0,ROW()-1,60),ROW()-1,FALSE))</f>
        <v/>
      </c>
      <c r="BE174" t="str">
        <f ca="1">IF(AND(ISNUMBER($BE$376),$B$208=1),$BE$376,HLOOKUP(INDIRECT(ADDRESS(2,COLUMN())),OFFSET($BN$2,0,0,ROW()-1,60),ROW()-1,FALSE))</f>
        <v/>
      </c>
      <c r="BF174" t="str">
        <f ca="1">IF(AND(ISNUMBER($BF$376),$B$208=1),$BF$376,HLOOKUP(INDIRECT(ADDRESS(2,COLUMN())),OFFSET($BN$2,0,0,ROW()-1,60),ROW()-1,FALSE))</f>
        <v/>
      </c>
      <c r="BG174" t="str">
        <f ca="1">IF(AND(ISNUMBER($BG$376),$B$208=1),$BG$376,HLOOKUP(INDIRECT(ADDRESS(2,COLUMN())),OFFSET($BN$2,0,0,ROW()-1,60),ROW()-1,FALSE))</f>
        <v/>
      </c>
      <c r="BH174" t="str">
        <f ca="1">IF(AND(ISNUMBER($BH$376),$B$208=1),$BH$376,HLOOKUP(INDIRECT(ADDRESS(2,COLUMN())),OFFSET($BN$2,0,0,ROW()-1,60),ROW()-1,FALSE))</f>
        <v/>
      </c>
      <c r="BI174" t="str">
        <f ca="1">IF(AND(ISNUMBER($BI$376),$B$208=1),$BI$376,HLOOKUP(INDIRECT(ADDRESS(2,COLUMN())),OFFSET($BN$2,0,0,ROW()-1,60),ROW()-1,FALSE))</f>
        <v/>
      </c>
      <c r="BJ174" t="str">
        <f ca="1">IF(AND(ISNUMBER($BJ$376),$B$208=1),$BJ$376,HLOOKUP(INDIRECT(ADDRESS(2,COLUMN())),OFFSET($BN$2,0,0,ROW()-1,60),ROW()-1,FALSE))</f>
        <v/>
      </c>
      <c r="BK174" t="str">
        <f ca="1">IF(AND(ISNUMBER($BK$376),$B$208=1),$BK$376,HLOOKUP(INDIRECT(ADDRESS(2,COLUMN())),OFFSET($BN$2,0,0,ROW()-1,60),ROW()-1,FALSE))</f>
        <v/>
      </c>
      <c r="BL174" t="str">
        <f ca="1">IF(AND(ISNUMBER($BL$376),$B$208=1),$BL$376,HLOOKUP(INDIRECT(ADDRESS(2,COLUMN())),OFFSET($BN$2,0,0,ROW()-1,60),ROW()-1,FALSE))</f>
        <v/>
      </c>
      <c r="BM174" t="str">
        <f ca="1">IF(AND(ISNUMBER($BM$376),$B$208=1),$BM$376,HLOOKUP(INDIRECT(ADDRESS(2,COLUMN())),OFFSET($BN$2,0,0,ROW()-1,60),ROW()-1,FALSE))</f>
        <v/>
      </c>
      <c r="BN174" t="str">
        <f>""</f>
        <v/>
      </c>
      <c r="BO174" t="str">
        <f>""</f>
        <v/>
      </c>
      <c r="BP174">
        <f>757.889</f>
        <v>757.88900000000001</v>
      </c>
      <c r="BQ174" t="str">
        <f>""</f>
        <v/>
      </c>
      <c r="BR174">
        <f>574.887</f>
        <v>574.88699999999994</v>
      </c>
      <c r="BS174" t="str">
        <f>""</f>
        <v/>
      </c>
      <c r="BT174">
        <f>317.307</f>
        <v>317.30700000000002</v>
      </c>
      <c r="BU174" t="str">
        <f>""</f>
        <v/>
      </c>
      <c r="BV174">
        <f>435.253</f>
        <v>435.25299999999999</v>
      </c>
      <c r="BW174" t="str">
        <f>""</f>
        <v/>
      </c>
      <c r="BX174">
        <f>475.16</f>
        <v>475.16</v>
      </c>
      <c r="BY174" t="str">
        <f>""</f>
        <v/>
      </c>
      <c r="BZ174">
        <f>433.611</f>
        <v>433.61099999999999</v>
      </c>
      <c r="CA174" t="str">
        <f>""</f>
        <v/>
      </c>
      <c r="CB174">
        <f>432.427</f>
        <v>432.42700000000002</v>
      </c>
      <c r="CC174" t="str">
        <f>""</f>
        <v/>
      </c>
      <c r="CD174">
        <f>410.453</f>
        <v>410.45299999999997</v>
      </c>
      <c r="CE174" t="str">
        <f>""</f>
        <v/>
      </c>
      <c r="CF174">
        <f>333.143</f>
        <v>333.14299999999997</v>
      </c>
      <c r="CG174" t="str">
        <f>""</f>
        <v/>
      </c>
      <c r="CH174">
        <f>298.67</f>
        <v>298.67</v>
      </c>
      <c r="CI174" t="str">
        <f>""</f>
        <v/>
      </c>
      <c r="CJ174">
        <f>397.978</f>
        <v>397.97800000000001</v>
      </c>
      <c r="CK174" t="str">
        <f>""</f>
        <v/>
      </c>
      <c r="CL174">
        <f>226.802</f>
        <v>226.80199999999999</v>
      </c>
      <c r="CM174" t="str">
        <f>""</f>
        <v/>
      </c>
      <c r="CN174">
        <f>227.711</f>
        <v>227.71100000000001</v>
      </c>
      <c r="CO174" t="str">
        <f>""</f>
        <v/>
      </c>
      <c r="CP174">
        <f>168.198267</f>
        <v>168.19826699999999</v>
      </c>
      <c r="CQ174" t="str">
        <f>""</f>
        <v/>
      </c>
      <c r="CR174">
        <f>177.179941</f>
        <v>177.17994100000001</v>
      </c>
      <c r="CS174" t="str">
        <f>""</f>
        <v/>
      </c>
      <c r="CT174">
        <f>152.702</f>
        <v>152.702</v>
      </c>
      <c r="CU174" t="str">
        <f>""</f>
        <v/>
      </c>
      <c r="CV174">
        <f>161.324796</f>
        <v>161.32479599999999</v>
      </c>
      <c r="CW174" t="str">
        <f>""</f>
        <v/>
      </c>
      <c r="CX174">
        <f>140.804</f>
        <v>140.804</v>
      </c>
      <c r="CY174" t="str">
        <f>""</f>
        <v/>
      </c>
      <c r="CZ174">
        <f>159.729674</f>
        <v>159.72967399999999</v>
      </c>
      <c r="DA174" t="str">
        <f>""</f>
        <v/>
      </c>
      <c r="DB174">
        <f>126.141232</f>
        <v>126.141232</v>
      </c>
      <c r="DC174">
        <f>113.546411</f>
        <v>113.54641100000001</v>
      </c>
      <c r="DD174">
        <f>147.166729</f>
        <v>147.166729</v>
      </c>
      <c r="DE174">
        <f>162.187196</f>
        <v>162.187196</v>
      </c>
      <c r="DF174" t="str">
        <f>""</f>
        <v/>
      </c>
      <c r="DG174" t="str">
        <f>""</f>
        <v/>
      </c>
      <c r="DH174" t="str">
        <f>""</f>
        <v/>
      </c>
      <c r="DI174" t="str">
        <f>""</f>
        <v/>
      </c>
      <c r="DJ174" t="str">
        <f>""</f>
        <v/>
      </c>
      <c r="DK174" t="str">
        <f>""</f>
        <v/>
      </c>
      <c r="DL174" t="str">
        <f>""</f>
        <v/>
      </c>
      <c r="DM174" t="str">
        <f>""</f>
        <v/>
      </c>
      <c r="DN174" t="str">
        <f>""</f>
        <v/>
      </c>
      <c r="DO174" t="str">
        <f>""</f>
        <v/>
      </c>
      <c r="DP174" t="str">
        <f>""</f>
        <v/>
      </c>
      <c r="DQ174" t="str">
        <f>""</f>
        <v/>
      </c>
      <c r="DR174" t="str">
        <f>""</f>
        <v/>
      </c>
      <c r="DS174" t="str">
        <f>""</f>
        <v/>
      </c>
      <c r="DT174" t="str">
        <f>""</f>
        <v/>
      </c>
      <c r="DU174" t="str">
        <f>""</f>
        <v/>
      </c>
    </row>
    <row r="175" spans="1:125" x14ac:dyDescent="0.25">
      <c r="A175" t="str">
        <f>"    HSBC Holdings PLC"</f>
        <v xml:space="preserve">    HSBC Holdings PLC</v>
      </c>
      <c r="B175" t="str">
        <f>"HSBA LN Equity"</f>
        <v>HSBA LN Equity</v>
      </c>
      <c r="C175" t="str">
        <f t="shared" si="12"/>
        <v>BS018</v>
      </c>
      <c r="D175" t="str">
        <f t="shared" si="13"/>
        <v>BS_OTHER_LOAN</v>
      </c>
      <c r="E175" t="str">
        <f t="shared" si="14"/>
        <v>Dynamic</v>
      </c>
      <c r="F175">
        <f ca="1">IF(AND(ISNUMBER($F$377),$B$208=1),$F$377,HLOOKUP(INDIRECT(ADDRESS(2,COLUMN())),OFFSET($BN$2,0,0,ROW()-1,60),ROW()-1,FALSE))</f>
        <v>79683.061170000001</v>
      </c>
      <c r="G175" t="str">
        <f ca="1">IF(AND(ISNUMBER($G$377),$B$208=1),$G$377,HLOOKUP(INDIRECT(ADDRESS(2,COLUMN())),OFFSET($BN$2,0,0,ROW()-1,60),ROW()-1,FALSE))</f>
        <v/>
      </c>
      <c r="H175">
        <f ca="1">IF(AND(ISNUMBER($H$377),$B$208=1),$H$377,HLOOKUP(INDIRECT(ADDRESS(2,COLUMN())),OFFSET($BN$2,0,0,ROW()-1,60),ROW()-1,FALSE))</f>
        <v>73953.900710000002</v>
      </c>
      <c r="I175" t="str">
        <f ca="1">IF(AND(ISNUMBER($I$377),$B$208=1),$I$377,HLOOKUP(INDIRECT(ADDRESS(2,COLUMN())),OFFSET($BN$2,0,0,ROW()-1,60),ROW()-1,FALSE))</f>
        <v/>
      </c>
      <c r="J175">
        <f ca="1">IF(AND(ISNUMBER($J$377),$B$208=1),$J$377,HLOOKUP(INDIRECT(ADDRESS(2,COLUMN())),OFFSET($BN$2,0,0,ROW()-1,60),ROW()-1,FALSE))</f>
        <v>67274.041939999996</v>
      </c>
      <c r="K175" t="str">
        <f ca="1">IF(AND(ISNUMBER($K$377),$B$208=1),$K$377,HLOOKUP(INDIRECT(ADDRESS(2,COLUMN())),OFFSET($BN$2,0,0,ROW()-1,60),ROW()-1,FALSE))</f>
        <v/>
      </c>
      <c r="L175">
        <f ca="1">IF(AND(ISNUMBER($L$377),$B$208=1),$L$377,HLOOKUP(INDIRECT(ADDRESS(2,COLUMN())),OFFSET($BN$2,0,0,ROW()-1,60),ROW()-1,FALSE))</f>
        <v>70151.126579999996</v>
      </c>
      <c r="M175" t="str">
        <f ca="1">IF(AND(ISNUMBER($M$377),$B$208=1),$M$377,HLOOKUP(INDIRECT(ADDRESS(2,COLUMN())),OFFSET($BN$2,0,0,ROW()-1,60),ROW()-1,FALSE))</f>
        <v/>
      </c>
      <c r="N175">
        <f ca="1">IF(AND(ISNUMBER($N$377),$B$208=1),$N$377,HLOOKUP(INDIRECT(ADDRESS(2,COLUMN())),OFFSET($BN$2,0,0,ROW()-1,60),ROW()-1,FALSE))</f>
        <v>62481.561009999998</v>
      </c>
      <c r="O175" t="str">
        <f ca="1">IF(AND(ISNUMBER($O$377),$B$208=1),$O$377,HLOOKUP(INDIRECT(ADDRESS(2,COLUMN())),OFFSET($BN$2,0,0,ROW()-1,60),ROW()-1,FALSE))</f>
        <v/>
      </c>
      <c r="P175">
        <f ca="1">IF(AND(ISNUMBER($P$377),$B$208=1),$P$377,HLOOKUP(INDIRECT(ADDRESS(2,COLUMN())),OFFSET($BN$2,0,0,ROW()-1,60),ROW()-1,FALSE))</f>
        <v>62904.702850000001</v>
      </c>
      <c r="Q175" t="str">
        <f ca="1">IF(AND(ISNUMBER($Q$377),$B$208=1),$Q$377,HLOOKUP(INDIRECT(ADDRESS(2,COLUMN())),OFFSET($BN$2,0,0,ROW()-1,60),ROW()-1,FALSE))</f>
        <v/>
      </c>
      <c r="R175">
        <f ca="1">IF(AND(ISNUMBER($R$377),$B$208=1),$R$377,HLOOKUP(INDIRECT(ADDRESS(2,COLUMN())),OFFSET($BN$2,0,0,ROW()-1,60),ROW()-1,FALSE))</f>
        <v>57399.437910000001</v>
      </c>
      <c r="S175">
        <f ca="1">IF(AND(ISNUMBER($S$377),$B$208=1),$S$377,HLOOKUP(INDIRECT(ADDRESS(2,COLUMN())),OFFSET($BN$2,0,0,ROW()-1,60),ROW()-1,FALSE))</f>
        <v>56395.298589999999</v>
      </c>
      <c r="T175">
        <f ca="1">IF(AND(ISNUMBER($T$377),$B$208=1),$T$377,HLOOKUP(INDIRECT(ADDRESS(2,COLUMN())),OFFSET($BN$2,0,0,ROW()-1,60),ROW()-1,FALSE))</f>
        <v>58846.316140000003</v>
      </c>
      <c r="U175">
        <f ca="1">IF(AND(ISNUMBER($U$377),$B$208=1),$U$377,HLOOKUP(INDIRECT(ADDRESS(2,COLUMN())),OFFSET($BN$2,0,0,ROW()-1,60),ROW()-1,FALSE))</f>
        <v>54822.978719999999</v>
      </c>
      <c r="V175">
        <f ca="1">IF(AND(ISNUMBER($V$377),$B$208=1),$V$377,HLOOKUP(INDIRECT(ADDRESS(2,COLUMN())),OFFSET($BN$2,0,0,ROW()-1,60),ROW()-1,FALSE))</f>
        <v>52826.175869999999</v>
      </c>
      <c r="W175">
        <f ca="1">IF(AND(ISNUMBER($W$377),$B$208=1),$W$377,HLOOKUP(INDIRECT(ADDRESS(2,COLUMN())),OFFSET($BN$2,0,0,ROW()-1,60),ROW()-1,FALSE))</f>
        <v>59801.228459999998</v>
      </c>
      <c r="X175">
        <f ca="1">IF(AND(ISNUMBER($X$377),$B$208=1),$X$377,HLOOKUP(INDIRECT(ADDRESS(2,COLUMN())),OFFSET($BN$2,0,0,ROW()-1,60),ROW()-1,FALSE))</f>
        <v>61741.528059999997</v>
      </c>
      <c r="Y175">
        <f ca="1">IF(AND(ISNUMBER($Y$377),$B$208=1),$Y$377,HLOOKUP(INDIRECT(ADDRESS(2,COLUMN())),OFFSET($BN$2,0,0,ROW()-1,60),ROW()-1,FALSE))</f>
        <v>0</v>
      </c>
      <c r="Z175">
        <f ca="1">IF(AND(ISNUMBER($Z$377),$B$208=1),$Z$377,HLOOKUP(INDIRECT(ADDRESS(2,COLUMN())),OFFSET($BN$2,0,0,ROW()-1,60),ROW()-1,FALSE))</f>
        <v>62966.426220000001</v>
      </c>
      <c r="AA175">
        <f ca="1">IF(AND(ISNUMBER($AA$377),$B$208=1),$AA$377,HLOOKUP(INDIRECT(ADDRESS(2,COLUMN())),OFFSET($BN$2,0,0,ROW()-1,60),ROW()-1,FALSE))</f>
        <v>67044.850040000005</v>
      </c>
      <c r="AB175">
        <f ca="1">IF(AND(ISNUMBER($AB$377),$B$208=1),$AB$377,HLOOKUP(INDIRECT(ADDRESS(2,COLUMN())),OFFSET($BN$2,0,0,ROW()-1,60),ROW()-1,FALSE))</f>
        <v>61074.038209999999</v>
      </c>
      <c r="AC175">
        <f ca="1">IF(AND(ISNUMBER($AC$377),$B$208=1),$AC$377,HLOOKUP(INDIRECT(ADDRESS(2,COLUMN())),OFFSET($BN$2,0,0,ROW()-1,60),ROW()-1,FALSE))</f>
        <v>58937.70609</v>
      </c>
      <c r="AD175">
        <f ca="1">IF(AND(ISNUMBER($AD$377),$B$208=1),$AD$377,HLOOKUP(INDIRECT(ADDRESS(2,COLUMN())),OFFSET($BN$2,0,0,ROW()-1,60),ROW()-1,FALSE))</f>
        <v>53621.201540000002</v>
      </c>
      <c r="AE175">
        <f ca="1">IF(AND(ISNUMBER($AE$377),$B$208=1),$AE$377,HLOOKUP(INDIRECT(ADDRESS(2,COLUMN())),OFFSET($BN$2,0,0,ROW()-1,60),ROW()-1,FALSE))</f>
        <v>55762.8724</v>
      </c>
      <c r="AF175">
        <f ca="1">IF(AND(ISNUMBER($AF$377),$B$208=1),$AF$377,HLOOKUP(INDIRECT(ADDRESS(2,COLUMN())),OFFSET($BN$2,0,0,ROW()-1,60),ROW()-1,FALSE))</f>
        <v>51613.428110000001</v>
      </c>
      <c r="AG175">
        <f ca="1">IF(AND(ISNUMBER($AG$377),$B$208=1),$AG$377,HLOOKUP(INDIRECT(ADDRESS(2,COLUMN())),OFFSET($BN$2,0,0,ROW()-1,60),ROW()-1,FALSE))</f>
        <v>48822.909059999998</v>
      </c>
      <c r="AH175">
        <f ca="1">IF(AND(ISNUMBER($AH$377),$B$208=1),$AH$377,HLOOKUP(INDIRECT(ADDRESS(2,COLUMN())),OFFSET($BN$2,0,0,ROW()-1,60),ROW()-1,FALSE))</f>
        <v>0</v>
      </c>
      <c r="AI175">
        <f ca="1">IF(AND(ISNUMBER($AI$377),$B$208=1),$AI$377,HLOOKUP(INDIRECT(ADDRESS(2,COLUMN())),OFFSET($BN$2,0,0,ROW()-1,60),ROW()-1,FALSE))</f>
        <v>0</v>
      </c>
      <c r="AJ175">
        <f ca="1">IF(AND(ISNUMBER($AJ$377),$B$208=1),$AJ$377,HLOOKUP(INDIRECT(ADDRESS(2,COLUMN())),OFFSET($BN$2,0,0,ROW()-1,60),ROW()-1,FALSE))</f>
        <v>0</v>
      </c>
      <c r="AK175">
        <f ca="1">IF(AND(ISNUMBER($AK$377),$B$208=1),$AK$377,HLOOKUP(INDIRECT(ADDRESS(2,COLUMN())),OFFSET($BN$2,0,0,ROW()-1,60),ROW()-1,FALSE))</f>
        <v>0</v>
      </c>
      <c r="AL175">
        <f ca="1">IF(AND(ISNUMBER($AL$377),$B$208=1),$AL$377,HLOOKUP(INDIRECT(ADDRESS(2,COLUMN())),OFFSET($BN$2,0,0,ROW()-1,60),ROW()-1,FALSE))</f>
        <v>0</v>
      </c>
      <c r="AM175">
        <f ca="1">IF(AND(ISNUMBER($AM$377),$B$208=1),$AM$377,HLOOKUP(INDIRECT(ADDRESS(2,COLUMN())),OFFSET($BN$2,0,0,ROW()-1,60),ROW()-1,FALSE))</f>
        <v>0</v>
      </c>
      <c r="AN175">
        <f ca="1">IF(AND(ISNUMBER($AN$377),$B$208=1),$AN$377,HLOOKUP(INDIRECT(ADDRESS(2,COLUMN())),OFFSET($BN$2,0,0,ROW()-1,60),ROW()-1,FALSE))</f>
        <v>0</v>
      </c>
      <c r="AO175">
        <f ca="1">IF(AND(ISNUMBER($AO$377),$B$208=1),$AO$377,HLOOKUP(INDIRECT(ADDRESS(2,COLUMN())),OFFSET($BN$2,0,0,ROW()-1,60),ROW()-1,FALSE))</f>
        <v>0</v>
      </c>
      <c r="AP175">
        <f ca="1">IF(AND(ISNUMBER($AP$377),$B$208=1),$AP$377,HLOOKUP(INDIRECT(ADDRESS(2,COLUMN())),OFFSET($BN$2,0,0,ROW()-1,60),ROW()-1,FALSE))</f>
        <v>0</v>
      </c>
      <c r="AQ175">
        <f ca="1">IF(AND(ISNUMBER($AQ$377),$B$208=1),$AQ$377,HLOOKUP(INDIRECT(ADDRESS(2,COLUMN())),OFFSET($BN$2,0,0,ROW()-1,60),ROW()-1,FALSE))</f>
        <v>0</v>
      </c>
      <c r="AR175">
        <f ca="1">IF(AND(ISNUMBER($AR$377),$B$208=1),$AR$377,HLOOKUP(INDIRECT(ADDRESS(2,COLUMN())),OFFSET($BN$2,0,0,ROW()-1,60),ROW()-1,FALSE))</f>
        <v>0</v>
      </c>
      <c r="AS175">
        <f ca="1">IF(AND(ISNUMBER($AS$377),$B$208=1),$AS$377,HLOOKUP(INDIRECT(ADDRESS(2,COLUMN())),OFFSET($BN$2,0,0,ROW()-1,60),ROW()-1,FALSE))</f>
        <v>1537.0991799999999</v>
      </c>
      <c r="AT175">
        <f ca="1">IF(AND(ISNUMBER($AT$377),$B$208=1),$AT$377,HLOOKUP(INDIRECT(ADDRESS(2,COLUMN())),OFFSET($BN$2,0,0,ROW()-1,60),ROW()-1,FALSE))</f>
        <v>1709.917355</v>
      </c>
      <c r="AU175">
        <f ca="1">IF(AND(ISNUMBER($AU$377),$B$208=1),$AU$377,HLOOKUP(INDIRECT(ADDRESS(2,COLUMN())),OFFSET($BN$2,0,0,ROW()-1,60),ROW()-1,FALSE))</f>
        <v>1792.699343</v>
      </c>
      <c r="AV175">
        <f ca="1">IF(AND(ISNUMBER($AV$377),$B$208=1),$AV$377,HLOOKUP(INDIRECT(ADDRESS(2,COLUMN())),OFFSET($BN$2,0,0,ROW()-1,60),ROW()-1,FALSE))</f>
        <v>1840.759679</v>
      </c>
      <c r="AW175">
        <f ca="1">IF(AND(ISNUMBER($AW$377),$B$208=1),$AW$377,HLOOKUP(INDIRECT(ADDRESS(2,COLUMN())),OFFSET($BN$2,0,0,ROW()-1,60),ROW()-1,FALSE))</f>
        <v>1895.8756900000001</v>
      </c>
      <c r="AX175">
        <f ca="1">IF(AND(ISNUMBER($AX$377),$B$208=1),$AX$377,HLOOKUP(INDIRECT(ADDRESS(2,COLUMN())),OFFSET($BN$2,0,0,ROW()-1,60),ROW()-1,FALSE))</f>
        <v>1969.685982</v>
      </c>
      <c r="AY175">
        <f ca="1">IF(AND(ISNUMBER($AY$377),$B$208=1),$AY$377,HLOOKUP(INDIRECT(ADDRESS(2,COLUMN())),OFFSET($BN$2,0,0,ROW()-1,60),ROW()-1,FALSE))</f>
        <v>2284.3840070000001</v>
      </c>
      <c r="AZ175">
        <f ca="1">IF(AND(ISNUMBER($AZ$377),$B$208=1),$AZ$377,HLOOKUP(INDIRECT(ADDRESS(2,COLUMN())),OFFSET($BN$2,0,0,ROW()-1,60),ROW()-1,FALSE))</f>
        <v>2665.1287969999998</v>
      </c>
      <c r="BA175">
        <f ca="1">IF(AND(ISNUMBER($BA$377),$B$208=1),$BA$377,HLOOKUP(INDIRECT(ADDRESS(2,COLUMN())),OFFSET($BN$2,0,0,ROW()-1,60),ROW()-1,FALSE))</f>
        <v>2802.870739</v>
      </c>
      <c r="BB175">
        <f ca="1">IF(AND(ISNUMBER($BB$377),$B$208=1),$BB$377,HLOOKUP(INDIRECT(ADDRESS(2,COLUMN())),OFFSET($BN$2,0,0,ROW()-1,60),ROW()-1,FALSE))</f>
        <v>2948.397363</v>
      </c>
      <c r="BC175">
        <f ca="1">IF(AND(ISNUMBER($BC$377),$B$208=1),$BC$377,HLOOKUP(INDIRECT(ADDRESS(2,COLUMN())),OFFSET($BN$2,0,0,ROW()-1,60),ROW()-1,FALSE))</f>
        <v>3261.882572</v>
      </c>
      <c r="BD175">
        <f ca="1">IF(AND(ISNUMBER($BD$377),$B$208=1),$BD$377,HLOOKUP(INDIRECT(ADDRESS(2,COLUMN())),OFFSET($BN$2,0,0,ROW()-1,60),ROW()-1,FALSE))</f>
        <v>3670.8560590000002</v>
      </c>
      <c r="BE175">
        <f ca="1">IF(AND(ISNUMBER($BE$377),$B$208=1),$BE$377,HLOOKUP(INDIRECT(ADDRESS(2,COLUMN())),OFFSET($BN$2,0,0,ROW()-1,60),ROW()-1,FALSE))</f>
        <v>3703.120312</v>
      </c>
      <c r="BF175">
        <f ca="1">IF(AND(ISNUMBER($BF$377),$B$208=1),$BF$377,HLOOKUP(INDIRECT(ADDRESS(2,COLUMN())),OFFSET($BN$2,0,0,ROW()-1,60),ROW()-1,FALSE))</f>
        <v>4074.0740740000001</v>
      </c>
      <c r="BG175">
        <f ca="1">IF(AND(ISNUMBER($BG$377),$B$208=1),$BG$377,HLOOKUP(INDIRECT(ADDRESS(2,COLUMN())),OFFSET($BN$2,0,0,ROW()-1,60),ROW()-1,FALSE))</f>
        <v>3932.6343969999998</v>
      </c>
      <c r="BH175">
        <f ca="1">IF(AND(ISNUMBER($BH$377),$B$208=1),$BH$377,HLOOKUP(INDIRECT(ADDRESS(2,COLUMN())),OFFSET($BN$2,0,0,ROW()-1,60),ROW()-1,FALSE))</f>
        <v>3903.5148170000002</v>
      </c>
      <c r="BI175">
        <f ca="1">IF(AND(ISNUMBER($BI$377),$B$208=1),$BI$377,HLOOKUP(INDIRECT(ADDRESS(2,COLUMN())),OFFSET($BN$2,0,0,ROW()-1,60),ROW()-1,FALSE))</f>
        <v>4106.4129670000002</v>
      </c>
      <c r="BJ175">
        <f ca="1">IF(AND(ISNUMBER($BJ$377),$B$208=1),$BJ$377,HLOOKUP(INDIRECT(ADDRESS(2,COLUMN())),OFFSET($BN$2,0,0,ROW()-1,60),ROW()-1,FALSE))</f>
        <v>4408.1999100000003</v>
      </c>
      <c r="BK175" t="str">
        <f ca="1">IF(AND(ISNUMBER($BK$377),$B$208=1),$BK$377,HLOOKUP(INDIRECT(ADDRESS(2,COLUMN())),OFFSET($BN$2,0,0,ROW()-1,60),ROW()-1,FALSE))</f>
        <v/>
      </c>
      <c r="BL175">
        <f ca="1">IF(AND(ISNUMBER($BL$377),$B$208=1),$BL$377,HLOOKUP(INDIRECT(ADDRESS(2,COLUMN())),OFFSET($BN$2,0,0,ROW()-1,60),ROW()-1,FALSE))</f>
        <v>5035.4899240000004</v>
      </c>
      <c r="BM175" t="str">
        <f ca="1">IF(AND(ISNUMBER($BM$377),$B$208=1),$BM$377,HLOOKUP(INDIRECT(ADDRESS(2,COLUMN())),OFFSET($BN$2,0,0,ROW()-1,60),ROW()-1,FALSE))</f>
        <v/>
      </c>
      <c r="BN175">
        <f>79683.06117</f>
        <v>79683.061170000001</v>
      </c>
      <c r="BO175" t="str">
        <f>""</f>
        <v/>
      </c>
      <c r="BP175">
        <f>73953.90071</f>
        <v>73953.900710000002</v>
      </c>
      <c r="BQ175" t="str">
        <f>""</f>
        <v/>
      </c>
      <c r="BR175">
        <f>67274.04194</f>
        <v>67274.041939999996</v>
      </c>
      <c r="BS175" t="str">
        <f>""</f>
        <v/>
      </c>
      <c r="BT175">
        <f>70151.12658</f>
        <v>70151.126579999996</v>
      </c>
      <c r="BU175" t="str">
        <f>""</f>
        <v/>
      </c>
      <c r="BV175">
        <f>62481.56101</f>
        <v>62481.561009999998</v>
      </c>
      <c r="BW175" t="str">
        <f>""</f>
        <v/>
      </c>
      <c r="BX175">
        <f>62904.70285</f>
        <v>62904.702850000001</v>
      </c>
      <c r="BY175" t="str">
        <f>""</f>
        <v/>
      </c>
      <c r="BZ175">
        <f>57399.43791</f>
        <v>57399.437910000001</v>
      </c>
      <c r="CA175">
        <f>56395.29859</f>
        <v>56395.298589999999</v>
      </c>
      <c r="CB175">
        <f>58846.31614</f>
        <v>58846.316140000003</v>
      </c>
      <c r="CC175">
        <f>54822.97872</f>
        <v>54822.978719999999</v>
      </c>
      <c r="CD175">
        <f>52826.17587</f>
        <v>52826.175869999999</v>
      </c>
      <c r="CE175">
        <f>59801.22846</f>
        <v>59801.228459999998</v>
      </c>
      <c r="CF175">
        <f>61741.52806</f>
        <v>61741.528059999997</v>
      </c>
      <c r="CG175">
        <f>0</f>
        <v>0</v>
      </c>
      <c r="CH175">
        <f>62966.42622</f>
        <v>62966.426220000001</v>
      </c>
      <c r="CI175">
        <f>67044.85004</f>
        <v>67044.850040000005</v>
      </c>
      <c r="CJ175">
        <f>61074.03821</f>
        <v>61074.038209999999</v>
      </c>
      <c r="CK175">
        <f>58937.70609</f>
        <v>58937.70609</v>
      </c>
      <c r="CL175">
        <f>53621.20154</f>
        <v>53621.201540000002</v>
      </c>
      <c r="CM175">
        <f>55762.8724</f>
        <v>55762.8724</v>
      </c>
      <c r="CN175">
        <f>51613.42811</f>
        <v>51613.428110000001</v>
      </c>
      <c r="CO175">
        <f>48822.90906</f>
        <v>48822.909059999998</v>
      </c>
      <c r="CP175">
        <f>0</f>
        <v>0</v>
      </c>
      <c r="CQ175">
        <f>0</f>
        <v>0</v>
      </c>
      <c r="CR175">
        <f>0</f>
        <v>0</v>
      </c>
      <c r="CS175">
        <f>0</f>
        <v>0</v>
      </c>
      <c r="CT175">
        <f>0</f>
        <v>0</v>
      </c>
      <c r="CU175">
        <f>0</f>
        <v>0</v>
      </c>
      <c r="CV175">
        <f>0</f>
        <v>0</v>
      </c>
      <c r="CW175">
        <f>0</f>
        <v>0</v>
      </c>
      <c r="CX175">
        <f>0</f>
        <v>0</v>
      </c>
      <c r="CY175">
        <f>0</f>
        <v>0</v>
      </c>
      <c r="CZ175">
        <f>0</f>
        <v>0</v>
      </c>
      <c r="DA175">
        <f>1537.09918</f>
        <v>1537.0991799999999</v>
      </c>
      <c r="DB175">
        <f>1709.917355</f>
        <v>1709.917355</v>
      </c>
      <c r="DC175">
        <f>1792.699343</f>
        <v>1792.699343</v>
      </c>
      <c r="DD175">
        <f>1840.759679</f>
        <v>1840.759679</v>
      </c>
      <c r="DE175">
        <f>1895.87569</f>
        <v>1895.8756900000001</v>
      </c>
      <c r="DF175">
        <f>1969.685982</f>
        <v>1969.685982</v>
      </c>
      <c r="DG175">
        <f>2284.384007</f>
        <v>2284.3840070000001</v>
      </c>
      <c r="DH175">
        <f>2665.128797</f>
        <v>2665.1287969999998</v>
      </c>
      <c r="DI175">
        <f>2802.870739</f>
        <v>2802.870739</v>
      </c>
      <c r="DJ175">
        <f>2948.397363</f>
        <v>2948.397363</v>
      </c>
      <c r="DK175">
        <f>3261.882572</f>
        <v>3261.882572</v>
      </c>
      <c r="DL175">
        <f>3670.856059</f>
        <v>3670.8560590000002</v>
      </c>
      <c r="DM175">
        <f>3703.120312</f>
        <v>3703.120312</v>
      </c>
      <c r="DN175">
        <f>4074.074074</f>
        <v>4074.0740740000001</v>
      </c>
      <c r="DO175">
        <f>3932.634397</f>
        <v>3932.6343969999998</v>
      </c>
      <c r="DP175">
        <f>3903.514817</f>
        <v>3903.5148170000002</v>
      </c>
      <c r="DQ175">
        <f>4106.412967</f>
        <v>4106.4129670000002</v>
      </c>
      <c r="DR175">
        <f>4408.19991</f>
        <v>4408.1999100000003</v>
      </c>
      <c r="DS175" t="str">
        <f>""</f>
        <v/>
      </c>
      <c r="DT175">
        <f>5035.489924</f>
        <v>5035.4899240000004</v>
      </c>
      <c r="DU175" t="str">
        <f>""</f>
        <v/>
      </c>
    </row>
    <row r="176" spans="1:125" x14ac:dyDescent="0.25">
      <c r="A176" t="str">
        <f>"    ING Groep NV"</f>
        <v xml:space="preserve">    ING Groep NV</v>
      </c>
      <c r="B176" t="str">
        <f>"INGA NA Equity"</f>
        <v>INGA NA Equity</v>
      </c>
      <c r="C176" t="str">
        <f t="shared" si="12"/>
        <v>BS018</v>
      </c>
      <c r="D176" t="str">
        <f t="shared" si="13"/>
        <v>BS_OTHER_LOAN</v>
      </c>
      <c r="E176" t="str">
        <f t="shared" si="14"/>
        <v>Dynamic</v>
      </c>
      <c r="F176">
        <f ca="1">IF(AND(ISNUMBER($F$378),$B$208=1),$F$378,HLOOKUP(INDIRECT(ADDRESS(2,COLUMN())),OFFSET($BN$2,0,0,ROW()-1,60),ROW()-1,FALSE))</f>
        <v>15190</v>
      </c>
      <c r="G176" t="str">
        <f ca="1">IF(AND(ISNUMBER($G$378),$B$208=1),$G$378,HLOOKUP(INDIRECT(ADDRESS(2,COLUMN())),OFFSET($BN$2,0,0,ROW()-1,60),ROW()-1,FALSE))</f>
        <v/>
      </c>
      <c r="H176">
        <f ca="1">IF(AND(ISNUMBER($H$378),$B$208=1),$H$378,HLOOKUP(INDIRECT(ADDRESS(2,COLUMN())),OFFSET($BN$2,0,0,ROW()-1,60),ROW()-1,FALSE))</f>
        <v>14975</v>
      </c>
      <c r="I176" t="str">
        <f ca="1">IF(AND(ISNUMBER($I$378),$B$208=1),$I$378,HLOOKUP(INDIRECT(ADDRESS(2,COLUMN())),OFFSET($BN$2,0,0,ROW()-1,60),ROW()-1,FALSE))</f>
        <v/>
      </c>
      <c r="J176">
        <f ca="1">IF(AND(ISNUMBER($J$378),$B$208=1),$J$378,HLOOKUP(INDIRECT(ADDRESS(2,COLUMN())),OFFSET($BN$2,0,0,ROW()-1,60),ROW()-1,FALSE))</f>
        <v>13885</v>
      </c>
      <c r="K176" t="str">
        <f ca="1">IF(AND(ISNUMBER($K$378),$B$208=1),$K$378,HLOOKUP(INDIRECT(ADDRESS(2,COLUMN())),OFFSET($BN$2,0,0,ROW()-1,60),ROW()-1,FALSE))</f>
        <v/>
      </c>
      <c r="L176">
        <f ca="1">IF(AND(ISNUMBER($L$378),$B$208=1),$L$378,HLOOKUP(INDIRECT(ADDRESS(2,COLUMN())),OFFSET($BN$2,0,0,ROW()-1,60),ROW()-1,FALSE))</f>
        <v>14878</v>
      </c>
      <c r="M176" t="str">
        <f ca="1">IF(AND(ISNUMBER($M$378),$B$208=1),$M$378,HLOOKUP(INDIRECT(ADDRESS(2,COLUMN())),OFFSET($BN$2,0,0,ROW()-1,60),ROW()-1,FALSE))</f>
        <v/>
      </c>
      <c r="N176">
        <f ca="1">IF(AND(ISNUMBER($N$378),$B$208=1),$N$378,HLOOKUP(INDIRECT(ADDRESS(2,COLUMN())),OFFSET($BN$2,0,0,ROW()-1,60),ROW()-1,FALSE))</f>
        <v>11371</v>
      </c>
      <c r="O176" t="str">
        <f ca="1">IF(AND(ISNUMBER($O$378),$B$208=1),$O$378,HLOOKUP(INDIRECT(ADDRESS(2,COLUMN())),OFFSET($BN$2,0,0,ROW()-1,60),ROW()-1,FALSE))</f>
        <v/>
      </c>
      <c r="P176">
        <f ca="1">IF(AND(ISNUMBER($P$378),$B$208=1),$P$378,HLOOKUP(INDIRECT(ADDRESS(2,COLUMN())),OFFSET($BN$2,0,0,ROW()-1,60),ROW()-1,FALSE))</f>
        <v>13295</v>
      </c>
      <c r="Q176" t="str">
        <f ca="1">IF(AND(ISNUMBER($Q$378),$B$208=1),$Q$378,HLOOKUP(INDIRECT(ADDRESS(2,COLUMN())),OFFSET($BN$2,0,0,ROW()-1,60),ROW()-1,FALSE))</f>
        <v/>
      </c>
      <c r="R176">
        <f ca="1">IF(AND(ISNUMBER($R$378),$B$208=1),$R$378,HLOOKUP(INDIRECT(ADDRESS(2,COLUMN())),OFFSET($BN$2,0,0,ROW()-1,60),ROW()-1,FALSE))</f>
        <v>47543</v>
      </c>
      <c r="S176" t="str">
        <f ca="1">IF(AND(ISNUMBER($S$378),$B$208=1),$S$378,HLOOKUP(INDIRECT(ADDRESS(2,COLUMN())),OFFSET($BN$2,0,0,ROW()-1,60),ROW()-1,FALSE))</f>
        <v/>
      </c>
      <c r="T176">
        <f ca="1">IF(AND(ISNUMBER($T$378),$B$208=1),$T$378,HLOOKUP(INDIRECT(ADDRESS(2,COLUMN())),OFFSET($BN$2,0,0,ROW()-1,60),ROW()-1,FALSE))</f>
        <v>47746</v>
      </c>
      <c r="U176" t="str">
        <f ca="1">IF(AND(ISNUMBER($U$378),$B$208=1),$U$378,HLOOKUP(INDIRECT(ADDRESS(2,COLUMN())),OFFSET($BN$2,0,0,ROW()-1,60),ROW()-1,FALSE))</f>
        <v/>
      </c>
      <c r="V176">
        <f ca="1">IF(AND(ISNUMBER($V$378),$B$208=1),$V$378,HLOOKUP(INDIRECT(ADDRESS(2,COLUMN())),OFFSET($BN$2,0,0,ROW()-1,60),ROW()-1,FALSE))</f>
        <v>46079</v>
      </c>
      <c r="W176" t="str">
        <f ca="1">IF(AND(ISNUMBER($W$378),$B$208=1),$W$378,HLOOKUP(INDIRECT(ADDRESS(2,COLUMN())),OFFSET($BN$2,0,0,ROW()-1,60),ROW()-1,FALSE))</f>
        <v/>
      </c>
      <c r="X176">
        <f ca="1">IF(AND(ISNUMBER($X$378),$B$208=1),$X$378,HLOOKUP(INDIRECT(ADDRESS(2,COLUMN())),OFFSET($BN$2,0,0,ROW()-1,60),ROW()-1,FALSE))</f>
        <v>46322</v>
      </c>
      <c r="Y176" t="str">
        <f ca="1">IF(AND(ISNUMBER($Y$378),$B$208=1),$Y$378,HLOOKUP(INDIRECT(ADDRESS(2,COLUMN())),OFFSET($BN$2,0,0,ROW()-1,60),ROW()-1,FALSE))</f>
        <v/>
      </c>
      <c r="Z176">
        <f ca="1">IF(AND(ISNUMBER($Z$378),$B$208=1),$Z$378,HLOOKUP(INDIRECT(ADDRESS(2,COLUMN())),OFFSET($BN$2,0,0,ROW()-1,60),ROW()-1,FALSE))</f>
        <v>45785</v>
      </c>
      <c r="AA176" t="str">
        <f ca="1">IF(AND(ISNUMBER($AA$378),$B$208=1),$AA$378,HLOOKUP(INDIRECT(ADDRESS(2,COLUMN())),OFFSET($BN$2,0,0,ROW()-1,60),ROW()-1,FALSE))</f>
        <v/>
      </c>
      <c r="AB176">
        <f ca="1">IF(AND(ISNUMBER($AB$378),$B$208=1),$AB$378,HLOOKUP(INDIRECT(ADDRESS(2,COLUMN())),OFFSET($BN$2,0,0,ROW()-1,60),ROW()-1,FALSE))</f>
        <v>47076</v>
      </c>
      <c r="AC176" t="str">
        <f ca="1">IF(AND(ISNUMBER($AC$378),$B$208=1),$AC$378,HLOOKUP(INDIRECT(ADDRESS(2,COLUMN())),OFFSET($BN$2,0,0,ROW()-1,60),ROW()-1,FALSE))</f>
        <v/>
      </c>
      <c r="AD176">
        <f ca="1">IF(AND(ISNUMBER($AD$378),$B$208=1),$AD$378,HLOOKUP(INDIRECT(ADDRESS(2,COLUMN())),OFFSET($BN$2,0,0,ROW()-1,60),ROW()-1,FALSE))</f>
        <v>44632</v>
      </c>
      <c r="AE176" t="str">
        <f ca="1">IF(AND(ISNUMBER($AE$378),$B$208=1),$AE$378,HLOOKUP(INDIRECT(ADDRESS(2,COLUMN())),OFFSET($BN$2,0,0,ROW()-1,60),ROW()-1,FALSE))</f>
        <v/>
      </c>
      <c r="AF176">
        <f ca="1">IF(AND(ISNUMBER($AF$378),$B$208=1),$AF$378,HLOOKUP(INDIRECT(ADDRESS(2,COLUMN())),OFFSET($BN$2,0,0,ROW()-1,60),ROW()-1,FALSE))</f>
        <v>45368</v>
      </c>
      <c r="AG176" t="str">
        <f ca="1">IF(AND(ISNUMBER($AG$378),$B$208=1),$AG$378,HLOOKUP(INDIRECT(ADDRESS(2,COLUMN())),OFFSET($BN$2,0,0,ROW()-1,60),ROW()-1,FALSE))</f>
        <v/>
      </c>
      <c r="AH176">
        <f ca="1">IF(AND(ISNUMBER($AH$378),$B$208=1),$AH$378,HLOOKUP(INDIRECT(ADDRESS(2,COLUMN())),OFFSET($BN$2,0,0,ROW()-1,60),ROW()-1,FALSE))</f>
        <v>50139</v>
      </c>
      <c r="AI176" t="str">
        <f ca="1">IF(AND(ISNUMBER($AI$378),$B$208=1),$AI$378,HLOOKUP(INDIRECT(ADDRESS(2,COLUMN())),OFFSET($BN$2,0,0,ROW()-1,60),ROW()-1,FALSE))</f>
        <v/>
      </c>
      <c r="AJ176">
        <f ca="1">IF(AND(ISNUMBER($AJ$378),$B$208=1),$AJ$378,HLOOKUP(INDIRECT(ADDRESS(2,COLUMN())),OFFSET($BN$2,0,0,ROW()-1,60),ROW()-1,FALSE))</f>
        <v>51231</v>
      </c>
      <c r="AK176" t="str">
        <f ca="1">IF(AND(ISNUMBER($AK$378),$B$208=1),$AK$378,HLOOKUP(INDIRECT(ADDRESS(2,COLUMN())),OFFSET($BN$2,0,0,ROW()-1,60),ROW()-1,FALSE))</f>
        <v/>
      </c>
      <c r="AL176">
        <f ca="1">IF(AND(ISNUMBER($AL$378),$B$208=1),$AL$378,HLOOKUP(INDIRECT(ADDRESS(2,COLUMN())),OFFSET($BN$2,0,0,ROW()-1,60),ROW()-1,FALSE))</f>
        <v>50858</v>
      </c>
      <c r="AM176" t="str">
        <f ca="1">IF(AND(ISNUMBER($AM$378),$B$208=1),$AM$378,HLOOKUP(INDIRECT(ADDRESS(2,COLUMN())),OFFSET($BN$2,0,0,ROW()-1,60),ROW()-1,FALSE))</f>
        <v/>
      </c>
      <c r="AN176">
        <f ca="1">IF(AND(ISNUMBER($AN$378),$B$208=1),$AN$378,HLOOKUP(INDIRECT(ADDRESS(2,COLUMN())),OFFSET($BN$2,0,0,ROW()-1,60),ROW()-1,FALSE))</f>
        <v>55310</v>
      </c>
      <c r="AO176" t="str">
        <f ca="1">IF(AND(ISNUMBER($AO$378),$B$208=1),$AO$378,HLOOKUP(INDIRECT(ADDRESS(2,COLUMN())),OFFSET($BN$2,0,0,ROW()-1,60),ROW()-1,FALSE))</f>
        <v/>
      </c>
      <c r="AP176">
        <f ca="1">IF(AND(ISNUMBER($AP$378),$B$208=1),$AP$378,HLOOKUP(INDIRECT(ADDRESS(2,COLUMN())),OFFSET($BN$2,0,0,ROW()-1,60),ROW()-1,FALSE))</f>
        <v>59048</v>
      </c>
      <c r="AQ176">
        <f ca="1">IF(AND(ISNUMBER($AQ$378),$B$208=1),$AQ$378,HLOOKUP(INDIRECT(ADDRESS(2,COLUMN())),OFFSET($BN$2,0,0,ROW()-1,60),ROW()-1,FALSE))</f>
        <v>57605</v>
      </c>
      <c r="AR176">
        <f ca="1">IF(AND(ISNUMBER($AR$378),$B$208=1),$AR$378,HLOOKUP(INDIRECT(ADDRESS(2,COLUMN())),OFFSET($BN$2,0,0,ROW()-1,60),ROW()-1,FALSE))</f>
        <v>58232</v>
      </c>
      <c r="AS176">
        <f ca="1">IF(AND(ISNUMBER($AS$378),$B$208=1),$AS$378,HLOOKUP(INDIRECT(ADDRESS(2,COLUMN())),OFFSET($BN$2,0,0,ROW()-1,60),ROW()-1,FALSE))</f>
        <v>58325</v>
      </c>
      <c r="AT176">
        <f ca="1">IF(AND(ISNUMBER($AT$378),$B$208=1),$AT$378,HLOOKUP(INDIRECT(ADDRESS(2,COLUMN())),OFFSET($BN$2,0,0,ROW()-1,60),ROW()-1,FALSE))</f>
        <v>52043</v>
      </c>
      <c r="AU176">
        <f ca="1">IF(AND(ISNUMBER($AU$378),$B$208=1),$AU$378,HLOOKUP(INDIRECT(ADDRESS(2,COLUMN())),OFFSET($BN$2,0,0,ROW()-1,60),ROW()-1,FALSE))</f>
        <v>51613</v>
      </c>
      <c r="AV176">
        <f ca="1">IF(AND(ISNUMBER($AV$378),$B$208=1),$AV$378,HLOOKUP(INDIRECT(ADDRESS(2,COLUMN())),OFFSET($BN$2,0,0,ROW()-1,60),ROW()-1,FALSE))</f>
        <v>77232</v>
      </c>
      <c r="AW176">
        <f ca="1">IF(AND(ISNUMBER($AW$378),$B$208=1),$AW$378,HLOOKUP(INDIRECT(ADDRESS(2,COLUMN())),OFFSET($BN$2,0,0,ROW()-1,60),ROW()-1,FALSE))</f>
        <v>74526</v>
      </c>
      <c r="AX176">
        <f ca="1">IF(AND(ISNUMBER($AX$378),$B$208=1),$AX$378,HLOOKUP(INDIRECT(ADDRESS(2,COLUMN())),OFFSET($BN$2,0,0,ROW()-1,60),ROW()-1,FALSE))</f>
        <v>60055</v>
      </c>
      <c r="AY176">
        <f ca="1">IF(AND(ISNUMBER($AY$378),$B$208=1),$AY$378,HLOOKUP(INDIRECT(ADDRESS(2,COLUMN())),OFFSET($BN$2,0,0,ROW()-1,60),ROW()-1,FALSE))</f>
        <v>75849</v>
      </c>
      <c r="AZ176">
        <f ca="1">IF(AND(ISNUMBER($AZ$378),$B$208=1),$AZ$378,HLOOKUP(INDIRECT(ADDRESS(2,COLUMN())),OFFSET($BN$2,0,0,ROW()-1,60),ROW()-1,FALSE))</f>
        <v>82702</v>
      </c>
      <c r="BA176">
        <f ca="1">IF(AND(ISNUMBER($BA$378),$B$208=1),$BA$378,HLOOKUP(INDIRECT(ADDRESS(2,COLUMN())),OFFSET($BN$2,0,0,ROW()-1,60),ROW()-1,FALSE))</f>
        <v>85471</v>
      </c>
      <c r="BB176" t="str">
        <f ca="1">IF(AND(ISNUMBER($BB$378),$B$208=1),$BB$378,HLOOKUP(INDIRECT(ADDRESS(2,COLUMN())),OFFSET($BN$2,0,0,ROW()-1,60),ROW()-1,FALSE))</f>
        <v/>
      </c>
      <c r="BC176">
        <f ca="1">IF(AND(ISNUMBER($BC$378),$B$208=1),$BC$378,HLOOKUP(INDIRECT(ADDRESS(2,COLUMN())),OFFSET($BN$2,0,0,ROW()-1,60),ROW()-1,FALSE))</f>
        <v>85954</v>
      </c>
      <c r="BD176" t="str">
        <f ca="1">IF(AND(ISNUMBER($BD$378),$B$208=1),$BD$378,HLOOKUP(INDIRECT(ADDRESS(2,COLUMN())),OFFSET($BN$2,0,0,ROW()-1,60),ROW()-1,FALSE))</f>
        <v/>
      </c>
      <c r="BE176">
        <f ca="1">IF(AND(ISNUMBER($BE$378),$B$208=1),$BE$378,HLOOKUP(INDIRECT(ADDRESS(2,COLUMN())),OFFSET($BN$2,0,0,ROW()-1,60),ROW()-1,FALSE))</f>
        <v>107000</v>
      </c>
      <c r="BF176">
        <f ca="1">IF(AND(ISNUMBER($BF$378),$B$208=1),$BF$378,HLOOKUP(INDIRECT(ADDRESS(2,COLUMN())),OFFSET($BN$2,0,0,ROW()-1,60),ROW()-1,FALSE))</f>
        <v>96069</v>
      </c>
      <c r="BG176">
        <f ca="1">IF(AND(ISNUMBER($BG$378),$B$208=1),$BG$378,HLOOKUP(INDIRECT(ADDRESS(2,COLUMN())),OFFSET($BN$2,0,0,ROW()-1,60),ROW()-1,FALSE))</f>
        <v>101844</v>
      </c>
      <c r="BH176">
        <f ca="1">IF(AND(ISNUMBER($BH$378),$B$208=1),$BH$378,HLOOKUP(INDIRECT(ADDRESS(2,COLUMN())),OFFSET($BN$2,0,0,ROW()-1,60),ROW()-1,FALSE))</f>
        <v>102449</v>
      </c>
      <c r="BI176">
        <f ca="1">IF(AND(ISNUMBER($BI$378),$B$208=1),$BI$378,HLOOKUP(INDIRECT(ADDRESS(2,COLUMN())),OFFSET($BN$2,0,0,ROW()-1,60),ROW()-1,FALSE))</f>
        <v>85370</v>
      </c>
      <c r="BJ176">
        <f ca="1">IF(AND(ISNUMBER($BJ$378),$B$208=1),$BJ$378,HLOOKUP(INDIRECT(ADDRESS(2,COLUMN())),OFFSET($BN$2,0,0,ROW()-1,60),ROW()-1,FALSE))</f>
        <v>100641</v>
      </c>
      <c r="BK176">
        <f ca="1">IF(AND(ISNUMBER($BK$378),$B$208=1),$BK$378,HLOOKUP(INDIRECT(ADDRESS(2,COLUMN())),OFFSET($BN$2,0,0,ROW()-1,60),ROW()-1,FALSE))</f>
        <v>85924</v>
      </c>
      <c r="BL176">
        <f ca="1">IF(AND(ISNUMBER($BL$378),$B$208=1),$BL$378,HLOOKUP(INDIRECT(ADDRESS(2,COLUMN())),OFFSET($BN$2,0,0,ROW()-1,60),ROW()-1,FALSE))</f>
        <v>88757</v>
      </c>
      <c r="BM176" t="str">
        <f ca="1">IF(AND(ISNUMBER($BM$378),$B$208=1),$BM$378,HLOOKUP(INDIRECT(ADDRESS(2,COLUMN())),OFFSET($BN$2,0,0,ROW()-1,60),ROW()-1,FALSE))</f>
        <v/>
      </c>
      <c r="BN176">
        <f>15190</f>
        <v>15190</v>
      </c>
      <c r="BO176" t="str">
        <f>""</f>
        <v/>
      </c>
      <c r="BP176">
        <f>14975</f>
        <v>14975</v>
      </c>
      <c r="BQ176" t="str">
        <f>""</f>
        <v/>
      </c>
      <c r="BR176">
        <f>13885</f>
        <v>13885</v>
      </c>
      <c r="BS176" t="str">
        <f>""</f>
        <v/>
      </c>
      <c r="BT176">
        <f>14878</f>
        <v>14878</v>
      </c>
      <c r="BU176" t="str">
        <f>""</f>
        <v/>
      </c>
      <c r="BV176">
        <f>11371</f>
        <v>11371</v>
      </c>
      <c r="BW176" t="str">
        <f>""</f>
        <v/>
      </c>
      <c r="BX176">
        <f>13295</f>
        <v>13295</v>
      </c>
      <c r="BY176" t="str">
        <f>""</f>
        <v/>
      </c>
      <c r="BZ176">
        <f>47543</f>
        <v>47543</v>
      </c>
      <c r="CA176" t="str">
        <f>""</f>
        <v/>
      </c>
      <c r="CB176">
        <f>47746</f>
        <v>47746</v>
      </c>
      <c r="CC176" t="str">
        <f>""</f>
        <v/>
      </c>
      <c r="CD176">
        <f>46079</f>
        <v>46079</v>
      </c>
      <c r="CE176" t="str">
        <f>""</f>
        <v/>
      </c>
      <c r="CF176">
        <f>46322</f>
        <v>46322</v>
      </c>
      <c r="CG176" t="str">
        <f>""</f>
        <v/>
      </c>
      <c r="CH176">
        <f>45785</f>
        <v>45785</v>
      </c>
      <c r="CI176" t="str">
        <f>""</f>
        <v/>
      </c>
      <c r="CJ176">
        <f>47076</f>
        <v>47076</v>
      </c>
      <c r="CK176" t="str">
        <f>""</f>
        <v/>
      </c>
      <c r="CL176">
        <f>44632</f>
        <v>44632</v>
      </c>
      <c r="CM176" t="str">
        <f>""</f>
        <v/>
      </c>
      <c r="CN176">
        <f>45368</f>
        <v>45368</v>
      </c>
      <c r="CO176" t="str">
        <f>""</f>
        <v/>
      </c>
      <c r="CP176">
        <f>50139</f>
        <v>50139</v>
      </c>
      <c r="CQ176" t="str">
        <f>""</f>
        <v/>
      </c>
      <c r="CR176">
        <f>51231</f>
        <v>51231</v>
      </c>
      <c r="CS176" t="str">
        <f>""</f>
        <v/>
      </c>
      <c r="CT176">
        <f>50858</f>
        <v>50858</v>
      </c>
      <c r="CU176" t="str">
        <f>""</f>
        <v/>
      </c>
      <c r="CV176">
        <f>55310</f>
        <v>55310</v>
      </c>
      <c r="CW176" t="str">
        <f>""</f>
        <v/>
      </c>
      <c r="CX176">
        <f>59048</f>
        <v>59048</v>
      </c>
      <c r="CY176">
        <f>57605</f>
        <v>57605</v>
      </c>
      <c r="CZ176">
        <f>58232</f>
        <v>58232</v>
      </c>
      <c r="DA176">
        <f>58325</f>
        <v>58325</v>
      </c>
      <c r="DB176">
        <f>52043</f>
        <v>52043</v>
      </c>
      <c r="DC176">
        <f>51613</f>
        <v>51613</v>
      </c>
      <c r="DD176">
        <f>77232</f>
        <v>77232</v>
      </c>
      <c r="DE176">
        <f>74526</f>
        <v>74526</v>
      </c>
      <c r="DF176">
        <f>60055</f>
        <v>60055</v>
      </c>
      <c r="DG176">
        <f>75849</f>
        <v>75849</v>
      </c>
      <c r="DH176">
        <f>82702</f>
        <v>82702</v>
      </c>
      <c r="DI176">
        <f>85471</f>
        <v>85471</v>
      </c>
      <c r="DJ176" t="str">
        <f>""</f>
        <v/>
      </c>
      <c r="DK176">
        <f>85954</f>
        <v>85954</v>
      </c>
      <c r="DL176" t="str">
        <f>""</f>
        <v/>
      </c>
      <c r="DM176">
        <f>107000</f>
        <v>107000</v>
      </c>
      <c r="DN176">
        <f>96069</f>
        <v>96069</v>
      </c>
      <c r="DO176">
        <f>101844</f>
        <v>101844</v>
      </c>
      <c r="DP176">
        <f>102449</f>
        <v>102449</v>
      </c>
      <c r="DQ176">
        <f>85370</f>
        <v>85370</v>
      </c>
      <c r="DR176">
        <f>100641</f>
        <v>100641</v>
      </c>
      <c r="DS176">
        <f>85924</f>
        <v>85924</v>
      </c>
      <c r="DT176">
        <f>88757</f>
        <v>88757</v>
      </c>
      <c r="DU176" t="str">
        <f>""</f>
        <v/>
      </c>
    </row>
    <row r="177" spans="1:125" x14ac:dyDescent="0.25">
      <c r="A177" t="str">
        <f>"    Intesa Sanpaolo SpA"</f>
        <v xml:space="preserve">    Intesa Sanpaolo SpA</v>
      </c>
      <c r="B177" t="str">
        <f>"ISP IM Equity"</f>
        <v>ISP IM Equity</v>
      </c>
      <c r="C177" t="str">
        <f t="shared" si="12"/>
        <v>BS018</v>
      </c>
      <c r="D177" t="str">
        <f t="shared" si="13"/>
        <v>BS_OTHER_LOAN</v>
      </c>
      <c r="E177" t="str">
        <f t="shared" si="14"/>
        <v>Dynamic</v>
      </c>
      <c r="F177" t="str">
        <f ca="1">IF(AND(ISNUMBER($F$379),$B$208=1),$F$379,HLOOKUP(INDIRECT(ADDRESS(2,COLUMN())),OFFSET($BN$2,0,0,ROW()-1,60),ROW()-1,FALSE))</f>
        <v/>
      </c>
      <c r="G177">
        <f ca="1">IF(AND(ISNUMBER($G$379),$B$208=1),$G$379,HLOOKUP(INDIRECT(ADDRESS(2,COLUMN())),OFFSET($BN$2,0,0,ROW()-1,60),ROW()-1,FALSE))</f>
        <v>170132</v>
      </c>
      <c r="H177">
        <f ca="1">IF(AND(ISNUMBER($H$379),$B$208=1),$H$379,HLOOKUP(INDIRECT(ADDRESS(2,COLUMN())),OFFSET($BN$2,0,0,ROW()-1,60),ROW()-1,FALSE))</f>
        <v>104068</v>
      </c>
      <c r="I177">
        <f ca="1">IF(AND(ISNUMBER($I$379),$B$208=1),$I$379,HLOOKUP(INDIRECT(ADDRESS(2,COLUMN())),OFFSET($BN$2,0,0,ROW()-1,60),ROW()-1,FALSE))</f>
        <v>171255</v>
      </c>
      <c r="J177">
        <f ca="1">IF(AND(ISNUMBER($J$379),$B$208=1),$J$379,HLOOKUP(INDIRECT(ADDRESS(2,COLUMN())),OFFSET($BN$2,0,0,ROW()-1,60),ROW()-1,FALSE))</f>
        <v>162547</v>
      </c>
      <c r="K177">
        <f ca="1">IF(AND(ISNUMBER($K$379),$B$208=1),$K$379,HLOOKUP(INDIRECT(ADDRESS(2,COLUMN())),OFFSET($BN$2,0,0,ROW()-1,60),ROW()-1,FALSE))</f>
        <v>174456</v>
      </c>
      <c r="L177">
        <f ca="1">IF(AND(ISNUMBER($L$379),$B$208=1),$L$379,HLOOKUP(INDIRECT(ADDRESS(2,COLUMN())),OFFSET($BN$2,0,0,ROW()-1,60),ROW()-1,FALSE))</f>
        <v>109042</v>
      </c>
      <c r="M177">
        <f ca="1">IF(AND(ISNUMBER($M$379),$B$208=1),$M$379,HLOOKUP(INDIRECT(ADDRESS(2,COLUMN())),OFFSET($BN$2,0,0,ROW()-1,60),ROW()-1,FALSE))</f>
        <v>174318</v>
      </c>
      <c r="N177">
        <f ca="1">IF(AND(ISNUMBER($N$379),$B$208=1),$N$379,HLOOKUP(INDIRECT(ADDRESS(2,COLUMN())),OFFSET($BN$2,0,0,ROW()-1,60),ROW()-1,FALSE))</f>
        <v>161623</v>
      </c>
      <c r="O177">
        <f ca="1">IF(AND(ISNUMBER($O$379),$B$208=1),$O$379,HLOOKUP(INDIRECT(ADDRESS(2,COLUMN())),OFFSET($BN$2,0,0,ROW()-1,60),ROW()-1,FALSE))</f>
        <v>189974</v>
      </c>
      <c r="P177">
        <f ca="1">IF(AND(ISNUMBER($P$379),$B$208=1),$P$379,HLOOKUP(INDIRECT(ADDRESS(2,COLUMN())),OFFSET($BN$2,0,0,ROW()-1,60),ROW()-1,FALSE))</f>
        <v>138729</v>
      </c>
      <c r="Q177">
        <f ca="1">IF(AND(ISNUMBER($Q$379),$B$208=1),$Q$379,HLOOKUP(INDIRECT(ADDRESS(2,COLUMN())),OFFSET($BN$2,0,0,ROW()-1,60),ROW()-1,FALSE))</f>
        <v>187328</v>
      </c>
      <c r="R177">
        <f ca="1">IF(AND(ISNUMBER($R$379),$B$208=1),$R$379,HLOOKUP(INDIRECT(ADDRESS(2,COLUMN())),OFFSET($BN$2,0,0,ROW()-1,60),ROW()-1,FALSE))</f>
        <v>137101</v>
      </c>
      <c r="S177">
        <f ca="1">IF(AND(ISNUMBER($S$379),$B$208=1),$S$379,HLOOKUP(INDIRECT(ADDRESS(2,COLUMN())),OFFSET($BN$2,0,0,ROW()-1,60),ROW()-1,FALSE))</f>
        <v>182888</v>
      </c>
      <c r="T177">
        <f ca="1">IF(AND(ISNUMBER($T$379),$B$208=1),$T$379,HLOOKUP(INDIRECT(ADDRESS(2,COLUMN())),OFFSET($BN$2,0,0,ROW()-1,60),ROW()-1,FALSE))</f>
        <v>184678</v>
      </c>
      <c r="U177">
        <f ca="1">IF(AND(ISNUMBER($U$379),$B$208=1),$U$379,HLOOKUP(INDIRECT(ADDRESS(2,COLUMN())),OFFSET($BN$2,0,0,ROW()-1,60),ROW()-1,FALSE))</f>
        <v>185352</v>
      </c>
      <c r="V177">
        <f ca="1">IF(AND(ISNUMBER($V$379),$B$208=1),$V$379,HLOOKUP(INDIRECT(ADDRESS(2,COLUMN())),OFFSET($BN$2,0,0,ROW()-1,60),ROW()-1,FALSE))</f>
        <v>136187</v>
      </c>
      <c r="W177">
        <f ca="1">IF(AND(ISNUMBER($W$379),$B$208=1),$W$379,HLOOKUP(INDIRECT(ADDRESS(2,COLUMN())),OFFSET($BN$2,0,0,ROW()-1,60),ROW()-1,FALSE))</f>
        <v>207761</v>
      </c>
      <c r="X177">
        <f ca="1">IF(AND(ISNUMBER($X$379),$B$208=1),$X$379,HLOOKUP(INDIRECT(ADDRESS(2,COLUMN())),OFFSET($BN$2,0,0,ROW()-1,60),ROW()-1,FALSE))</f>
        <v>191789</v>
      </c>
      <c r="Y177">
        <f ca="1">IF(AND(ISNUMBER($Y$379),$B$208=1),$Y$379,HLOOKUP(INDIRECT(ADDRESS(2,COLUMN())),OFFSET($BN$2,0,0,ROW()-1,60),ROW()-1,FALSE))</f>
        <v>197480</v>
      </c>
      <c r="Z177">
        <f ca="1">IF(AND(ISNUMBER($Z$379),$B$208=1),$Z$379,HLOOKUP(INDIRECT(ADDRESS(2,COLUMN())),OFFSET($BN$2,0,0,ROW()-1,60),ROW()-1,FALSE))</f>
        <v>157504</v>
      </c>
      <c r="AA177">
        <f ca="1">IF(AND(ISNUMBER($AA$379),$B$208=1),$AA$379,HLOOKUP(INDIRECT(ADDRESS(2,COLUMN())),OFFSET($BN$2,0,0,ROW()-1,60),ROW()-1,FALSE))</f>
        <v>185580</v>
      </c>
      <c r="AB177">
        <f ca="1">IF(AND(ISNUMBER($AB$379),$B$208=1),$AB$379,HLOOKUP(INDIRECT(ADDRESS(2,COLUMN())),OFFSET($BN$2,0,0,ROW()-1,60),ROW()-1,FALSE))</f>
        <v>185126</v>
      </c>
      <c r="AC177">
        <f ca="1">IF(AND(ISNUMBER($AC$379),$B$208=1),$AC$379,HLOOKUP(INDIRECT(ADDRESS(2,COLUMN())),OFFSET($BN$2,0,0,ROW()-1,60),ROW()-1,FALSE))</f>
        <v>183493</v>
      </c>
      <c r="AD177">
        <f ca="1">IF(AND(ISNUMBER($AD$379),$B$208=1),$AD$379,HLOOKUP(INDIRECT(ADDRESS(2,COLUMN())),OFFSET($BN$2,0,0,ROW()-1,60),ROW()-1,FALSE))</f>
        <v>164421</v>
      </c>
      <c r="AE177">
        <f ca="1">IF(AND(ISNUMBER($AE$379),$B$208=1),$AE$379,HLOOKUP(INDIRECT(ADDRESS(2,COLUMN())),OFFSET($BN$2,0,0,ROW()-1,60),ROW()-1,FALSE))</f>
        <v>188579</v>
      </c>
      <c r="AF177">
        <f ca="1">IF(AND(ISNUMBER($AF$379),$B$208=1),$AF$379,HLOOKUP(INDIRECT(ADDRESS(2,COLUMN())),OFFSET($BN$2,0,0,ROW()-1,60),ROW()-1,FALSE))</f>
        <v>195462</v>
      </c>
      <c r="AG177">
        <f ca="1">IF(AND(ISNUMBER($AG$379),$B$208=1),$AG$379,HLOOKUP(INDIRECT(ADDRESS(2,COLUMN())),OFFSET($BN$2,0,0,ROW()-1,60),ROW()-1,FALSE))</f>
        <v>203889</v>
      </c>
      <c r="AH177">
        <f ca="1">IF(AND(ISNUMBER($AH$379),$B$208=1),$AH$379,HLOOKUP(INDIRECT(ADDRESS(2,COLUMN())),OFFSET($BN$2,0,0,ROW()-1,60),ROW()-1,FALSE))</f>
        <v>204811</v>
      </c>
      <c r="AI177">
        <f ca="1">IF(AND(ISNUMBER($AI$379),$B$208=1),$AI$379,HLOOKUP(INDIRECT(ADDRESS(2,COLUMN())),OFFSET($BN$2,0,0,ROW()-1,60),ROW()-1,FALSE))</f>
        <v>199520</v>
      </c>
      <c r="AJ177">
        <f ca="1">IF(AND(ISNUMBER($AJ$379),$B$208=1),$AJ$379,HLOOKUP(INDIRECT(ADDRESS(2,COLUMN())),OFFSET($BN$2,0,0,ROW()-1,60),ROW()-1,FALSE))</f>
        <v>205227</v>
      </c>
      <c r="AK177" t="str">
        <f ca="1">IF(AND(ISNUMBER($AK$379),$B$208=1),$AK$379,HLOOKUP(INDIRECT(ADDRESS(2,COLUMN())),OFFSET($BN$2,0,0,ROW()-1,60),ROW()-1,FALSE))</f>
        <v/>
      </c>
      <c r="AL177">
        <f ca="1">IF(AND(ISNUMBER($AL$379),$B$208=1),$AL$379,HLOOKUP(INDIRECT(ADDRESS(2,COLUMN())),OFFSET($BN$2,0,0,ROW()-1,60),ROW()-1,FALSE))</f>
        <v>160402</v>
      </c>
      <c r="AM177" t="str">
        <f ca="1">IF(AND(ISNUMBER($AM$379),$B$208=1),$AM$379,HLOOKUP(INDIRECT(ADDRESS(2,COLUMN())),OFFSET($BN$2,0,0,ROW()-1,60),ROW()-1,FALSE))</f>
        <v/>
      </c>
      <c r="AN177" t="str">
        <f ca="1">IF(AND(ISNUMBER($AN$379),$B$208=1),$AN$379,HLOOKUP(INDIRECT(ADDRESS(2,COLUMN())),OFFSET($BN$2,0,0,ROW()-1,60),ROW()-1,FALSE))</f>
        <v/>
      </c>
      <c r="AO177" t="str">
        <f ca="1">IF(AND(ISNUMBER($AO$379),$B$208=1),$AO$379,HLOOKUP(INDIRECT(ADDRESS(2,COLUMN())),OFFSET($BN$2,0,0,ROW()-1,60),ROW()-1,FALSE))</f>
        <v/>
      </c>
      <c r="AP177">
        <f ca="1">IF(AND(ISNUMBER($AP$379),$B$208=1),$AP$379,HLOOKUP(INDIRECT(ADDRESS(2,COLUMN())),OFFSET($BN$2,0,0,ROW()-1,60),ROW()-1,FALSE))</f>
        <v>157822</v>
      </c>
      <c r="AQ177" t="str">
        <f ca="1">IF(AND(ISNUMBER($AQ$379),$B$208=1),$AQ$379,HLOOKUP(INDIRECT(ADDRESS(2,COLUMN())),OFFSET($BN$2,0,0,ROW()-1,60),ROW()-1,FALSE))</f>
        <v/>
      </c>
      <c r="AR177" t="str">
        <f ca="1">IF(AND(ISNUMBER($AR$379),$B$208=1),$AR$379,HLOOKUP(INDIRECT(ADDRESS(2,COLUMN())),OFFSET($BN$2,0,0,ROW()-1,60),ROW()-1,FALSE))</f>
        <v/>
      </c>
      <c r="AS177" t="str">
        <f ca="1">IF(AND(ISNUMBER($AS$379),$B$208=1),$AS$379,HLOOKUP(INDIRECT(ADDRESS(2,COLUMN())),OFFSET($BN$2,0,0,ROW()-1,60),ROW()-1,FALSE))</f>
        <v/>
      </c>
      <c r="AT177" t="str">
        <f ca="1">IF(AND(ISNUMBER($AT$379),$B$208=1),$AT$379,HLOOKUP(INDIRECT(ADDRESS(2,COLUMN())),OFFSET($BN$2,0,0,ROW()-1,60),ROW()-1,FALSE))</f>
        <v/>
      </c>
      <c r="AU177" t="str">
        <f ca="1">IF(AND(ISNUMBER($AU$379),$B$208=1),$AU$379,HLOOKUP(INDIRECT(ADDRESS(2,COLUMN())),OFFSET($BN$2,0,0,ROW()-1,60),ROW()-1,FALSE))</f>
        <v/>
      </c>
      <c r="AV177" t="str">
        <f ca="1">IF(AND(ISNUMBER($AV$379),$B$208=1),$AV$379,HLOOKUP(INDIRECT(ADDRESS(2,COLUMN())),OFFSET($BN$2,0,0,ROW()-1,60),ROW()-1,FALSE))</f>
        <v/>
      </c>
      <c r="AW177" t="str">
        <f ca="1">IF(AND(ISNUMBER($AW$379),$B$208=1),$AW$379,HLOOKUP(INDIRECT(ADDRESS(2,COLUMN())),OFFSET($BN$2,0,0,ROW()-1,60),ROW()-1,FALSE))</f>
        <v/>
      </c>
      <c r="AX177" t="str">
        <f ca="1">IF(AND(ISNUMBER($AX$379),$B$208=1),$AX$379,HLOOKUP(INDIRECT(ADDRESS(2,COLUMN())),OFFSET($BN$2,0,0,ROW()-1,60),ROW()-1,FALSE))</f>
        <v/>
      </c>
      <c r="AY177" t="str">
        <f ca="1">IF(AND(ISNUMBER($AY$379),$B$208=1),$AY$379,HLOOKUP(INDIRECT(ADDRESS(2,COLUMN())),OFFSET($BN$2,0,0,ROW()-1,60),ROW()-1,FALSE))</f>
        <v/>
      </c>
      <c r="AZ177" t="str">
        <f ca="1">IF(AND(ISNUMBER($AZ$379),$B$208=1),$AZ$379,HLOOKUP(INDIRECT(ADDRESS(2,COLUMN())),OFFSET($BN$2,0,0,ROW()-1,60),ROW()-1,FALSE))</f>
        <v/>
      </c>
      <c r="BA177" t="str">
        <f ca="1">IF(AND(ISNUMBER($BA$379),$B$208=1),$BA$379,HLOOKUP(INDIRECT(ADDRESS(2,COLUMN())),OFFSET($BN$2,0,0,ROW()-1,60),ROW()-1,FALSE))</f>
        <v/>
      </c>
      <c r="BB177" t="str">
        <f ca="1">IF(AND(ISNUMBER($BB$379),$B$208=1),$BB$379,HLOOKUP(INDIRECT(ADDRESS(2,COLUMN())),OFFSET($BN$2,0,0,ROW()-1,60),ROW()-1,FALSE))</f>
        <v/>
      </c>
      <c r="BC177" t="str">
        <f ca="1">IF(AND(ISNUMBER($BC$379),$B$208=1),$BC$379,HLOOKUP(INDIRECT(ADDRESS(2,COLUMN())),OFFSET($BN$2,0,0,ROW()-1,60),ROW()-1,FALSE))</f>
        <v/>
      </c>
      <c r="BD177" t="str">
        <f ca="1">IF(AND(ISNUMBER($BD$379),$B$208=1),$BD$379,HLOOKUP(INDIRECT(ADDRESS(2,COLUMN())),OFFSET($BN$2,0,0,ROW()-1,60),ROW()-1,FALSE))</f>
        <v/>
      </c>
      <c r="BE177" t="str">
        <f ca="1">IF(AND(ISNUMBER($BE$379),$B$208=1),$BE$379,HLOOKUP(INDIRECT(ADDRESS(2,COLUMN())),OFFSET($BN$2,0,0,ROW()-1,60),ROW()-1,FALSE))</f>
        <v/>
      </c>
      <c r="BF177" t="str">
        <f ca="1">IF(AND(ISNUMBER($BF$379),$B$208=1),$BF$379,HLOOKUP(INDIRECT(ADDRESS(2,COLUMN())),OFFSET($BN$2,0,0,ROW()-1,60),ROW()-1,FALSE))</f>
        <v/>
      </c>
      <c r="BG177" t="str">
        <f ca="1">IF(AND(ISNUMBER($BG$379),$B$208=1),$BG$379,HLOOKUP(INDIRECT(ADDRESS(2,COLUMN())),OFFSET($BN$2,0,0,ROW()-1,60),ROW()-1,FALSE))</f>
        <v/>
      </c>
      <c r="BH177" t="str">
        <f ca="1">IF(AND(ISNUMBER($BH$379),$B$208=1),$BH$379,HLOOKUP(INDIRECT(ADDRESS(2,COLUMN())),OFFSET($BN$2,0,0,ROW()-1,60),ROW()-1,FALSE))</f>
        <v/>
      </c>
      <c r="BI177" t="str">
        <f ca="1">IF(AND(ISNUMBER($BI$379),$B$208=1),$BI$379,HLOOKUP(INDIRECT(ADDRESS(2,COLUMN())),OFFSET($BN$2,0,0,ROW()-1,60),ROW()-1,FALSE))</f>
        <v/>
      </c>
      <c r="BJ177" t="str">
        <f ca="1">IF(AND(ISNUMBER($BJ$379),$B$208=1),$BJ$379,HLOOKUP(INDIRECT(ADDRESS(2,COLUMN())),OFFSET($BN$2,0,0,ROW()-1,60),ROW()-1,FALSE))</f>
        <v/>
      </c>
      <c r="BK177" t="str">
        <f ca="1">IF(AND(ISNUMBER($BK$379),$B$208=1),$BK$379,HLOOKUP(INDIRECT(ADDRESS(2,COLUMN())),OFFSET($BN$2,0,0,ROW()-1,60),ROW()-1,FALSE))</f>
        <v/>
      </c>
      <c r="BL177" t="str">
        <f ca="1">IF(AND(ISNUMBER($BL$379),$B$208=1),$BL$379,HLOOKUP(INDIRECT(ADDRESS(2,COLUMN())),OFFSET($BN$2,0,0,ROW()-1,60),ROW()-1,FALSE))</f>
        <v/>
      </c>
      <c r="BM177" t="str">
        <f ca="1">IF(AND(ISNUMBER($BM$379),$B$208=1),$BM$379,HLOOKUP(INDIRECT(ADDRESS(2,COLUMN())),OFFSET($BN$2,0,0,ROW()-1,60),ROW()-1,FALSE))</f>
        <v/>
      </c>
      <c r="BN177" t="str">
        <f>""</f>
        <v/>
      </c>
      <c r="BO177">
        <f>170132</f>
        <v>170132</v>
      </c>
      <c r="BP177">
        <f>104068</f>
        <v>104068</v>
      </c>
      <c r="BQ177">
        <f>171255</f>
        <v>171255</v>
      </c>
      <c r="BR177">
        <f>162547</f>
        <v>162547</v>
      </c>
      <c r="BS177">
        <f>174456</f>
        <v>174456</v>
      </c>
      <c r="BT177">
        <f>109042</f>
        <v>109042</v>
      </c>
      <c r="BU177">
        <f>174318</f>
        <v>174318</v>
      </c>
      <c r="BV177">
        <f>161623</f>
        <v>161623</v>
      </c>
      <c r="BW177">
        <f>189974</f>
        <v>189974</v>
      </c>
      <c r="BX177">
        <f>138729</f>
        <v>138729</v>
      </c>
      <c r="BY177">
        <f>187328</f>
        <v>187328</v>
      </c>
      <c r="BZ177">
        <f>137101</f>
        <v>137101</v>
      </c>
      <c r="CA177">
        <f>182888</f>
        <v>182888</v>
      </c>
      <c r="CB177">
        <f>184678</f>
        <v>184678</v>
      </c>
      <c r="CC177">
        <f>185352</f>
        <v>185352</v>
      </c>
      <c r="CD177">
        <f>136187</f>
        <v>136187</v>
      </c>
      <c r="CE177">
        <f>207761</f>
        <v>207761</v>
      </c>
      <c r="CF177">
        <f>191789</f>
        <v>191789</v>
      </c>
      <c r="CG177">
        <f>197480</f>
        <v>197480</v>
      </c>
      <c r="CH177">
        <f>157504</f>
        <v>157504</v>
      </c>
      <c r="CI177">
        <f>185580</f>
        <v>185580</v>
      </c>
      <c r="CJ177">
        <f>185126</f>
        <v>185126</v>
      </c>
      <c r="CK177">
        <f>183493</f>
        <v>183493</v>
      </c>
      <c r="CL177">
        <f>164421</f>
        <v>164421</v>
      </c>
      <c r="CM177">
        <f>188579</f>
        <v>188579</v>
      </c>
      <c r="CN177">
        <f>195462</f>
        <v>195462</v>
      </c>
      <c r="CO177">
        <f>203889</f>
        <v>203889</v>
      </c>
      <c r="CP177">
        <f>204811</f>
        <v>204811</v>
      </c>
      <c r="CQ177">
        <f>199520</f>
        <v>199520</v>
      </c>
      <c r="CR177">
        <f>205227</f>
        <v>205227</v>
      </c>
      <c r="CS177" t="str">
        <f>""</f>
        <v/>
      </c>
      <c r="CT177">
        <f>160402</f>
        <v>160402</v>
      </c>
      <c r="CU177" t="str">
        <f>""</f>
        <v/>
      </c>
      <c r="CV177" t="str">
        <f>""</f>
        <v/>
      </c>
      <c r="CW177" t="str">
        <f>""</f>
        <v/>
      </c>
      <c r="CX177">
        <f>157822</f>
        <v>157822</v>
      </c>
      <c r="CY177" t="str">
        <f>""</f>
        <v/>
      </c>
      <c r="CZ177" t="str">
        <f>""</f>
        <v/>
      </c>
      <c r="DA177" t="str">
        <f>""</f>
        <v/>
      </c>
      <c r="DB177" t="str">
        <f>""</f>
        <v/>
      </c>
      <c r="DC177" t="str">
        <f>""</f>
        <v/>
      </c>
      <c r="DD177" t="str">
        <f>""</f>
        <v/>
      </c>
      <c r="DE177" t="str">
        <f>""</f>
        <v/>
      </c>
      <c r="DF177" t="str">
        <f>""</f>
        <v/>
      </c>
      <c r="DG177" t="str">
        <f>""</f>
        <v/>
      </c>
      <c r="DH177" t="str">
        <f>""</f>
        <v/>
      </c>
      <c r="DI177" t="str">
        <f>""</f>
        <v/>
      </c>
      <c r="DJ177" t="str">
        <f>""</f>
        <v/>
      </c>
      <c r="DK177" t="str">
        <f>""</f>
        <v/>
      </c>
      <c r="DL177" t="str">
        <f>""</f>
        <v/>
      </c>
      <c r="DM177" t="str">
        <f>""</f>
        <v/>
      </c>
      <c r="DN177" t="str">
        <f>""</f>
        <v/>
      </c>
      <c r="DO177" t="str">
        <f>""</f>
        <v/>
      </c>
      <c r="DP177" t="str">
        <f>""</f>
        <v/>
      </c>
      <c r="DQ177" t="str">
        <f>""</f>
        <v/>
      </c>
      <c r="DR177" t="str">
        <f>""</f>
        <v/>
      </c>
      <c r="DS177" t="str">
        <f>""</f>
        <v/>
      </c>
      <c r="DT177" t="str">
        <f>""</f>
        <v/>
      </c>
      <c r="DU177" t="str">
        <f>""</f>
        <v/>
      </c>
    </row>
    <row r="178" spans="1:125" x14ac:dyDescent="0.25">
      <c r="A178" t="str">
        <f>"    Jyske Bank A/S"</f>
        <v xml:space="preserve">    Jyske Bank A/S</v>
      </c>
      <c r="B178" t="str">
        <f>"JYSK DC Equity"</f>
        <v>JYSK DC Equity</v>
      </c>
      <c r="C178" t="str">
        <f t="shared" si="12"/>
        <v>BS018</v>
      </c>
      <c r="D178" t="str">
        <f t="shared" si="13"/>
        <v>BS_OTHER_LOAN</v>
      </c>
      <c r="E178" t="str">
        <f t="shared" si="14"/>
        <v>Dynamic</v>
      </c>
      <c r="F178">
        <f ca="1">IF(AND(ISNUMBER($F$380),$B$208=1),$F$380,HLOOKUP(INDIRECT(ADDRESS(2,COLUMN())),OFFSET($BN$2,0,0,ROW()-1,60),ROW()-1,FALSE))</f>
        <v>251.42509759999999</v>
      </c>
      <c r="G178">
        <f ca="1">IF(AND(ISNUMBER($G$380),$B$208=1),$G$380,HLOOKUP(INDIRECT(ADDRESS(2,COLUMN())),OFFSET($BN$2,0,0,ROW()-1,60),ROW()-1,FALSE))</f>
        <v>273.2802274</v>
      </c>
      <c r="H178">
        <f ca="1">IF(AND(ISNUMBER($H$380),$B$208=1),$H$380,HLOOKUP(INDIRECT(ADDRESS(2,COLUMN())),OFFSET($BN$2,0,0,ROW()-1,60),ROW()-1,FALSE))</f>
        <v>286.43211309999998</v>
      </c>
      <c r="I178" t="str">
        <f ca="1">IF(AND(ISNUMBER($I$380),$B$208=1),$I$380,HLOOKUP(INDIRECT(ADDRESS(2,COLUMN())),OFFSET($BN$2,0,0,ROW()-1,60),ROW()-1,FALSE))</f>
        <v/>
      </c>
      <c r="J178" t="str">
        <f ca="1">IF(AND(ISNUMBER($J$380),$B$208=1),$J$380,HLOOKUP(INDIRECT(ADDRESS(2,COLUMN())),OFFSET($BN$2,0,0,ROW()-1,60),ROW()-1,FALSE))</f>
        <v/>
      </c>
      <c r="K178">
        <f ca="1">IF(AND(ISNUMBER($K$380),$B$208=1),$K$380,HLOOKUP(INDIRECT(ADDRESS(2,COLUMN())),OFFSET($BN$2,0,0,ROW()-1,60),ROW()-1,FALSE))</f>
        <v>264.14896069999998</v>
      </c>
      <c r="L178">
        <f ca="1">IF(AND(ISNUMBER($L$380),$B$208=1),$L$380,HLOOKUP(INDIRECT(ADDRESS(2,COLUMN())),OFFSET($BN$2,0,0,ROW()-1,60),ROW()-1,FALSE))</f>
        <v>263.50994539999999</v>
      </c>
      <c r="M178" t="str">
        <f ca="1">IF(AND(ISNUMBER($M$380),$B$208=1),$M$380,HLOOKUP(INDIRECT(ADDRESS(2,COLUMN())),OFFSET($BN$2,0,0,ROW()-1,60),ROW()-1,FALSE))</f>
        <v/>
      </c>
      <c r="N178" t="str">
        <f ca="1">IF(AND(ISNUMBER($N$380),$B$208=1),$N$380,HLOOKUP(INDIRECT(ADDRESS(2,COLUMN())),OFFSET($BN$2,0,0,ROW()-1,60),ROW()-1,FALSE))</f>
        <v/>
      </c>
      <c r="O178" t="str">
        <f ca="1">IF(AND(ISNUMBER($O$380),$B$208=1),$O$380,HLOOKUP(INDIRECT(ADDRESS(2,COLUMN())),OFFSET($BN$2,0,0,ROW()-1,60),ROW()-1,FALSE))</f>
        <v/>
      </c>
      <c r="P178" t="str">
        <f ca="1">IF(AND(ISNUMBER($P$380),$B$208=1),$P$380,HLOOKUP(INDIRECT(ADDRESS(2,COLUMN())),OFFSET($BN$2,0,0,ROW()-1,60),ROW()-1,FALSE))</f>
        <v/>
      </c>
      <c r="Q178" t="str">
        <f ca="1">IF(AND(ISNUMBER($Q$380),$B$208=1),$Q$380,HLOOKUP(INDIRECT(ADDRESS(2,COLUMN())),OFFSET($BN$2,0,0,ROW()-1,60),ROW()-1,FALSE))</f>
        <v/>
      </c>
      <c r="R178" t="str">
        <f ca="1">IF(AND(ISNUMBER($R$380),$B$208=1),$R$380,HLOOKUP(INDIRECT(ADDRESS(2,COLUMN())),OFFSET($BN$2,0,0,ROW()-1,60),ROW()-1,FALSE))</f>
        <v/>
      </c>
      <c r="S178" t="str">
        <f ca="1">IF(AND(ISNUMBER($S$380),$B$208=1),$S$380,HLOOKUP(INDIRECT(ADDRESS(2,COLUMN())),OFFSET($BN$2,0,0,ROW()-1,60),ROW()-1,FALSE))</f>
        <v/>
      </c>
      <c r="T178" t="str">
        <f ca="1">IF(AND(ISNUMBER($T$380),$B$208=1),$T$380,HLOOKUP(INDIRECT(ADDRESS(2,COLUMN())),OFFSET($BN$2,0,0,ROW()-1,60),ROW()-1,FALSE))</f>
        <v/>
      </c>
      <c r="U178" t="str">
        <f ca="1">IF(AND(ISNUMBER($U$380),$B$208=1),$U$380,HLOOKUP(INDIRECT(ADDRESS(2,COLUMN())),OFFSET($BN$2,0,0,ROW()-1,60),ROW()-1,FALSE))</f>
        <v/>
      </c>
      <c r="V178" t="str">
        <f ca="1">IF(AND(ISNUMBER($V$380),$B$208=1),$V$380,HLOOKUP(INDIRECT(ADDRESS(2,COLUMN())),OFFSET($BN$2,0,0,ROW()-1,60),ROW()-1,FALSE))</f>
        <v/>
      </c>
      <c r="W178" t="str">
        <f ca="1">IF(AND(ISNUMBER($W$380),$B$208=1),$W$380,HLOOKUP(INDIRECT(ADDRESS(2,COLUMN())),OFFSET($BN$2,0,0,ROW()-1,60),ROW()-1,FALSE))</f>
        <v/>
      </c>
      <c r="X178" t="str">
        <f ca="1">IF(AND(ISNUMBER($X$380),$B$208=1),$X$380,HLOOKUP(INDIRECT(ADDRESS(2,COLUMN())),OFFSET($BN$2,0,0,ROW()-1,60),ROW()-1,FALSE))</f>
        <v/>
      </c>
      <c r="Y178" t="str">
        <f ca="1">IF(AND(ISNUMBER($Y$380),$B$208=1),$Y$380,HLOOKUP(INDIRECT(ADDRESS(2,COLUMN())),OFFSET($BN$2,0,0,ROW()-1,60),ROW()-1,FALSE))</f>
        <v/>
      </c>
      <c r="Z178" t="str">
        <f ca="1">IF(AND(ISNUMBER($Z$380),$B$208=1),$Z$380,HLOOKUP(INDIRECT(ADDRESS(2,COLUMN())),OFFSET($BN$2,0,0,ROW()-1,60),ROW()-1,FALSE))</f>
        <v/>
      </c>
      <c r="AA178" t="str">
        <f ca="1">IF(AND(ISNUMBER($AA$380),$B$208=1),$AA$380,HLOOKUP(INDIRECT(ADDRESS(2,COLUMN())),OFFSET($BN$2,0,0,ROW()-1,60),ROW()-1,FALSE))</f>
        <v/>
      </c>
      <c r="AB178" t="str">
        <f ca="1">IF(AND(ISNUMBER($AB$380),$B$208=1),$AB$380,HLOOKUP(INDIRECT(ADDRESS(2,COLUMN())),OFFSET($BN$2,0,0,ROW()-1,60),ROW()-1,FALSE))</f>
        <v/>
      </c>
      <c r="AC178" t="str">
        <f ca="1">IF(AND(ISNUMBER($AC$380),$B$208=1),$AC$380,HLOOKUP(INDIRECT(ADDRESS(2,COLUMN())),OFFSET($BN$2,0,0,ROW()-1,60),ROW()-1,FALSE))</f>
        <v/>
      </c>
      <c r="AD178" t="str">
        <f ca="1">IF(AND(ISNUMBER($AD$380),$B$208=1),$AD$380,HLOOKUP(INDIRECT(ADDRESS(2,COLUMN())),OFFSET($BN$2,0,0,ROW()-1,60),ROW()-1,FALSE))</f>
        <v/>
      </c>
      <c r="AE178" t="str">
        <f ca="1">IF(AND(ISNUMBER($AE$380),$B$208=1),$AE$380,HLOOKUP(INDIRECT(ADDRESS(2,COLUMN())),OFFSET($BN$2,0,0,ROW()-1,60),ROW()-1,FALSE))</f>
        <v/>
      </c>
      <c r="AF178" t="str">
        <f ca="1">IF(AND(ISNUMBER($AF$380),$B$208=1),$AF$380,HLOOKUP(INDIRECT(ADDRESS(2,COLUMN())),OFFSET($BN$2,0,0,ROW()-1,60),ROW()-1,FALSE))</f>
        <v/>
      </c>
      <c r="AG178" t="str">
        <f ca="1">IF(AND(ISNUMBER($AG$380),$B$208=1),$AG$380,HLOOKUP(INDIRECT(ADDRESS(2,COLUMN())),OFFSET($BN$2,0,0,ROW()-1,60),ROW()-1,FALSE))</f>
        <v/>
      </c>
      <c r="AH178" t="str">
        <f ca="1">IF(AND(ISNUMBER($AH$380),$B$208=1),$AH$380,HLOOKUP(INDIRECT(ADDRESS(2,COLUMN())),OFFSET($BN$2,0,0,ROW()-1,60),ROW()-1,FALSE))</f>
        <v/>
      </c>
      <c r="AI178" t="str">
        <f ca="1">IF(AND(ISNUMBER($AI$380),$B$208=1),$AI$380,HLOOKUP(INDIRECT(ADDRESS(2,COLUMN())),OFFSET($BN$2,0,0,ROW()-1,60),ROW()-1,FALSE))</f>
        <v/>
      </c>
      <c r="AJ178" t="str">
        <f ca="1">IF(AND(ISNUMBER($AJ$380),$B$208=1),$AJ$380,HLOOKUP(INDIRECT(ADDRESS(2,COLUMN())),OFFSET($BN$2,0,0,ROW()-1,60),ROW()-1,FALSE))</f>
        <v/>
      </c>
      <c r="AK178" t="str">
        <f ca="1">IF(AND(ISNUMBER($AK$380),$B$208=1),$AK$380,HLOOKUP(INDIRECT(ADDRESS(2,COLUMN())),OFFSET($BN$2,0,0,ROW()-1,60),ROW()-1,FALSE))</f>
        <v/>
      </c>
      <c r="AL178" t="str">
        <f ca="1">IF(AND(ISNUMBER($AL$380),$B$208=1),$AL$380,HLOOKUP(INDIRECT(ADDRESS(2,COLUMN())),OFFSET($BN$2,0,0,ROW()-1,60),ROW()-1,FALSE))</f>
        <v/>
      </c>
      <c r="AM178" t="str">
        <f ca="1">IF(AND(ISNUMBER($AM$380),$B$208=1),$AM$380,HLOOKUP(INDIRECT(ADDRESS(2,COLUMN())),OFFSET($BN$2,0,0,ROW()-1,60),ROW()-1,FALSE))</f>
        <v/>
      </c>
      <c r="AN178" t="str">
        <f ca="1">IF(AND(ISNUMBER($AN$380),$B$208=1),$AN$380,HLOOKUP(INDIRECT(ADDRESS(2,COLUMN())),OFFSET($BN$2,0,0,ROW()-1,60),ROW()-1,FALSE))</f>
        <v/>
      </c>
      <c r="AO178" t="str">
        <f ca="1">IF(AND(ISNUMBER($AO$380),$B$208=1),$AO$380,HLOOKUP(INDIRECT(ADDRESS(2,COLUMN())),OFFSET($BN$2,0,0,ROW()-1,60),ROW()-1,FALSE))</f>
        <v/>
      </c>
      <c r="AP178" t="str">
        <f ca="1">IF(AND(ISNUMBER($AP$380),$B$208=1),$AP$380,HLOOKUP(INDIRECT(ADDRESS(2,COLUMN())),OFFSET($BN$2,0,0,ROW()-1,60),ROW()-1,FALSE))</f>
        <v/>
      </c>
      <c r="AQ178" t="str">
        <f ca="1">IF(AND(ISNUMBER($AQ$380),$B$208=1),$AQ$380,HLOOKUP(INDIRECT(ADDRESS(2,COLUMN())),OFFSET($BN$2,0,0,ROW()-1,60),ROW()-1,FALSE))</f>
        <v/>
      </c>
      <c r="AR178" t="str">
        <f ca="1">IF(AND(ISNUMBER($AR$380),$B$208=1),$AR$380,HLOOKUP(INDIRECT(ADDRESS(2,COLUMN())),OFFSET($BN$2,0,0,ROW()-1,60),ROW()-1,FALSE))</f>
        <v/>
      </c>
      <c r="AS178" t="str">
        <f ca="1">IF(AND(ISNUMBER($AS$380),$B$208=1),$AS$380,HLOOKUP(INDIRECT(ADDRESS(2,COLUMN())),OFFSET($BN$2,0,0,ROW()-1,60),ROW()-1,FALSE))</f>
        <v/>
      </c>
      <c r="AT178" t="str">
        <f ca="1">IF(AND(ISNUMBER($AT$380),$B$208=1),$AT$380,HLOOKUP(INDIRECT(ADDRESS(2,COLUMN())),OFFSET($BN$2,0,0,ROW()-1,60),ROW()-1,FALSE))</f>
        <v/>
      </c>
      <c r="AU178" t="str">
        <f ca="1">IF(AND(ISNUMBER($AU$380),$B$208=1),$AU$380,HLOOKUP(INDIRECT(ADDRESS(2,COLUMN())),OFFSET($BN$2,0,0,ROW()-1,60),ROW()-1,FALSE))</f>
        <v/>
      </c>
      <c r="AV178" t="str">
        <f ca="1">IF(AND(ISNUMBER($AV$380),$B$208=1),$AV$380,HLOOKUP(INDIRECT(ADDRESS(2,COLUMN())),OFFSET($BN$2,0,0,ROW()-1,60),ROW()-1,FALSE))</f>
        <v/>
      </c>
      <c r="AW178" t="str">
        <f ca="1">IF(AND(ISNUMBER($AW$380),$B$208=1),$AW$380,HLOOKUP(INDIRECT(ADDRESS(2,COLUMN())),OFFSET($BN$2,0,0,ROW()-1,60),ROW()-1,FALSE))</f>
        <v/>
      </c>
      <c r="AX178" t="str">
        <f ca="1">IF(AND(ISNUMBER($AX$380),$B$208=1),$AX$380,HLOOKUP(INDIRECT(ADDRESS(2,COLUMN())),OFFSET($BN$2,0,0,ROW()-1,60),ROW()-1,FALSE))</f>
        <v/>
      </c>
      <c r="AY178" t="str">
        <f ca="1">IF(AND(ISNUMBER($AY$380),$B$208=1),$AY$380,HLOOKUP(INDIRECT(ADDRESS(2,COLUMN())),OFFSET($BN$2,0,0,ROW()-1,60),ROW()-1,FALSE))</f>
        <v/>
      </c>
      <c r="AZ178" t="str">
        <f ca="1">IF(AND(ISNUMBER($AZ$380),$B$208=1),$AZ$380,HLOOKUP(INDIRECT(ADDRESS(2,COLUMN())),OFFSET($BN$2,0,0,ROW()-1,60),ROW()-1,FALSE))</f>
        <v/>
      </c>
      <c r="BA178" t="str">
        <f ca="1">IF(AND(ISNUMBER($BA$380),$B$208=1),$BA$380,HLOOKUP(INDIRECT(ADDRESS(2,COLUMN())),OFFSET($BN$2,0,0,ROW()-1,60),ROW()-1,FALSE))</f>
        <v/>
      </c>
      <c r="BB178" t="str">
        <f ca="1">IF(AND(ISNUMBER($BB$380),$B$208=1),$BB$380,HLOOKUP(INDIRECT(ADDRESS(2,COLUMN())),OFFSET($BN$2,0,0,ROW()-1,60),ROW()-1,FALSE))</f>
        <v/>
      </c>
      <c r="BC178" t="str">
        <f ca="1">IF(AND(ISNUMBER($BC$380),$B$208=1),$BC$380,HLOOKUP(INDIRECT(ADDRESS(2,COLUMN())),OFFSET($BN$2,0,0,ROW()-1,60),ROW()-1,FALSE))</f>
        <v/>
      </c>
      <c r="BD178" t="str">
        <f ca="1">IF(AND(ISNUMBER($BD$380),$B$208=1),$BD$380,HLOOKUP(INDIRECT(ADDRESS(2,COLUMN())),OFFSET($BN$2,0,0,ROW()-1,60),ROW()-1,FALSE))</f>
        <v/>
      </c>
      <c r="BE178" t="str">
        <f ca="1">IF(AND(ISNUMBER($BE$380),$B$208=1),$BE$380,HLOOKUP(INDIRECT(ADDRESS(2,COLUMN())),OFFSET($BN$2,0,0,ROW()-1,60),ROW()-1,FALSE))</f>
        <v/>
      </c>
      <c r="BF178" t="str">
        <f ca="1">IF(AND(ISNUMBER($BF$380),$B$208=1),$BF$380,HLOOKUP(INDIRECT(ADDRESS(2,COLUMN())),OFFSET($BN$2,0,0,ROW()-1,60),ROW()-1,FALSE))</f>
        <v/>
      </c>
      <c r="BG178" t="str">
        <f ca="1">IF(AND(ISNUMBER($BG$380),$B$208=1),$BG$380,HLOOKUP(INDIRECT(ADDRESS(2,COLUMN())),OFFSET($BN$2,0,0,ROW()-1,60),ROW()-1,FALSE))</f>
        <v/>
      </c>
      <c r="BH178" t="str">
        <f ca="1">IF(AND(ISNUMBER($BH$380),$B$208=1),$BH$380,HLOOKUP(INDIRECT(ADDRESS(2,COLUMN())),OFFSET($BN$2,0,0,ROW()-1,60),ROW()-1,FALSE))</f>
        <v/>
      </c>
      <c r="BI178" t="str">
        <f ca="1">IF(AND(ISNUMBER($BI$380),$B$208=1),$BI$380,HLOOKUP(INDIRECT(ADDRESS(2,COLUMN())),OFFSET($BN$2,0,0,ROW()-1,60),ROW()-1,FALSE))</f>
        <v/>
      </c>
      <c r="BJ178" t="str">
        <f ca="1">IF(AND(ISNUMBER($BJ$380),$B$208=1),$BJ$380,HLOOKUP(INDIRECT(ADDRESS(2,COLUMN())),OFFSET($BN$2,0,0,ROW()-1,60),ROW()-1,FALSE))</f>
        <v/>
      </c>
      <c r="BK178" t="str">
        <f ca="1">IF(AND(ISNUMBER($BK$380),$B$208=1),$BK$380,HLOOKUP(INDIRECT(ADDRESS(2,COLUMN())),OFFSET($BN$2,0,0,ROW()-1,60),ROW()-1,FALSE))</f>
        <v/>
      </c>
      <c r="BL178" t="str">
        <f ca="1">IF(AND(ISNUMBER($BL$380),$B$208=1),$BL$380,HLOOKUP(INDIRECT(ADDRESS(2,COLUMN())),OFFSET($BN$2,0,0,ROW()-1,60),ROW()-1,FALSE))</f>
        <v/>
      </c>
      <c r="BM178" t="str">
        <f ca="1">IF(AND(ISNUMBER($BM$380),$B$208=1),$BM$380,HLOOKUP(INDIRECT(ADDRESS(2,COLUMN())),OFFSET($BN$2,0,0,ROW()-1,60),ROW()-1,FALSE))</f>
        <v/>
      </c>
      <c r="BN178">
        <f>251.4250976</f>
        <v>251.42509759999999</v>
      </c>
      <c r="BO178">
        <f>273.2802274</f>
        <v>273.2802274</v>
      </c>
      <c r="BP178">
        <f>286.4321131</f>
        <v>286.43211309999998</v>
      </c>
      <c r="BQ178" t="str">
        <f>""</f>
        <v/>
      </c>
      <c r="BR178" t="str">
        <f>""</f>
        <v/>
      </c>
      <c r="BS178">
        <f>264.1489607</f>
        <v>264.14896069999998</v>
      </c>
      <c r="BT178">
        <f>263.5099454</f>
        <v>263.50994539999999</v>
      </c>
      <c r="BU178" t="str">
        <f>""</f>
        <v/>
      </c>
      <c r="BV178" t="str">
        <f>""</f>
        <v/>
      </c>
      <c r="BW178" t="str">
        <f>""</f>
        <v/>
      </c>
      <c r="BX178" t="str">
        <f>""</f>
        <v/>
      </c>
      <c r="BY178" t="str">
        <f>""</f>
        <v/>
      </c>
      <c r="BZ178" t="str">
        <f>""</f>
        <v/>
      </c>
      <c r="CA178" t="str">
        <f>""</f>
        <v/>
      </c>
      <c r="CB178" t="str">
        <f>""</f>
        <v/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  <c r="CH178" t="str">
        <f>""</f>
        <v/>
      </c>
      <c r="CI178" t="str">
        <f>""</f>
        <v/>
      </c>
      <c r="CJ178" t="str">
        <f>""</f>
        <v/>
      </c>
      <c r="CK178" t="str">
        <f>""</f>
        <v/>
      </c>
      <c r="CL178" t="str">
        <f>""</f>
        <v/>
      </c>
      <c r="CM178" t="str">
        <f>""</f>
        <v/>
      </c>
      <c r="CN178" t="str">
        <f>""</f>
        <v/>
      </c>
      <c r="CO178" t="str">
        <f>""</f>
        <v/>
      </c>
      <c r="CP178" t="str">
        <f>""</f>
        <v/>
      </c>
      <c r="CQ178" t="str">
        <f>""</f>
        <v/>
      </c>
      <c r="CR178" t="str">
        <f>""</f>
        <v/>
      </c>
      <c r="CS178" t="str">
        <f>""</f>
        <v/>
      </c>
      <c r="CT178" t="str">
        <f>""</f>
        <v/>
      </c>
      <c r="CU178" t="str">
        <f>""</f>
        <v/>
      </c>
      <c r="CV178" t="str">
        <f>""</f>
        <v/>
      </c>
      <c r="CW178" t="str">
        <f>""</f>
        <v/>
      </c>
      <c r="CX178" t="str">
        <f>""</f>
        <v/>
      </c>
      <c r="CY178" t="str">
        <f>""</f>
        <v/>
      </c>
      <c r="CZ178" t="str">
        <f>""</f>
        <v/>
      </c>
      <c r="DA178" t="str">
        <f>""</f>
        <v/>
      </c>
      <c r="DB178" t="str">
        <f>""</f>
        <v/>
      </c>
      <c r="DC178" t="str">
        <f>""</f>
        <v/>
      </c>
      <c r="DD178" t="str">
        <f>""</f>
        <v/>
      </c>
      <c r="DE178" t="str">
        <f>""</f>
        <v/>
      </c>
      <c r="DF178" t="str">
        <f>""</f>
        <v/>
      </c>
      <c r="DG178" t="str">
        <f>""</f>
        <v/>
      </c>
      <c r="DH178" t="str">
        <f>""</f>
        <v/>
      </c>
      <c r="DI178" t="str">
        <f>""</f>
        <v/>
      </c>
      <c r="DJ178" t="str">
        <f>""</f>
        <v/>
      </c>
      <c r="DK178" t="str">
        <f>""</f>
        <v/>
      </c>
      <c r="DL178" t="str">
        <f>""</f>
        <v/>
      </c>
      <c r="DM178" t="str">
        <f>""</f>
        <v/>
      </c>
      <c r="DN178" t="str">
        <f>""</f>
        <v/>
      </c>
      <c r="DO178" t="str">
        <f>""</f>
        <v/>
      </c>
      <c r="DP178" t="str">
        <f>""</f>
        <v/>
      </c>
      <c r="DQ178" t="str">
        <f>""</f>
        <v/>
      </c>
      <c r="DR178" t="str">
        <f>""</f>
        <v/>
      </c>
      <c r="DS178" t="str">
        <f>""</f>
        <v/>
      </c>
      <c r="DT178" t="str">
        <f>""</f>
        <v/>
      </c>
      <c r="DU178" t="str">
        <f>""</f>
        <v/>
      </c>
    </row>
    <row r="179" spans="1:125" x14ac:dyDescent="0.25">
      <c r="A179" t="str">
        <f>"    KBC Group NV"</f>
        <v xml:space="preserve">    KBC Group NV</v>
      </c>
      <c r="B179" t="str">
        <f>"KBC BB Equity"</f>
        <v>KBC BB Equity</v>
      </c>
      <c r="C179" t="str">
        <f t="shared" si="12"/>
        <v>BS018</v>
      </c>
      <c r="D179" t="str">
        <f t="shared" si="13"/>
        <v>BS_OTHER_LOAN</v>
      </c>
      <c r="E179" t="str">
        <f t="shared" si="14"/>
        <v>Dynamic</v>
      </c>
      <c r="F179">
        <f ca="1">IF(AND(ISNUMBER($F$381),$B$208=1),$F$381,HLOOKUP(INDIRECT(ADDRESS(2,COLUMN())),OFFSET($BN$2,0,0,ROW()-1,60),ROW()-1,FALSE))</f>
        <v>101394</v>
      </c>
      <c r="G179">
        <f ca="1">IF(AND(ISNUMBER($G$381),$B$208=1),$G$381,HLOOKUP(INDIRECT(ADDRESS(2,COLUMN())),OFFSET($BN$2,0,0,ROW()-1,60),ROW()-1,FALSE))</f>
        <v>104324</v>
      </c>
      <c r="H179">
        <f ca="1">IF(AND(ISNUMBER($H$381),$B$208=1),$H$381,HLOOKUP(INDIRECT(ADDRESS(2,COLUMN())),OFFSET($BN$2,0,0,ROW()-1,60),ROW()-1,FALSE))</f>
        <v>102839</v>
      </c>
      <c r="I179">
        <f ca="1">IF(AND(ISNUMBER($I$381),$B$208=1),$I$381,HLOOKUP(INDIRECT(ADDRESS(2,COLUMN())),OFFSET($BN$2,0,0,ROW()-1,60),ROW()-1,FALSE))</f>
        <v>95404</v>
      </c>
      <c r="J179">
        <f ca="1">IF(AND(ISNUMBER($J$381),$B$208=1),$J$381,HLOOKUP(INDIRECT(ADDRESS(2,COLUMN())),OFFSET($BN$2,0,0,ROW()-1,60),ROW()-1,FALSE))</f>
        <v>95326</v>
      </c>
      <c r="K179">
        <f ca="1">IF(AND(ISNUMBER($K$381),$B$208=1),$K$381,HLOOKUP(INDIRECT(ADDRESS(2,COLUMN())),OFFSET($BN$2,0,0,ROW()-1,60),ROW()-1,FALSE))</f>
        <v>99012</v>
      </c>
      <c r="L179">
        <f ca="1">IF(AND(ISNUMBER($L$381),$B$208=1),$L$381,HLOOKUP(INDIRECT(ADDRESS(2,COLUMN())),OFFSET($BN$2,0,0,ROW()-1,60),ROW()-1,FALSE))</f>
        <v>98953</v>
      </c>
      <c r="M179">
        <f ca="1">IF(AND(ISNUMBER($M$381),$B$208=1),$M$381,HLOOKUP(INDIRECT(ADDRESS(2,COLUMN())),OFFSET($BN$2,0,0,ROW()-1,60),ROW()-1,FALSE))</f>
        <v>97146</v>
      </c>
      <c r="N179">
        <f ca="1">IF(AND(ISNUMBER($N$381),$B$208=1),$N$381,HLOOKUP(INDIRECT(ADDRESS(2,COLUMN())),OFFSET($BN$2,0,0,ROW()-1,60),ROW()-1,FALSE))</f>
        <v>96970</v>
      </c>
      <c r="O179">
        <f ca="1">IF(AND(ISNUMBER($O$381),$B$208=1),$O$381,HLOOKUP(INDIRECT(ADDRESS(2,COLUMN())),OFFSET($BN$2,0,0,ROW()-1,60),ROW()-1,FALSE))</f>
        <v>97644</v>
      </c>
      <c r="P179">
        <f ca="1">IF(AND(ISNUMBER($P$381),$B$208=1),$P$381,HLOOKUP(INDIRECT(ADDRESS(2,COLUMN())),OFFSET($BN$2,0,0,ROW()-1,60),ROW()-1,FALSE))</f>
        <v>91944</v>
      </c>
      <c r="Q179">
        <f ca="1">IF(AND(ISNUMBER($Q$381),$B$208=1),$Q$381,HLOOKUP(INDIRECT(ADDRESS(2,COLUMN())),OFFSET($BN$2,0,0,ROW()-1,60),ROW()-1,FALSE))</f>
        <v>89184</v>
      </c>
      <c r="R179">
        <f ca="1">IF(AND(ISNUMBER($R$381),$B$208=1),$R$381,HLOOKUP(INDIRECT(ADDRESS(2,COLUMN())),OFFSET($BN$2,0,0,ROW()-1,60),ROW()-1,FALSE))</f>
        <v>86691</v>
      </c>
      <c r="S179">
        <f ca="1">IF(AND(ISNUMBER($S$381),$B$208=1),$S$381,HLOOKUP(INDIRECT(ADDRESS(2,COLUMN())),OFFSET($BN$2,0,0,ROW()-1,60),ROW()-1,FALSE))</f>
        <v>85368</v>
      </c>
      <c r="T179">
        <f ca="1">IF(AND(ISNUMBER($T$381),$B$208=1),$T$381,HLOOKUP(INDIRECT(ADDRESS(2,COLUMN())),OFFSET($BN$2,0,0,ROW()-1,60),ROW()-1,FALSE))</f>
        <v>84024</v>
      </c>
      <c r="U179">
        <f ca="1">IF(AND(ISNUMBER($U$381),$B$208=1),$U$381,HLOOKUP(INDIRECT(ADDRESS(2,COLUMN())),OFFSET($BN$2,0,0,ROW()-1,60),ROW()-1,FALSE))</f>
        <v>83040</v>
      </c>
      <c r="V179">
        <f ca="1">IF(AND(ISNUMBER($V$381),$B$208=1),$V$381,HLOOKUP(INDIRECT(ADDRESS(2,COLUMN())),OFFSET($BN$2,0,0,ROW()-1,60),ROW()-1,FALSE))</f>
        <v>82869</v>
      </c>
      <c r="W179">
        <f ca="1">IF(AND(ISNUMBER($W$381),$B$208=1),$W$381,HLOOKUP(INDIRECT(ADDRESS(2,COLUMN())),OFFSET($BN$2,0,0,ROW()-1,60),ROW()-1,FALSE))</f>
        <v>84251</v>
      </c>
      <c r="X179">
        <f ca="1">IF(AND(ISNUMBER($X$381),$B$208=1),$X$381,HLOOKUP(INDIRECT(ADDRESS(2,COLUMN())),OFFSET($BN$2,0,0,ROW()-1,60),ROW()-1,FALSE))</f>
        <v>85148</v>
      </c>
      <c r="Y179">
        <f ca="1">IF(AND(ISNUMBER($Y$381),$B$208=1),$Y$381,HLOOKUP(INDIRECT(ADDRESS(2,COLUMN())),OFFSET($BN$2,0,0,ROW()-1,60),ROW()-1,FALSE))</f>
        <v>87062</v>
      </c>
      <c r="Z179">
        <f ca="1">IF(AND(ISNUMBER($Z$381),$B$208=1),$Z$381,HLOOKUP(INDIRECT(ADDRESS(2,COLUMN())),OFFSET($BN$2,0,0,ROW()-1,60),ROW()-1,FALSE))</f>
        <v>83170</v>
      </c>
      <c r="AA179">
        <f ca="1">IF(AND(ISNUMBER($AA$381),$B$208=1),$AA$381,HLOOKUP(INDIRECT(ADDRESS(2,COLUMN())),OFFSET($BN$2,0,0,ROW()-1,60),ROW()-1,FALSE))</f>
        <v>83609</v>
      </c>
      <c r="AB179">
        <f ca="1">IF(AND(ISNUMBER($AB$381),$B$208=1),$AB$381,HLOOKUP(INDIRECT(ADDRESS(2,COLUMN())),OFFSET($BN$2,0,0,ROW()-1,60),ROW()-1,FALSE))</f>
        <v>83345</v>
      </c>
      <c r="AC179">
        <f ca="1">IF(AND(ISNUMBER($AC$381),$B$208=1),$AC$381,HLOOKUP(INDIRECT(ADDRESS(2,COLUMN())),OFFSET($BN$2,0,0,ROW()-1,60),ROW()-1,FALSE))</f>
        <v>81775</v>
      </c>
      <c r="AD179">
        <f ca="1">IF(AND(ISNUMBER($AD$381),$B$208=1),$AD$381,HLOOKUP(INDIRECT(ADDRESS(2,COLUMN())),OFFSET($BN$2,0,0,ROW()-1,60),ROW()-1,FALSE))</f>
        <v>80674</v>
      </c>
      <c r="AE179">
        <f ca="1">IF(AND(ISNUMBER($AE$381),$B$208=1),$AE$381,HLOOKUP(INDIRECT(ADDRESS(2,COLUMN())),OFFSET($BN$2,0,0,ROW()-1,60),ROW()-1,FALSE))</f>
        <v>81169</v>
      </c>
      <c r="AF179">
        <f ca="1">IF(AND(ISNUMBER($AF$381),$B$208=1),$AF$381,HLOOKUP(INDIRECT(ADDRESS(2,COLUMN())),OFFSET($BN$2,0,0,ROW()-1,60),ROW()-1,FALSE))</f>
        <v>80243</v>
      </c>
      <c r="AG179">
        <f ca="1">IF(AND(ISNUMBER($AG$381),$B$208=1),$AG$381,HLOOKUP(INDIRECT(ADDRESS(2,COLUMN())),OFFSET($BN$2,0,0,ROW()-1,60),ROW()-1,FALSE))</f>
        <v>78527</v>
      </c>
      <c r="AH179">
        <f ca="1">IF(AND(ISNUMBER($AH$381),$B$208=1),$AH$381,HLOOKUP(INDIRECT(ADDRESS(2,COLUMN())),OFFSET($BN$2,0,0,ROW()-1,60),ROW()-1,FALSE))</f>
        <v>77475</v>
      </c>
      <c r="AI179">
        <f ca="1">IF(AND(ISNUMBER($AI$381),$B$208=1),$AI$381,HLOOKUP(INDIRECT(ADDRESS(2,COLUMN())),OFFSET($BN$2,0,0,ROW()-1,60),ROW()-1,FALSE))</f>
        <v>78374</v>
      </c>
      <c r="AJ179">
        <f ca="1">IF(AND(ISNUMBER($AJ$381),$B$208=1),$AJ$381,HLOOKUP(INDIRECT(ADDRESS(2,COLUMN())),OFFSET($BN$2,0,0,ROW()-1,60),ROW()-1,FALSE))</f>
        <v>78910</v>
      </c>
      <c r="AK179">
        <f ca="1">IF(AND(ISNUMBER($AK$381),$B$208=1),$AK$381,HLOOKUP(INDIRECT(ADDRESS(2,COLUMN())),OFFSET($BN$2,0,0,ROW()-1,60),ROW()-1,FALSE))</f>
        <v>75696</v>
      </c>
      <c r="AL179">
        <f ca="1">IF(AND(ISNUMBER($AL$381),$B$208=1),$AL$381,HLOOKUP(INDIRECT(ADDRESS(2,COLUMN())),OFFSET($BN$2,0,0,ROW()-1,60),ROW()-1,FALSE))</f>
        <v>74631</v>
      </c>
      <c r="AM179">
        <f ca="1">IF(AND(ISNUMBER($AM$381),$B$208=1),$AM$381,HLOOKUP(INDIRECT(ADDRESS(2,COLUMN())),OFFSET($BN$2,0,0,ROW()-1,60),ROW()-1,FALSE))</f>
        <v>73509</v>
      </c>
      <c r="AN179">
        <f ca="1">IF(AND(ISNUMBER($AN$381),$B$208=1),$AN$381,HLOOKUP(INDIRECT(ADDRESS(2,COLUMN())),OFFSET($BN$2,0,0,ROW()-1,60),ROW()-1,FALSE))</f>
        <v>73436</v>
      </c>
      <c r="AO179">
        <f ca="1">IF(AND(ISNUMBER($AO$381),$B$208=1),$AO$381,HLOOKUP(INDIRECT(ADDRESS(2,COLUMN())),OFFSET($BN$2,0,0,ROW()-1,60),ROW()-1,FALSE))</f>
        <v>73366</v>
      </c>
      <c r="AP179">
        <f ca="1">IF(AND(ISNUMBER($AP$381),$B$208=1),$AP$381,HLOOKUP(INDIRECT(ADDRESS(2,COLUMN())),OFFSET($BN$2,0,0,ROW()-1,60),ROW()-1,FALSE))</f>
        <v>72254</v>
      </c>
      <c r="AQ179">
        <f ca="1">IF(AND(ISNUMBER($AQ$381),$B$208=1),$AQ$381,HLOOKUP(INDIRECT(ADDRESS(2,COLUMN())),OFFSET($BN$2,0,0,ROW()-1,60),ROW()-1,FALSE))</f>
        <v>71817</v>
      </c>
      <c r="AR179">
        <f ca="1">IF(AND(ISNUMBER($AR$381),$B$208=1),$AR$381,HLOOKUP(INDIRECT(ADDRESS(2,COLUMN())),OFFSET($BN$2,0,0,ROW()-1,60),ROW()-1,FALSE))</f>
        <v>70853</v>
      </c>
      <c r="AS179">
        <f ca="1">IF(AND(ISNUMBER($AS$381),$B$208=1),$AS$381,HLOOKUP(INDIRECT(ADDRESS(2,COLUMN())),OFFSET($BN$2,0,0,ROW()-1,60),ROW()-1,FALSE))</f>
        <v>71470</v>
      </c>
      <c r="AT179">
        <f ca="1">IF(AND(ISNUMBER($AT$381),$B$208=1),$AT$381,HLOOKUP(INDIRECT(ADDRESS(2,COLUMN())),OFFSET($BN$2,0,0,ROW()-1,60),ROW()-1,FALSE))</f>
        <v>69532</v>
      </c>
      <c r="AU179">
        <f ca="1">IF(AND(ISNUMBER($AU$381),$B$208=1),$AU$381,HLOOKUP(INDIRECT(ADDRESS(2,COLUMN())),OFFSET($BN$2,0,0,ROW()-1,60),ROW()-1,FALSE))</f>
        <v>69295</v>
      </c>
      <c r="AV179">
        <f ca="1">IF(AND(ISNUMBER($AV$381),$B$208=1),$AV$381,HLOOKUP(INDIRECT(ADDRESS(2,COLUMN())),OFFSET($BN$2,0,0,ROW()-1,60),ROW()-1,FALSE))</f>
        <v>66271</v>
      </c>
      <c r="AW179">
        <f ca="1">IF(AND(ISNUMBER($AW$381),$B$208=1),$AW$381,HLOOKUP(INDIRECT(ADDRESS(2,COLUMN())),OFFSET($BN$2,0,0,ROW()-1,60),ROW()-1,FALSE))</f>
        <v>69845</v>
      </c>
      <c r="AX179">
        <f ca="1">IF(AND(ISNUMBER($AX$381),$B$208=1),$AX$381,HLOOKUP(INDIRECT(ADDRESS(2,COLUMN())),OFFSET($BN$2,0,0,ROW()-1,60),ROW()-1,FALSE))</f>
        <v>69920</v>
      </c>
      <c r="AY179">
        <f ca="1">IF(AND(ISNUMBER($AY$381),$B$208=1),$AY$381,HLOOKUP(INDIRECT(ADDRESS(2,COLUMN())),OFFSET($BN$2,0,0,ROW()-1,60),ROW()-1,FALSE))</f>
        <v>63779</v>
      </c>
      <c r="AZ179">
        <f ca="1">IF(AND(ISNUMBER($AZ$381),$B$208=1),$AZ$381,HLOOKUP(INDIRECT(ADDRESS(2,COLUMN())),OFFSET($BN$2,0,0,ROW()-1,60),ROW()-1,FALSE))</f>
        <v>68263</v>
      </c>
      <c r="BA179">
        <f ca="1">IF(AND(ISNUMBER($BA$381),$B$208=1),$BA$381,HLOOKUP(INDIRECT(ADDRESS(2,COLUMN())),OFFSET($BN$2,0,0,ROW()-1,60),ROW()-1,FALSE))</f>
        <v>71461</v>
      </c>
      <c r="BB179">
        <f ca="1">IF(AND(ISNUMBER($BB$381),$B$208=1),$BB$381,HLOOKUP(INDIRECT(ADDRESS(2,COLUMN())),OFFSET($BN$2,0,0,ROW()-1,60),ROW()-1,FALSE))</f>
        <v>73322</v>
      </c>
      <c r="BC179">
        <f ca="1">IF(AND(ISNUMBER($BC$381),$B$208=1),$BC$381,HLOOKUP(INDIRECT(ADDRESS(2,COLUMN())),OFFSET($BN$2,0,0,ROW()-1,60),ROW()-1,FALSE))</f>
        <v>71155</v>
      </c>
      <c r="BD179">
        <f ca="1">IF(AND(ISNUMBER($BD$381),$B$208=1),$BD$381,HLOOKUP(INDIRECT(ADDRESS(2,COLUMN())),OFFSET($BN$2,0,0,ROW()-1,60),ROW()-1,FALSE))</f>
        <v>71239</v>
      </c>
      <c r="BE179">
        <f ca="1">IF(AND(ISNUMBER($BE$381),$B$208=1),$BE$381,HLOOKUP(INDIRECT(ADDRESS(2,COLUMN())),OFFSET($BN$2,0,0,ROW()-1,60),ROW()-1,FALSE))</f>
        <v>77926</v>
      </c>
      <c r="BF179">
        <f ca="1">IF(AND(ISNUMBER($BF$381),$B$208=1),$BF$381,HLOOKUP(INDIRECT(ADDRESS(2,COLUMN())),OFFSET($BN$2,0,0,ROW()-1,60),ROW()-1,FALSE))</f>
        <v>81782</v>
      </c>
      <c r="BG179">
        <f ca="1">IF(AND(ISNUMBER($BG$381),$B$208=1),$BG$381,HLOOKUP(INDIRECT(ADDRESS(2,COLUMN())),OFFSET($BN$2,0,0,ROW()-1,60),ROW()-1,FALSE))</f>
        <v>76171</v>
      </c>
      <c r="BH179">
        <f ca="1">IF(AND(ISNUMBER($BH$381),$B$208=1),$BH$381,HLOOKUP(INDIRECT(ADDRESS(2,COLUMN())),OFFSET($BN$2,0,0,ROW()-1,60),ROW()-1,FALSE))</f>
        <v>74854</v>
      </c>
      <c r="BI179">
        <f ca="1">IF(AND(ISNUMBER($BI$381),$B$208=1),$BI$381,HLOOKUP(INDIRECT(ADDRESS(2,COLUMN())),OFFSET($BN$2,0,0,ROW()-1,60),ROW()-1,FALSE))</f>
        <v>70240</v>
      </c>
      <c r="BJ179">
        <f ca="1">IF(AND(ISNUMBER($BJ$381),$B$208=1),$BJ$381,HLOOKUP(INDIRECT(ADDRESS(2,COLUMN())),OFFSET($BN$2,0,0,ROW()-1,60),ROW()-1,FALSE))</f>
        <v>73646</v>
      </c>
      <c r="BK179">
        <f ca="1">IF(AND(ISNUMBER($BK$381),$B$208=1),$BK$381,HLOOKUP(INDIRECT(ADDRESS(2,COLUMN())),OFFSET($BN$2,0,0,ROW()-1,60),ROW()-1,FALSE))</f>
        <v>77435</v>
      </c>
      <c r="BL179">
        <f ca="1">IF(AND(ISNUMBER($BL$381),$B$208=1),$BL$381,HLOOKUP(INDIRECT(ADDRESS(2,COLUMN())),OFFSET($BN$2,0,0,ROW()-1,60),ROW()-1,FALSE))</f>
        <v>73492</v>
      </c>
      <c r="BM179" t="str">
        <f ca="1">IF(AND(ISNUMBER($BM$381),$B$208=1),$BM$381,HLOOKUP(INDIRECT(ADDRESS(2,COLUMN())),OFFSET($BN$2,0,0,ROW()-1,60),ROW()-1,FALSE))</f>
        <v/>
      </c>
      <c r="BN179">
        <f>101394</f>
        <v>101394</v>
      </c>
      <c r="BO179">
        <f>104324</f>
        <v>104324</v>
      </c>
      <c r="BP179">
        <f>102839</f>
        <v>102839</v>
      </c>
      <c r="BQ179">
        <f>95404</f>
        <v>95404</v>
      </c>
      <c r="BR179">
        <f>95326</f>
        <v>95326</v>
      </c>
      <c r="BS179">
        <f>99012</f>
        <v>99012</v>
      </c>
      <c r="BT179">
        <f>98953</f>
        <v>98953</v>
      </c>
      <c r="BU179">
        <f>97146</f>
        <v>97146</v>
      </c>
      <c r="BV179">
        <f>96970</f>
        <v>96970</v>
      </c>
      <c r="BW179">
        <f>97644</f>
        <v>97644</v>
      </c>
      <c r="BX179">
        <f>91944</f>
        <v>91944</v>
      </c>
      <c r="BY179">
        <f>89184</f>
        <v>89184</v>
      </c>
      <c r="BZ179">
        <f>86691</f>
        <v>86691</v>
      </c>
      <c r="CA179">
        <f>85368</f>
        <v>85368</v>
      </c>
      <c r="CB179">
        <f>84024</f>
        <v>84024</v>
      </c>
      <c r="CC179">
        <f>83040</f>
        <v>83040</v>
      </c>
      <c r="CD179">
        <f>82869</f>
        <v>82869</v>
      </c>
      <c r="CE179">
        <f>84251</f>
        <v>84251</v>
      </c>
      <c r="CF179">
        <f>85148</f>
        <v>85148</v>
      </c>
      <c r="CG179">
        <f>87062</f>
        <v>87062</v>
      </c>
      <c r="CH179">
        <f>83170</f>
        <v>83170</v>
      </c>
      <c r="CI179">
        <f>83609</f>
        <v>83609</v>
      </c>
      <c r="CJ179">
        <f>83345</f>
        <v>83345</v>
      </c>
      <c r="CK179">
        <f>81775</f>
        <v>81775</v>
      </c>
      <c r="CL179">
        <f>80674</f>
        <v>80674</v>
      </c>
      <c r="CM179">
        <f>81169</f>
        <v>81169</v>
      </c>
      <c r="CN179">
        <f>80243</f>
        <v>80243</v>
      </c>
      <c r="CO179">
        <f>78527</f>
        <v>78527</v>
      </c>
      <c r="CP179">
        <f>77475</f>
        <v>77475</v>
      </c>
      <c r="CQ179">
        <f>78374</f>
        <v>78374</v>
      </c>
      <c r="CR179">
        <f>78910</f>
        <v>78910</v>
      </c>
      <c r="CS179">
        <f>75696</f>
        <v>75696</v>
      </c>
      <c r="CT179">
        <f>74631</f>
        <v>74631</v>
      </c>
      <c r="CU179">
        <f>73509</f>
        <v>73509</v>
      </c>
      <c r="CV179">
        <f>73436</f>
        <v>73436</v>
      </c>
      <c r="CW179">
        <f>73366</f>
        <v>73366</v>
      </c>
      <c r="CX179">
        <f>72254</f>
        <v>72254</v>
      </c>
      <c r="CY179">
        <f>71817</f>
        <v>71817</v>
      </c>
      <c r="CZ179">
        <f>70853</f>
        <v>70853</v>
      </c>
      <c r="DA179">
        <f>71470</f>
        <v>71470</v>
      </c>
      <c r="DB179">
        <f>69532</f>
        <v>69532</v>
      </c>
      <c r="DC179">
        <f>69295</f>
        <v>69295</v>
      </c>
      <c r="DD179">
        <f>66271</f>
        <v>66271</v>
      </c>
      <c r="DE179">
        <f>69845</f>
        <v>69845</v>
      </c>
      <c r="DF179">
        <f>69920</f>
        <v>69920</v>
      </c>
      <c r="DG179">
        <f>63779</f>
        <v>63779</v>
      </c>
      <c r="DH179">
        <f>68263</f>
        <v>68263</v>
      </c>
      <c r="DI179">
        <f>71461</f>
        <v>71461</v>
      </c>
      <c r="DJ179">
        <f>73322</f>
        <v>73322</v>
      </c>
      <c r="DK179">
        <f>71155</f>
        <v>71155</v>
      </c>
      <c r="DL179">
        <f>71239</f>
        <v>71239</v>
      </c>
      <c r="DM179">
        <f>77926</f>
        <v>77926</v>
      </c>
      <c r="DN179">
        <f>81782</f>
        <v>81782</v>
      </c>
      <c r="DO179">
        <f>76171</f>
        <v>76171</v>
      </c>
      <c r="DP179">
        <f>74854</f>
        <v>74854</v>
      </c>
      <c r="DQ179">
        <f>70240</f>
        <v>70240</v>
      </c>
      <c r="DR179">
        <f>73646</f>
        <v>73646</v>
      </c>
      <c r="DS179">
        <f>77435</f>
        <v>77435</v>
      </c>
      <c r="DT179">
        <f>73492</f>
        <v>73492</v>
      </c>
      <c r="DU179" t="str">
        <f>""</f>
        <v/>
      </c>
    </row>
    <row r="180" spans="1:125" x14ac:dyDescent="0.25">
      <c r="A180" t="str">
        <f>"    Komercni Banka AS"</f>
        <v xml:space="preserve">    Komercni Banka AS</v>
      </c>
      <c r="B180" t="str">
        <f>"KOMB CP Equity"</f>
        <v>KOMB CP Equity</v>
      </c>
      <c r="C180" t="str">
        <f t="shared" si="12"/>
        <v>BS018</v>
      </c>
      <c r="D180" t="str">
        <f t="shared" si="13"/>
        <v>BS_OTHER_LOAN</v>
      </c>
      <c r="E180" t="str">
        <f t="shared" si="14"/>
        <v>Dynamic</v>
      </c>
      <c r="F180">
        <f ca="1">IF(AND(ISNUMBER($F$382),$B$208=1),$F$382,HLOOKUP(INDIRECT(ADDRESS(2,COLUMN())),OFFSET($BN$2,0,0,ROW()-1,60),ROW()-1,FALSE))</f>
        <v>704.41773149999995</v>
      </c>
      <c r="G180">
        <f ca="1">IF(AND(ISNUMBER($G$382),$B$208=1),$G$382,HLOOKUP(INDIRECT(ADDRESS(2,COLUMN())),OFFSET($BN$2,0,0,ROW()-1,60),ROW()-1,FALSE))</f>
        <v>0</v>
      </c>
      <c r="H180">
        <f ca="1">IF(AND(ISNUMBER($H$382),$B$208=1),$H$382,HLOOKUP(INDIRECT(ADDRESS(2,COLUMN())),OFFSET($BN$2,0,0,ROW()-1,60),ROW()-1,FALSE))</f>
        <v>1248.3251459999999</v>
      </c>
      <c r="I180">
        <f ca="1">IF(AND(ISNUMBER($I$382),$B$208=1),$I$382,HLOOKUP(INDIRECT(ADDRESS(2,COLUMN())),OFFSET($BN$2,0,0,ROW()-1,60),ROW()-1,FALSE))</f>
        <v>0</v>
      </c>
      <c r="J180">
        <f ca="1">IF(AND(ISNUMBER($J$382),$B$208=1),$J$382,HLOOKUP(INDIRECT(ADDRESS(2,COLUMN())),OFFSET($BN$2,0,0,ROW()-1,60),ROW()-1,FALSE))</f>
        <v>1348.0331759999999</v>
      </c>
      <c r="K180">
        <f ca="1">IF(AND(ISNUMBER($K$382),$B$208=1),$K$382,HLOOKUP(INDIRECT(ADDRESS(2,COLUMN())),OFFSET($BN$2,0,0,ROW()-1,60),ROW()-1,FALSE))</f>
        <v>0</v>
      </c>
      <c r="L180">
        <f ca="1">IF(AND(ISNUMBER($L$382),$B$208=1),$L$382,HLOOKUP(INDIRECT(ADDRESS(2,COLUMN())),OFFSET($BN$2,0,0,ROW()-1,60),ROW()-1,FALSE))</f>
        <v>1442.8976869999999</v>
      </c>
      <c r="M180">
        <f ca="1">IF(AND(ISNUMBER($M$382),$B$208=1),$M$382,HLOOKUP(INDIRECT(ADDRESS(2,COLUMN())),OFFSET($BN$2,0,0,ROW()-1,60),ROW()-1,FALSE))</f>
        <v>0</v>
      </c>
      <c r="N180">
        <f ca="1">IF(AND(ISNUMBER($N$382),$B$208=1),$N$382,HLOOKUP(INDIRECT(ADDRESS(2,COLUMN())),OFFSET($BN$2,0,0,ROW()-1,60),ROW()-1,FALSE))</f>
        <v>1275.408811</v>
      </c>
      <c r="O180">
        <f ca="1">IF(AND(ISNUMBER($O$382),$B$208=1),$O$382,HLOOKUP(INDIRECT(ADDRESS(2,COLUMN())),OFFSET($BN$2,0,0,ROW()-1,60),ROW()-1,FALSE))</f>
        <v>0</v>
      </c>
      <c r="P180">
        <f ca="1">IF(AND(ISNUMBER($P$382),$B$208=1),$P$382,HLOOKUP(INDIRECT(ADDRESS(2,COLUMN())),OFFSET($BN$2,0,0,ROW()-1,60),ROW()-1,FALSE))</f>
        <v>1169.038511</v>
      </c>
      <c r="Q180">
        <f ca="1">IF(AND(ISNUMBER($Q$382),$B$208=1),$Q$382,HLOOKUP(INDIRECT(ADDRESS(2,COLUMN())),OFFSET($BN$2,0,0,ROW()-1,60),ROW()-1,FALSE))</f>
        <v>0</v>
      </c>
      <c r="R180">
        <f ca="1">IF(AND(ISNUMBER($R$382),$B$208=1),$R$382,HLOOKUP(INDIRECT(ADDRESS(2,COLUMN())),OFFSET($BN$2,0,0,ROW()-1,60),ROW()-1,FALSE))</f>
        <v>1157.732203</v>
      </c>
      <c r="S180">
        <f ca="1">IF(AND(ISNUMBER($S$382),$B$208=1),$S$382,HLOOKUP(INDIRECT(ADDRESS(2,COLUMN())),OFFSET($BN$2,0,0,ROW()-1,60),ROW()-1,FALSE))</f>
        <v>0</v>
      </c>
      <c r="T180">
        <f ca="1">IF(AND(ISNUMBER($T$382),$B$208=1),$T$382,HLOOKUP(INDIRECT(ADDRESS(2,COLUMN())),OFFSET($BN$2,0,0,ROW()-1,60),ROW()-1,FALSE))</f>
        <v>1031.6066840000001</v>
      </c>
      <c r="U180">
        <f ca="1">IF(AND(ISNUMBER($U$382),$B$208=1),$U$382,HLOOKUP(INDIRECT(ADDRESS(2,COLUMN())),OFFSET($BN$2,0,0,ROW()-1,60),ROW()-1,FALSE))</f>
        <v>26.818916380000001</v>
      </c>
      <c r="V180">
        <f ca="1">IF(AND(ISNUMBER($V$382),$B$208=1),$V$382,HLOOKUP(INDIRECT(ADDRESS(2,COLUMN())),OFFSET($BN$2,0,0,ROW()-1,60),ROW()-1,FALSE))</f>
        <v>984.65502779999997</v>
      </c>
      <c r="W180">
        <f ca="1">IF(AND(ISNUMBER($W$382),$B$208=1),$W$382,HLOOKUP(INDIRECT(ADDRESS(2,COLUMN())),OFFSET($BN$2,0,0,ROW()-1,60),ROW()-1,FALSE))</f>
        <v>1.478356561</v>
      </c>
      <c r="X180">
        <f ca="1">IF(AND(ISNUMBER($X$382),$B$208=1),$X$382,HLOOKUP(INDIRECT(ADDRESS(2,COLUMN())),OFFSET($BN$2,0,0,ROW()-1,60),ROW()-1,FALSE))</f>
        <v>937.94753119999996</v>
      </c>
      <c r="Y180">
        <f ca="1">IF(AND(ISNUMBER($Y$382),$B$208=1),$Y$382,HLOOKUP(INDIRECT(ADDRESS(2,COLUMN())),OFFSET($BN$2,0,0,ROW()-1,60),ROW()-1,FALSE))</f>
        <v>102.4076523</v>
      </c>
      <c r="Z180">
        <f ca="1">IF(AND(ISNUMBER($Z$382),$B$208=1),$Z$382,HLOOKUP(INDIRECT(ADDRESS(2,COLUMN())),OFFSET($BN$2,0,0,ROW()-1,60),ROW()-1,FALSE))</f>
        <v>906.87251819999994</v>
      </c>
      <c r="AA180">
        <f ca="1">IF(AND(ISNUMBER($AA$382),$B$208=1),$AA$382,HLOOKUP(INDIRECT(ADDRESS(2,COLUMN())),OFFSET($BN$2,0,0,ROW()-1,60),ROW()-1,FALSE))</f>
        <v>3.4895093419999998</v>
      </c>
      <c r="AB180">
        <f ca="1">IF(AND(ISNUMBER($AB$382),$B$208=1),$AB$382,HLOOKUP(INDIRECT(ADDRESS(2,COLUMN())),OFFSET($BN$2,0,0,ROW()-1,60),ROW()-1,FALSE))</f>
        <v>878.76750119999997</v>
      </c>
      <c r="AC180">
        <f ca="1">IF(AND(ISNUMBER($AC$382),$B$208=1),$AC$382,HLOOKUP(INDIRECT(ADDRESS(2,COLUMN())),OFFSET($BN$2,0,0,ROW()-1,60),ROW()-1,FALSE))</f>
        <v>123.9291546</v>
      </c>
      <c r="AD180">
        <f ca="1">IF(AND(ISNUMBER($AD$382),$B$208=1),$AD$382,HLOOKUP(INDIRECT(ADDRESS(2,COLUMN())),OFFSET($BN$2,0,0,ROW()-1,60),ROW()-1,FALSE))</f>
        <v>957.59126230000004</v>
      </c>
      <c r="AE180">
        <f ca="1">IF(AND(ISNUMBER($AE$382),$B$208=1),$AE$382,HLOOKUP(INDIRECT(ADDRESS(2,COLUMN())),OFFSET($BN$2,0,0,ROW()-1,60),ROW()-1,FALSE))</f>
        <v>422.81500779999999</v>
      </c>
      <c r="AF180">
        <f ca="1">IF(AND(ISNUMBER($AF$382),$B$208=1),$AF$382,HLOOKUP(INDIRECT(ADDRESS(2,COLUMN())),OFFSET($BN$2,0,0,ROW()-1,60),ROW()-1,FALSE))</f>
        <v>953.53460459999997</v>
      </c>
      <c r="AG180">
        <f ca="1">IF(AND(ISNUMBER($AG$382),$B$208=1),$AG$382,HLOOKUP(INDIRECT(ADDRESS(2,COLUMN())),OFFSET($BN$2,0,0,ROW()-1,60),ROW()-1,FALSE))</f>
        <v>599.62051750000001</v>
      </c>
      <c r="AH180">
        <f ca="1">IF(AND(ISNUMBER($AH$382),$B$208=1),$AH$382,HLOOKUP(INDIRECT(ADDRESS(2,COLUMN())),OFFSET($BN$2,0,0,ROW()-1,60),ROW()-1,FALSE))</f>
        <v>1235.2019230000001</v>
      </c>
      <c r="AI180">
        <f ca="1">IF(AND(ISNUMBER($AI$382),$B$208=1),$AI$382,HLOOKUP(INDIRECT(ADDRESS(2,COLUMN())),OFFSET($BN$2,0,0,ROW()-1,60),ROW()-1,FALSE))</f>
        <v>842.83944880000001</v>
      </c>
      <c r="AJ180">
        <f ca="1">IF(AND(ISNUMBER($AJ$382),$B$208=1),$AJ$382,HLOOKUP(INDIRECT(ADDRESS(2,COLUMN())),OFFSET($BN$2,0,0,ROW()-1,60),ROW()-1,FALSE))</f>
        <v>1138.411284</v>
      </c>
      <c r="AK180">
        <f ca="1">IF(AND(ISNUMBER($AK$382),$B$208=1),$AK$382,HLOOKUP(INDIRECT(ADDRESS(2,COLUMN())),OFFSET($BN$2,0,0,ROW()-1,60),ROW()-1,FALSE))</f>
        <v>55.512936070000002</v>
      </c>
      <c r="AL180">
        <f ca="1">IF(AND(ISNUMBER($AL$382),$B$208=1),$AL$382,HLOOKUP(INDIRECT(ADDRESS(2,COLUMN())),OFFSET($BN$2,0,0,ROW()-1,60),ROW()-1,FALSE))</f>
        <v>132.36357620000001</v>
      </c>
      <c r="AM180">
        <f ca="1">IF(AND(ISNUMBER($AM$382),$B$208=1),$AM$382,HLOOKUP(INDIRECT(ADDRESS(2,COLUMN())),OFFSET($BN$2,0,0,ROW()-1,60),ROW()-1,FALSE))</f>
        <v>62.90966049</v>
      </c>
      <c r="AN180">
        <f ca="1">IF(AND(ISNUMBER($AN$382),$B$208=1),$AN$382,HLOOKUP(INDIRECT(ADDRESS(2,COLUMN())),OFFSET($BN$2,0,0,ROW()-1,60),ROW()-1,FALSE))</f>
        <v>155.68992119999999</v>
      </c>
      <c r="AO180">
        <f ca="1">IF(AND(ISNUMBER($AO$382),$B$208=1),$AO$382,HLOOKUP(INDIRECT(ADDRESS(2,COLUMN())),OFFSET($BN$2,0,0,ROW()-1,60),ROW()-1,FALSE))</f>
        <v>85.031958700000004</v>
      </c>
      <c r="AP180">
        <f ca="1">IF(AND(ISNUMBER($AP$382),$B$208=1),$AP$382,HLOOKUP(INDIRECT(ADDRESS(2,COLUMN())),OFFSET($BN$2,0,0,ROW()-1,60),ROW()-1,FALSE))</f>
        <v>143.15008950000001</v>
      </c>
      <c r="AQ180">
        <f ca="1">IF(AND(ISNUMBER($AQ$382),$B$208=1),$AQ$382,HLOOKUP(INDIRECT(ADDRESS(2,COLUMN())),OFFSET($BN$2,0,0,ROW()-1,60),ROW()-1,FALSE))</f>
        <v>69.855260779999995</v>
      </c>
      <c r="AR180">
        <f ca="1">IF(AND(ISNUMBER($AR$382),$B$208=1),$AR$382,HLOOKUP(INDIRECT(ADDRESS(2,COLUMN())),OFFSET($BN$2,0,0,ROW()-1,60),ROW()-1,FALSE))</f>
        <v>160.8581628</v>
      </c>
      <c r="AS180">
        <f ca="1">IF(AND(ISNUMBER($AS$382),$B$208=1),$AS$382,HLOOKUP(INDIRECT(ADDRESS(2,COLUMN())),OFFSET($BN$2,0,0,ROW()-1,60),ROW()-1,FALSE))</f>
        <v>134.19290609999999</v>
      </c>
      <c r="AT180">
        <f ca="1">IF(AND(ISNUMBER($AT$382),$B$208=1),$AT$382,HLOOKUP(INDIRECT(ADDRESS(2,COLUMN())),OFFSET($BN$2,0,0,ROW()-1,60),ROW()-1,FALSE))</f>
        <v>79.780535720000003</v>
      </c>
      <c r="AU180" t="str">
        <f ca="1">IF(AND(ISNUMBER($AU$382),$B$208=1),$AU$382,HLOOKUP(INDIRECT(ADDRESS(2,COLUMN())),OFFSET($BN$2,0,0,ROW()-1,60),ROW()-1,FALSE))</f>
        <v/>
      </c>
      <c r="AV180">
        <f ca="1">IF(AND(ISNUMBER($AV$382),$B$208=1),$AV$382,HLOOKUP(INDIRECT(ADDRESS(2,COLUMN())),OFFSET($BN$2,0,0,ROW()-1,60),ROW()-1,FALSE))</f>
        <v>33.921510220000002</v>
      </c>
      <c r="AW180">
        <f ca="1">IF(AND(ISNUMBER($AW$382),$B$208=1),$AW$382,HLOOKUP(INDIRECT(ADDRESS(2,COLUMN())),OFFSET($BN$2,0,0,ROW()-1,60),ROW()-1,FALSE))</f>
        <v>153.99714940000001</v>
      </c>
      <c r="AX180">
        <f ca="1">IF(AND(ISNUMBER($AX$382),$B$208=1),$AX$382,HLOOKUP(INDIRECT(ADDRESS(2,COLUMN())),OFFSET($BN$2,0,0,ROW()-1,60),ROW()-1,FALSE))</f>
        <v>20.555856890000001</v>
      </c>
      <c r="AY180" t="str">
        <f ca="1">IF(AND(ISNUMBER($AY$382),$B$208=1),$AY$382,HLOOKUP(INDIRECT(ADDRESS(2,COLUMN())),OFFSET($BN$2,0,0,ROW()-1,60),ROW()-1,FALSE))</f>
        <v/>
      </c>
      <c r="AZ180" t="str">
        <f ca="1">IF(AND(ISNUMBER($AZ$382),$B$208=1),$AZ$382,HLOOKUP(INDIRECT(ADDRESS(2,COLUMN())),OFFSET($BN$2,0,0,ROW()-1,60),ROW()-1,FALSE))</f>
        <v/>
      </c>
      <c r="BA180" t="str">
        <f ca="1">IF(AND(ISNUMBER($BA$382),$B$208=1),$BA$382,HLOOKUP(INDIRECT(ADDRESS(2,COLUMN())),OFFSET($BN$2,0,0,ROW()-1,60),ROW()-1,FALSE))</f>
        <v/>
      </c>
      <c r="BB180">
        <f ca="1">IF(AND(ISNUMBER($BB$382),$B$208=1),$BB$382,HLOOKUP(INDIRECT(ADDRESS(2,COLUMN())),OFFSET($BN$2,0,0,ROW()-1,60),ROW()-1,FALSE))</f>
        <v>26.348478929999999</v>
      </c>
      <c r="BC180" t="str">
        <f ca="1">IF(AND(ISNUMBER($BC$382),$B$208=1),$BC$382,HLOOKUP(INDIRECT(ADDRESS(2,COLUMN())),OFFSET($BN$2,0,0,ROW()-1,60),ROW()-1,FALSE))</f>
        <v/>
      </c>
      <c r="BD180" t="str">
        <f ca="1">IF(AND(ISNUMBER($BD$382),$B$208=1),$BD$382,HLOOKUP(INDIRECT(ADDRESS(2,COLUMN())),OFFSET($BN$2,0,0,ROW()-1,60),ROW()-1,FALSE))</f>
        <v/>
      </c>
      <c r="BE180" t="str">
        <f ca="1">IF(AND(ISNUMBER($BE$382),$B$208=1),$BE$382,HLOOKUP(INDIRECT(ADDRESS(2,COLUMN())),OFFSET($BN$2,0,0,ROW()-1,60),ROW()-1,FALSE))</f>
        <v/>
      </c>
      <c r="BF180" t="str">
        <f ca="1">IF(AND(ISNUMBER($BF$382),$B$208=1),$BF$382,HLOOKUP(INDIRECT(ADDRESS(2,COLUMN())),OFFSET($BN$2,0,0,ROW()-1,60),ROW()-1,FALSE))</f>
        <v/>
      </c>
      <c r="BG180" t="str">
        <f ca="1">IF(AND(ISNUMBER($BG$382),$B$208=1),$BG$382,HLOOKUP(INDIRECT(ADDRESS(2,COLUMN())),OFFSET($BN$2,0,0,ROW()-1,60),ROW()-1,FALSE))</f>
        <v/>
      </c>
      <c r="BH180" t="str">
        <f ca="1">IF(AND(ISNUMBER($BH$382),$B$208=1),$BH$382,HLOOKUP(INDIRECT(ADDRESS(2,COLUMN())),OFFSET($BN$2,0,0,ROW()-1,60),ROW()-1,FALSE))</f>
        <v/>
      </c>
      <c r="BI180" t="str">
        <f ca="1">IF(AND(ISNUMBER($BI$382),$B$208=1),$BI$382,HLOOKUP(INDIRECT(ADDRESS(2,COLUMN())),OFFSET($BN$2,0,0,ROW()-1,60),ROW()-1,FALSE))</f>
        <v/>
      </c>
      <c r="BJ180" t="str">
        <f ca="1">IF(AND(ISNUMBER($BJ$382),$B$208=1),$BJ$382,HLOOKUP(INDIRECT(ADDRESS(2,COLUMN())),OFFSET($BN$2,0,0,ROW()-1,60),ROW()-1,FALSE))</f>
        <v/>
      </c>
      <c r="BK180" t="str">
        <f ca="1">IF(AND(ISNUMBER($BK$382),$B$208=1),$BK$382,HLOOKUP(INDIRECT(ADDRESS(2,COLUMN())),OFFSET($BN$2,0,0,ROW()-1,60),ROW()-1,FALSE))</f>
        <v/>
      </c>
      <c r="BL180" t="str">
        <f ca="1">IF(AND(ISNUMBER($BL$382),$B$208=1),$BL$382,HLOOKUP(INDIRECT(ADDRESS(2,COLUMN())),OFFSET($BN$2,0,0,ROW()-1,60),ROW()-1,FALSE))</f>
        <v/>
      </c>
      <c r="BM180" t="str">
        <f ca="1">IF(AND(ISNUMBER($BM$382),$B$208=1),$BM$382,HLOOKUP(INDIRECT(ADDRESS(2,COLUMN())),OFFSET($BN$2,0,0,ROW()-1,60),ROW()-1,FALSE))</f>
        <v/>
      </c>
      <c r="BN180">
        <f>704.4177315</f>
        <v>704.41773149999995</v>
      </c>
      <c r="BO180">
        <f>0</f>
        <v>0</v>
      </c>
      <c r="BP180">
        <f>1248.325146</f>
        <v>1248.3251459999999</v>
      </c>
      <c r="BQ180">
        <f>0</f>
        <v>0</v>
      </c>
      <c r="BR180">
        <f>1348.033176</f>
        <v>1348.0331759999999</v>
      </c>
      <c r="BS180">
        <f>0</f>
        <v>0</v>
      </c>
      <c r="BT180">
        <f>1442.897687</f>
        <v>1442.8976869999999</v>
      </c>
      <c r="BU180">
        <f>0</f>
        <v>0</v>
      </c>
      <c r="BV180">
        <f>1275.408811</f>
        <v>1275.408811</v>
      </c>
      <c r="BW180">
        <f>0</f>
        <v>0</v>
      </c>
      <c r="BX180">
        <f>1169.038511</f>
        <v>1169.038511</v>
      </c>
      <c r="BY180">
        <f>0</f>
        <v>0</v>
      </c>
      <c r="BZ180">
        <f>1157.732203</f>
        <v>1157.732203</v>
      </c>
      <c r="CA180">
        <f>0</f>
        <v>0</v>
      </c>
      <c r="CB180">
        <f>1031.606684</f>
        <v>1031.6066840000001</v>
      </c>
      <c r="CC180">
        <f>26.81891638</f>
        <v>26.818916380000001</v>
      </c>
      <c r="CD180">
        <f>984.6550278</f>
        <v>984.65502779999997</v>
      </c>
      <c r="CE180">
        <f>1.478356561</f>
        <v>1.478356561</v>
      </c>
      <c r="CF180">
        <f>937.9475312</f>
        <v>937.94753119999996</v>
      </c>
      <c r="CG180">
        <f>102.4076523</f>
        <v>102.4076523</v>
      </c>
      <c r="CH180">
        <f>906.8725182</f>
        <v>906.87251819999994</v>
      </c>
      <c r="CI180">
        <f>3.489509342</f>
        <v>3.4895093419999998</v>
      </c>
      <c r="CJ180">
        <f>878.7675012</f>
        <v>878.76750119999997</v>
      </c>
      <c r="CK180">
        <f>123.9291546</f>
        <v>123.9291546</v>
      </c>
      <c r="CL180">
        <f>957.5912623</f>
        <v>957.59126230000004</v>
      </c>
      <c r="CM180">
        <f>422.8150078</f>
        <v>422.81500779999999</v>
      </c>
      <c r="CN180">
        <f>953.5346046</f>
        <v>953.53460459999997</v>
      </c>
      <c r="CO180">
        <f>599.6205175</f>
        <v>599.62051750000001</v>
      </c>
      <c r="CP180">
        <f>1235.201923</f>
        <v>1235.2019230000001</v>
      </c>
      <c r="CQ180">
        <f>842.8394488</f>
        <v>842.83944880000001</v>
      </c>
      <c r="CR180">
        <f>1138.411284</f>
        <v>1138.411284</v>
      </c>
      <c r="CS180">
        <f>55.51293607</f>
        <v>55.512936070000002</v>
      </c>
      <c r="CT180">
        <f>132.3635762</f>
        <v>132.36357620000001</v>
      </c>
      <c r="CU180">
        <f>62.90966049</f>
        <v>62.90966049</v>
      </c>
      <c r="CV180">
        <f>155.6899212</f>
        <v>155.68992119999999</v>
      </c>
      <c r="CW180">
        <f>85.0319587</f>
        <v>85.031958700000004</v>
      </c>
      <c r="CX180">
        <f>143.1500895</f>
        <v>143.15008950000001</v>
      </c>
      <c r="CY180">
        <f>69.85526078</f>
        <v>69.855260779999995</v>
      </c>
      <c r="CZ180">
        <f>160.8581628</f>
        <v>160.8581628</v>
      </c>
      <c r="DA180">
        <f>134.1929061</f>
        <v>134.19290609999999</v>
      </c>
      <c r="DB180">
        <f>79.78053572</f>
        <v>79.780535720000003</v>
      </c>
      <c r="DC180" t="str">
        <f>""</f>
        <v/>
      </c>
      <c r="DD180">
        <f>33.92151022</f>
        <v>33.921510220000002</v>
      </c>
      <c r="DE180">
        <f>153.9971494</f>
        <v>153.99714940000001</v>
      </c>
      <c r="DF180">
        <f>20.55585689</f>
        <v>20.555856890000001</v>
      </c>
      <c r="DG180" t="str">
        <f>""</f>
        <v/>
      </c>
      <c r="DH180" t="str">
        <f>""</f>
        <v/>
      </c>
      <c r="DI180" t="str">
        <f>""</f>
        <v/>
      </c>
      <c r="DJ180">
        <f>26.34847893</f>
        <v>26.348478929999999</v>
      </c>
      <c r="DK180" t="str">
        <f>""</f>
        <v/>
      </c>
      <c r="DL180" t="str">
        <f>""</f>
        <v/>
      </c>
      <c r="DM180" t="str">
        <f>""</f>
        <v/>
      </c>
      <c r="DN180" t="str">
        <f>""</f>
        <v/>
      </c>
      <c r="DO180" t="str">
        <f>""</f>
        <v/>
      </c>
      <c r="DP180" t="str">
        <f>""</f>
        <v/>
      </c>
      <c r="DQ180" t="str">
        <f>""</f>
        <v/>
      </c>
      <c r="DR180" t="str">
        <f>""</f>
        <v/>
      </c>
      <c r="DS180" t="str">
        <f>""</f>
        <v/>
      </c>
      <c r="DT180" t="str">
        <f>""</f>
        <v/>
      </c>
      <c r="DU180" t="str">
        <f>""</f>
        <v/>
      </c>
    </row>
    <row r="181" spans="1:125" x14ac:dyDescent="0.25">
      <c r="A181" t="str">
        <f>"    Lloyds Banking Group PLC"</f>
        <v xml:space="preserve">    Lloyds Banking Group PLC</v>
      </c>
      <c r="B181" t="str">
        <f>"LLOY LN Equity"</f>
        <v>LLOY LN Equity</v>
      </c>
      <c r="C181" t="str">
        <f t="shared" si="12"/>
        <v>BS018</v>
      </c>
      <c r="D181" t="str">
        <f t="shared" si="13"/>
        <v>BS_OTHER_LOAN</v>
      </c>
      <c r="E181" t="str">
        <f t="shared" si="14"/>
        <v>Dynamic</v>
      </c>
      <c r="F181">
        <f ca="1">IF(AND(ISNUMBER($F$383),$B$208=1),$F$383,HLOOKUP(INDIRECT(ADDRESS(2,COLUMN())),OFFSET($BN$2,0,0,ROW()-1,60),ROW()-1,FALSE))</f>
        <v>88898.327470000004</v>
      </c>
      <c r="G181">
        <f ca="1">IF(AND(ISNUMBER($G$383),$B$208=1),$G$383,HLOOKUP(INDIRECT(ADDRESS(2,COLUMN())),OFFSET($BN$2,0,0,ROW()-1,60),ROW()-1,FALSE))</f>
        <v>119841.3861</v>
      </c>
      <c r="H181" t="str">
        <f ca="1">IF(AND(ISNUMBER($H$383),$B$208=1),$H$383,HLOOKUP(INDIRECT(ADDRESS(2,COLUMN())),OFFSET($BN$2,0,0,ROW()-1,60),ROW()-1,FALSE))</f>
        <v/>
      </c>
      <c r="I181" t="str">
        <f ca="1">IF(AND(ISNUMBER($I$383),$B$208=1),$I$383,HLOOKUP(INDIRECT(ADDRESS(2,COLUMN())),OFFSET($BN$2,0,0,ROW()-1,60),ROW()-1,FALSE))</f>
        <v/>
      </c>
      <c r="J181">
        <f ca="1">IF(AND(ISNUMBER($J$383),$B$208=1),$J$383,HLOOKUP(INDIRECT(ADDRESS(2,COLUMN())),OFFSET($BN$2,0,0,ROW()-1,60),ROW()-1,FALSE))</f>
        <v>84659.849059999993</v>
      </c>
      <c r="K181">
        <f ca="1">IF(AND(ISNUMBER($K$383),$B$208=1),$K$383,HLOOKUP(INDIRECT(ADDRESS(2,COLUMN())),OFFSET($BN$2,0,0,ROW()-1,60),ROW()-1,FALSE))</f>
        <v>117586.3129</v>
      </c>
      <c r="L181" t="str">
        <f ca="1">IF(AND(ISNUMBER($L$383),$B$208=1),$L$383,HLOOKUP(INDIRECT(ADDRESS(2,COLUMN())),OFFSET($BN$2,0,0,ROW()-1,60),ROW()-1,FALSE))</f>
        <v/>
      </c>
      <c r="M181" t="str">
        <f ca="1">IF(AND(ISNUMBER($M$383),$B$208=1),$M$383,HLOOKUP(INDIRECT(ADDRESS(2,COLUMN())),OFFSET($BN$2,0,0,ROW()-1,60),ROW()-1,FALSE))</f>
        <v/>
      </c>
      <c r="N181">
        <f ca="1">IF(AND(ISNUMBER($N$383),$B$208=1),$N$383,HLOOKUP(INDIRECT(ADDRESS(2,COLUMN())),OFFSET($BN$2,0,0,ROW()-1,60),ROW()-1,FALSE))</f>
        <v>85796.291660000003</v>
      </c>
      <c r="O181" t="str">
        <f ca="1">IF(AND(ISNUMBER($O$383),$B$208=1),$O$383,HLOOKUP(INDIRECT(ADDRESS(2,COLUMN())),OFFSET($BN$2,0,0,ROW()-1,60),ROW()-1,FALSE))</f>
        <v/>
      </c>
      <c r="P181" t="str">
        <f ca="1">IF(AND(ISNUMBER($P$383),$B$208=1),$P$383,HLOOKUP(INDIRECT(ADDRESS(2,COLUMN())),OFFSET($BN$2,0,0,ROW()-1,60),ROW()-1,FALSE))</f>
        <v/>
      </c>
      <c r="Q181" t="str">
        <f ca="1">IF(AND(ISNUMBER($Q$383),$B$208=1),$Q$383,HLOOKUP(INDIRECT(ADDRESS(2,COLUMN())),OFFSET($BN$2,0,0,ROW()-1,60),ROW()-1,FALSE))</f>
        <v/>
      </c>
      <c r="R181">
        <f ca="1">IF(AND(ISNUMBER($R$383),$B$208=1),$R$383,HLOOKUP(INDIRECT(ADDRESS(2,COLUMN())),OFFSET($BN$2,0,0,ROW()-1,60),ROW()-1,FALSE))</f>
        <v>27458.71816</v>
      </c>
      <c r="S181" t="str">
        <f ca="1">IF(AND(ISNUMBER($S$383),$B$208=1),$S$383,HLOOKUP(INDIRECT(ADDRESS(2,COLUMN())),OFFSET($BN$2,0,0,ROW()-1,60),ROW()-1,FALSE))</f>
        <v/>
      </c>
      <c r="T181" t="str">
        <f ca="1">IF(AND(ISNUMBER($T$383),$B$208=1),$T$383,HLOOKUP(INDIRECT(ADDRESS(2,COLUMN())),OFFSET($BN$2,0,0,ROW()-1,60),ROW()-1,FALSE))</f>
        <v/>
      </c>
      <c r="U181" t="str">
        <f ca="1">IF(AND(ISNUMBER($U$383),$B$208=1),$U$383,HLOOKUP(INDIRECT(ADDRESS(2,COLUMN())),OFFSET($BN$2,0,0,ROW()-1,60),ROW()-1,FALSE))</f>
        <v/>
      </c>
      <c r="V181">
        <f ca="1">IF(AND(ISNUMBER($V$383),$B$208=1),$V$383,HLOOKUP(INDIRECT(ADDRESS(2,COLUMN())),OFFSET($BN$2,0,0,ROW()-1,60),ROW()-1,FALSE))</f>
        <v>86368.118279999995</v>
      </c>
      <c r="W181" t="str">
        <f ca="1">IF(AND(ISNUMBER($W$383),$B$208=1),$W$383,HLOOKUP(INDIRECT(ADDRESS(2,COLUMN())),OFFSET($BN$2,0,0,ROW()-1,60),ROW()-1,FALSE))</f>
        <v/>
      </c>
      <c r="X181" t="str">
        <f ca="1">IF(AND(ISNUMBER($X$383),$B$208=1),$X$383,HLOOKUP(INDIRECT(ADDRESS(2,COLUMN())),OFFSET($BN$2,0,0,ROW()-1,60),ROW()-1,FALSE))</f>
        <v/>
      </c>
      <c r="Y181" t="str">
        <f ca="1">IF(AND(ISNUMBER($Y$383),$B$208=1),$Y$383,HLOOKUP(INDIRECT(ADDRESS(2,COLUMN())),OFFSET($BN$2,0,0,ROW()-1,60),ROW()-1,FALSE))</f>
        <v/>
      </c>
      <c r="Z181">
        <f ca="1">IF(AND(ISNUMBER($Z$383),$B$208=1),$Z$383,HLOOKUP(INDIRECT(ADDRESS(2,COLUMN())),OFFSET($BN$2,0,0,ROW()-1,60),ROW()-1,FALSE))</f>
        <v>95585.964999999997</v>
      </c>
      <c r="AA181" t="str">
        <f ca="1">IF(AND(ISNUMBER($AA$383),$B$208=1),$AA$383,HLOOKUP(INDIRECT(ADDRESS(2,COLUMN())),OFFSET($BN$2,0,0,ROW()-1,60),ROW()-1,FALSE))</f>
        <v/>
      </c>
      <c r="AB181" t="str">
        <f ca="1">IF(AND(ISNUMBER($AB$383),$B$208=1),$AB$383,HLOOKUP(INDIRECT(ADDRESS(2,COLUMN())),OFFSET($BN$2,0,0,ROW()-1,60),ROW()-1,FALSE))</f>
        <v/>
      </c>
      <c r="AC181" t="str">
        <f ca="1">IF(AND(ISNUMBER($AC$383),$B$208=1),$AC$383,HLOOKUP(INDIRECT(ADDRESS(2,COLUMN())),OFFSET($BN$2,0,0,ROW()-1,60),ROW()-1,FALSE))</f>
        <v/>
      </c>
      <c r="AD181">
        <f ca="1">IF(AND(ISNUMBER($AD$383),$B$208=1),$AD$383,HLOOKUP(INDIRECT(ADDRESS(2,COLUMN())),OFFSET($BN$2,0,0,ROW()-1,60),ROW()-1,FALSE))</f>
        <v>5814.2773310000002</v>
      </c>
      <c r="AE181" t="str">
        <f ca="1">IF(AND(ISNUMBER($AE$383),$B$208=1),$AE$383,HLOOKUP(INDIRECT(ADDRESS(2,COLUMN())),OFFSET($BN$2,0,0,ROW()-1,60),ROW()-1,FALSE))</f>
        <v/>
      </c>
      <c r="AF181">
        <f ca="1">IF(AND(ISNUMBER($AF$383),$B$208=1),$AF$383,HLOOKUP(INDIRECT(ADDRESS(2,COLUMN())),OFFSET($BN$2,0,0,ROW()-1,60),ROW()-1,FALSE))</f>
        <v>19234.517599999999</v>
      </c>
      <c r="AG181" t="str">
        <f ca="1">IF(AND(ISNUMBER($AG$383),$B$208=1),$AG$383,HLOOKUP(INDIRECT(ADDRESS(2,COLUMN())),OFFSET($BN$2,0,0,ROW()-1,60),ROW()-1,FALSE))</f>
        <v/>
      </c>
      <c r="AH181">
        <f ca="1">IF(AND(ISNUMBER($AH$383),$B$208=1),$AH$383,HLOOKUP(INDIRECT(ADDRESS(2,COLUMN())),OFFSET($BN$2,0,0,ROW()-1,60),ROW()-1,FALSE))</f>
        <v>1126.0625520000001</v>
      </c>
      <c r="AI181" t="str">
        <f ca="1">IF(AND(ISNUMBER($AI$383),$B$208=1),$AI$383,HLOOKUP(INDIRECT(ADDRESS(2,COLUMN())),OFFSET($BN$2,0,0,ROW()-1,60),ROW()-1,FALSE))</f>
        <v/>
      </c>
      <c r="AJ181">
        <f ca="1">IF(AND(ISNUMBER($AJ$383),$B$208=1),$AJ$383,HLOOKUP(INDIRECT(ADDRESS(2,COLUMN())),OFFSET($BN$2,0,0,ROW()-1,60),ROW()-1,FALSE))</f>
        <v>4309.4057650000004</v>
      </c>
      <c r="AK181" t="str">
        <f ca="1">IF(AND(ISNUMBER($AK$383),$B$208=1),$AK$383,HLOOKUP(INDIRECT(ADDRESS(2,COLUMN())),OFFSET($BN$2,0,0,ROW()-1,60),ROW()-1,FALSE))</f>
        <v/>
      </c>
      <c r="AL181">
        <f ca="1">IF(AND(ISNUMBER($AL$383),$B$208=1),$AL$383,HLOOKUP(INDIRECT(ADDRESS(2,COLUMN())),OFFSET($BN$2,0,0,ROW()-1,60),ROW()-1,FALSE))</f>
        <v>6958.4739740000005</v>
      </c>
      <c r="AM181" t="str">
        <f ca="1">IF(AND(ISNUMBER($AM$383),$B$208=1),$AM$383,HLOOKUP(INDIRECT(ADDRESS(2,COLUMN())),OFFSET($BN$2,0,0,ROW()-1,60),ROW()-1,FALSE))</f>
        <v/>
      </c>
      <c r="AN181">
        <f ca="1">IF(AND(ISNUMBER($AN$383),$B$208=1),$AN$383,HLOOKUP(INDIRECT(ADDRESS(2,COLUMN())),OFFSET($BN$2,0,0,ROW()-1,60),ROW()-1,FALSE))</f>
        <v>16360.631450000001</v>
      </c>
      <c r="AO181" t="str">
        <f ca="1">IF(AND(ISNUMBER($AO$383),$B$208=1),$AO$383,HLOOKUP(INDIRECT(ADDRESS(2,COLUMN())),OFFSET($BN$2,0,0,ROW()-1,60),ROW()-1,FALSE))</f>
        <v/>
      </c>
      <c r="AP181">
        <f ca="1">IF(AND(ISNUMBER($AP$383),$B$208=1),$AP$383,HLOOKUP(INDIRECT(ADDRESS(2,COLUMN())),OFFSET($BN$2,0,0,ROW()-1,60),ROW()-1,FALSE))</f>
        <v>16660.837289999999</v>
      </c>
      <c r="AQ181" t="str">
        <f ca="1">IF(AND(ISNUMBER($AQ$383),$B$208=1),$AQ$383,HLOOKUP(INDIRECT(ADDRESS(2,COLUMN())),OFFSET($BN$2,0,0,ROW()-1,60),ROW()-1,FALSE))</f>
        <v/>
      </c>
      <c r="AR181">
        <f ca="1">IF(AND(ISNUMBER($AR$383),$B$208=1),$AR$383,HLOOKUP(INDIRECT(ADDRESS(2,COLUMN())),OFFSET($BN$2,0,0,ROW()-1,60),ROW()-1,FALSE))</f>
        <v>16011.216710000001</v>
      </c>
      <c r="AS181" t="str">
        <f ca="1">IF(AND(ISNUMBER($AS$383),$B$208=1),$AS$383,HLOOKUP(INDIRECT(ADDRESS(2,COLUMN())),OFFSET($BN$2,0,0,ROW()-1,60),ROW()-1,FALSE))</f>
        <v/>
      </c>
      <c r="AT181">
        <f ca="1">IF(AND(ISNUMBER($AT$383),$B$208=1),$AT$383,HLOOKUP(INDIRECT(ADDRESS(2,COLUMN())),OFFSET($BN$2,0,0,ROW()-1,60),ROW()-1,FALSE))</f>
        <v>13412.53686</v>
      </c>
      <c r="AU181" t="str">
        <f ca="1">IF(AND(ISNUMBER($AU$383),$B$208=1),$AU$383,HLOOKUP(INDIRECT(ADDRESS(2,COLUMN())),OFFSET($BN$2,0,0,ROW()-1,60),ROW()-1,FALSE))</f>
        <v/>
      </c>
      <c r="AV181">
        <f ca="1">IF(AND(ISNUMBER($AV$383),$B$208=1),$AV$383,HLOOKUP(INDIRECT(ADDRESS(2,COLUMN())),OFFSET($BN$2,0,0,ROW()-1,60),ROW()-1,FALSE))</f>
        <v>12352.416069999999</v>
      </c>
      <c r="AW181" t="str">
        <f ca="1">IF(AND(ISNUMBER($AW$383),$B$208=1),$AW$383,HLOOKUP(INDIRECT(ADDRESS(2,COLUMN())),OFFSET($BN$2,0,0,ROW()-1,60),ROW()-1,FALSE))</f>
        <v/>
      </c>
      <c r="AX181">
        <f ca="1">IF(AND(ISNUMBER($AX$383),$B$208=1),$AX$383,HLOOKUP(INDIRECT(ADDRESS(2,COLUMN())),OFFSET($BN$2,0,0,ROW()-1,60),ROW()-1,FALSE))</f>
        <v>11443.26275</v>
      </c>
      <c r="AY181" t="str">
        <f ca="1">IF(AND(ISNUMBER($AY$383),$B$208=1),$AY$383,HLOOKUP(INDIRECT(ADDRESS(2,COLUMN())),OFFSET($BN$2,0,0,ROW()-1,60),ROW()-1,FALSE))</f>
        <v/>
      </c>
      <c r="AZ181">
        <f ca="1">IF(AND(ISNUMBER($AZ$383),$B$208=1),$AZ$383,HLOOKUP(INDIRECT(ADDRESS(2,COLUMN())),OFFSET($BN$2,0,0,ROW()-1,60),ROW()-1,FALSE))</f>
        <v>13202.36794</v>
      </c>
      <c r="BA181" t="str">
        <f ca="1">IF(AND(ISNUMBER($BA$383),$B$208=1),$BA$383,HLOOKUP(INDIRECT(ADDRESS(2,COLUMN())),OFFSET($BN$2,0,0,ROW()-1,60),ROW()-1,FALSE))</f>
        <v/>
      </c>
      <c r="BB181">
        <f ca="1">IF(AND(ISNUMBER($BB$383),$B$208=1),$BB$383,HLOOKUP(INDIRECT(ADDRESS(2,COLUMN())),OFFSET($BN$2,0,0,ROW()-1,60),ROW()-1,FALSE))</f>
        <v>14536.20232</v>
      </c>
      <c r="BC181" t="str">
        <f ca="1">IF(AND(ISNUMBER($BC$383),$B$208=1),$BC$383,HLOOKUP(INDIRECT(ADDRESS(2,COLUMN())),OFFSET($BN$2,0,0,ROW()-1,60),ROW()-1,FALSE))</f>
        <v/>
      </c>
      <c r="BD181">
        <f ca="1">IF(AND(ISNUMBER($BD$383),$B$208=1),$BD$383,HLOOKUP(INDIRECT(ADDRESS(2,COLUMN())),OFFSET($BN$2,0,0,ROW()-1,60),ROW()-1,FALSE))</f>
        <v>15791.083549999999</v>
      </c>
      <c r="BE181" t="str">
        <f ca="1">IF(AND(ISNUMBER($BE$383),$B$208=1),$BE$383,HLOOKUP(INDIRECT(ADDRESS(2,COLUMN())),OFFSET($BN$2,0,0,ROW()-1,60),ROW()-1,FALSE))</f>
        <v/>
      </c>
      <c r="BF181">
        <f ca="1">IF(AND(ISNUMBER($BF$383),$B$208=1),$BF$383,HLOOKUP(INDIRECT(ADDRESS(2,COLUMN())),OFFSET($BN$2,0,0,ROW()-1,60),ROW()-1,FALSE))</f>
        <v>16246.15617</v>
      </c>
      <c r="BG181" t="str">
        <f ca="1">IF(AND(ISNUMBER($BG$383),$B$208=1),$BG$383,HLOOKUP(INDIRECT(ADDRESS(2,COLUMN())),OFFSET($BN$2,0,0,ROW()-1,60),ROW()-1,FALSE))</f>
        <v/>
      </c>
      <c r="BH181">
        <f ca="1">IF(AND(ISNUMBER($BH$383),$B$208=1),$BH$383,HLOOKUP(INDIRECT(ADDRESS(2,COLUMN())),OFFSET($BN$2,0,0,ROW()-1,60),ROW()-1,FALSE))</f>
        <v>16127.90179</v>
      </c>
      <c r="BI181" t="str">
        <f ca="1">IF(AND(ISNUMBER($BI$383),$B$208=1),$BI$383,HLOOKUP(INDIRECT(ADDRESS(2,COLUMN())),OFFSET($BN$2,0,0,ROW()-1,60),ROW()-1,FALSE))</f>
        <v/>
      </c>
      <c r="BJ181">
        <f ca="1">IF(AND(ISNUMBER($BJ$383),$B$208=1),$BJ$383,HLOOKUP(INDIRECT(ADDRESS(2,COLUMN())),OFFSET($BN$2,0,0,ROW()-1,60),ROW()-1,FALSE))</f>
        <v>18079.07444</v>
      </c>
      <c r="BK181" t="str">
        <f ca="1">IF(AND(ISNUMBER($BK$383),$B$208=1),$BK$383,HLOOKUP(INDIRECT(ADDRESS(2,COLUMN())),OFFSET($BN$2,0,0,ROW()-1,60),ROW()-1,FALSE))</f>
        <v/>
      </c>
      <c r="BL181">
        <f ca="1">IF(AND(ISNUMBER($BL$383),$B$208=1),$BL$383,HLOOKUP(INDIRECT(ADDRESS(2,COLUMN())),OFFSET($BN$2,0,0,ROW()-1,60),ROW()-1,FALSE))</f>
        <v>20826.366969999999</v>
      </c>
      <c r="BM181" t="str">
        <f ca="1">IF(AND(ISNUMBER($BM$383),$B$208=1),$BM$383,HLOOKUP(INDIRECT(ADDRESS(2,COLUMN())),OFFSET($BN$2,0,0,ROW()-1,60),ROW()-1,FALSE))</f>
        <v/>
      </c>
      <c r="BN181">
        <f>88898.32747</f>
        <v>88898.327470000004</v>
      </c>
      <c r="BO181">
        <f>119841.3861</f>
        <v>119841.3861</v>
      </c>
      <c r="BP181" t="str">
        <f>""</f>
        <v/>
      </c>
      <c r="BQ181" t="str">
        <f>""</f>
        <v/>
      </c>
      <c r="BR181">
        <f>84659.84906</f>
        <v>84659.849059999993</v>
      </c>
      <c r="BS181">
        <f>117586.3129</f>
        <v>117586.3129</v>
      </c>
      <c r="BT181" t="str">
        <f>""</f>
        <v/>
      </c>
      <c r="BU181" t="str">
        <f>""</f>
        <v/>
      </c>
      <c r="BV181">
        <f>85796.29166</f>
        <v>85796.291660000003</v>
      </c>
      <c r="BW181" t="str">
        <f>""</f>
        <v/>
      </c>
      <c r="BX181" t="str">
        <f>""</f>
        <v/>
      </c>
      <c r="BY181" t="str">
        <f>""</f>
        <v/>
      </c>
      <c r="BZ181">
        <f>27458.71816</f>
        <v>27458.71816</v>
      </c>
      <c r="CA181" t="str">
        <f>""</f>
        <v/>
      </c>
      <c r="CB181" t="str">
        <f>""</f>
        <v/>
      </c>
      <c r="CC181" t="str">
        <f>""</f>
        <v/>
      </c>
      <c r="CD181">
        <f>86368.11828</f>
        <v>86368.118279999995</v>
      </c>
      <c r="CE181" t="str">
        <f>""</f>
        <v/>
      </c>
      <c r="CF181" t="str">
        <f>""</f>
        <v/>
      </c>
      <c r="CG181" t="str">
        <f>""</f>
        <v/>
      </c>
      <c r="CH181">
        <f>95585.965</f>
        <v>95585.964999999997</v>
      </c>
      <c r="CI181" t="str">
        <f>""</f>
        <v/>
      </c>
      <c r="CJ181" t="str">
        <f>""</f>
        <v/>
      </c>
      <c r="CK181" t="str">
        <f>""</f>
        <v/>
      </c>
      <c r="CL181">
        <f>5814.277331</f>
        <v>5814.2773310000002</v>
      </c>
      <c r="CM181" t="str">
        <f>""</f>
        <v/>
      </c>
      <c r="CN181">
        <f>19234.5176</f>
        <v>19234.517599999999</v>
      </c>
      <c r="CO181" t="str">
        <f>""</f>
        <v/>
      </c>
      <c r="CP181">
        <f>1126.062552</f>
        <v>1126.0625520000001</v>
      </c>
      <c r="CQ181" t="str">
        <f>""</f>
        <v/>
      </c>
      <c r="CR181">
        <f>4309.405765</f>
        <v>4309.4057650000004</v>
      </c>
      <c r="CS181" t="str">
        <f>""</f>
        <v/>
      </c>
      <c r="CT181">
        <f>6958.473974</f>
        <v>6958.4739740000005</v>
      </c>
      <c r="CU181" t="str">
        <f>""</f>
        <v/>
      </c>
      <c r="CV181">
        <f>16360.63145</f>
        <v>16360.631450000001</v>
      </c>
      <c r="CW181" t="str">
        <f>""</f>
        <v/>
      </c>
      <c r="CX181">
        <f>16660.83729</f>
        <v>16660.837289999999</v>
      </c>
      <c r="CY181" t="str">
        <f>""</f>
        <v/>
      </c>
      <c r="CZ181">
        <f>16011.21671</f>
        <v>16011.216710000001</v>
      </c>
      <c r="DA181" t="str">
        <f>""</f>
        <v/>
      </c>
      <c r="DB181">
        <f>13412.53686</f>
        <v>13412.53686</v>
      </c>
      <c r="DC181" t="str">
        <f>""</f>
        <v/>
      </c>
      <c r="DD181">
        <f>12352.41607</f>
        <v>12352.416069999999</v>
      </c>
      <c r="DE181" t="str">
        <f>""</f>
        <v/>
      </c>
      <c r="DF181">
        <f>11443.26275</f>
        <v>11443.26275</v>
      </c>
      <c r="DG181" t="str">
        <f>""</f>
        <v/>
      </c>
      <c r="DH181">
        <f>13202.36794</f>
        <v>13202.36794</v>
      </c>
      <c r="DI181" t="str">
        <f>""</f>
        <v/>
      </c>
      <c r="DJ181">
        <f>14536.20232</f>
        <v>14536.20232</v>
      </c>
      <c r="DK181" t="str">
        <f>""</f>
        <v/>
      </c>
      <c r="DL181">
        <f>15791.08355</f>
        <v>15791.083549999999</v>
      </c>
      <c r="DM181" t="str">
        <f>""</f>
        <v/>
      </c>
      <c r="DN181">
        <f>16246.15617</f>
        <v>16246.15617</v>
      </c>
      <c r="DO181" t="str">
        <f>""</f>
        <v/>
      </c>
      <c r="DP181">
        <f>16127.90179</f>
        <v>16127.90179</v>
      </c>
      <c r="DQ181" t="str">
        <f>""</f>
        <v/>
      </c>
      <c r="DR181">
        <f>18079.07444</f>
        <v>18079.07444</v>
      </c>
      <c r="DS181" t="str">
        <f>""</f>
        <v/>
      </c>
      <c r="DT181">
        <f>20826.36697</f>
        <v>20826.366969999999</v>
      </c>
      <c r="DU181" t="str">
        <f>""</f>
        <v/>
      </c>
    </row>
    <row r="182" spans="1:125" x14ac:dyDescent="0.25">
      <c r="A182" t="str">
        <f>"    Mediobanca Banca di Credito Finanziario SpA"</f>
        <v xml:space="preserve">    Mediobanca Banca di Credito Finanziario SpA</v>
      </c>
      <c r="B182" t="str">
        <f>"MB IM Equity"</f>
        <v>MB IM Equity</v>
      </c>
      <c r="C182" t="str">
        <f t="shared" si="12"/>
        <v>BS018</v>
      </c>
      <c r="D182" t="str">
        <f t="shared" si="13"/>
        <v>BS_OTHER_LOAN</v>
      </c>
      <c r="E182" t="str">
        <f t="shared" si="14"/>
        <v>Dynamic</v>
      </c>
      <c r="F182">
        <f ca="1">IF(AND(ISNUMBER($F$384),$B$208=1),$F$384,HLOOKUP(INDIRECT(ADDRESS(2,COLUMN())),OFFSET($BN$2,0,0,ROW()-1,60),ROW()-1,FALSE))</f>
        <v>8509.2000000000007</v>
      </c>
      <c r="G182">
        <f ca="1">IF(AND(ISNUMBER($G$384),$B$208=1),$G$384,HLOOKUP(INDIRECT(ADDRESS(2,COLUMN())),OFFSET($BN$2,0,0,ROW()-1,60),ROW()-1,FALSE))</f>
        <v>7676.1</v>
      </c>
      <c r="H182">
        <f ca="1">IF(AND(ISNUMBER($H$384),$B$208=1),$H$384,HLOOKUP(INDIRECT(ADDRESS(2,COLUMN())),OFFSET($BN$2,0,0,ROW()-1,60),ROW()-1,FALSE))</f>
        <v>16115.766</v>
      </c>
      <c r="I182">
        <f ca="1">IF(AND(ISNUMBER($I$384),$B$208=1),$I$384,HLOOKUP(INDIRECT(ADDRESS(2,COLUMN())),OFFSET($BN$2,0,0,ROW()-1,60),ROW()-1,FALSE))</f>
        <v>8209.6</v>
      </c>
      <c r="J182">
        <f ca="1">IF(AND(ISNUMBER($J$384),$B$208=1),$J$384,HLOOKUP(INDIRECT(ADDRESS(2,COLUMN())),OFFSET($BN$2,0,0,ROW()-1,60),ROW()-1,FALSE))</f>
        <v>12334.373</v>
      </c>
      <c r="K182">
        <f ca="1">IF(AND(ISNUMBER($K$384),$B$208=1),$K$384,HLOOKUP(INDIRECT(ADDRESS(2,COLUMN())),OFFSET($BN$2,0,0,ROW()-1,60),ROW()-1,FALSE))</f>
        <v>8371.5</v>
      </c>
      <c r="L182">
        <f ca="1">IF(AND(ISNUMBER($L$384),$B$208=1),$L$384,HLOOKUP(INDIRECT(ADDRESS(2,COLUMN())),OFFSET($BN$2,0,0,ROW()-1,60),ROW()-1,FALSE))</f>
        <v>16450.739000000001</v>
      </c>
      <c r="M182">
        <f ca="1">IF(AND(ISNUMBER($M$384),$B$208=1),$M$384,HLOOKUP(INDIRECT(ADDRESS(2,COLUMN())),OFFSET($BN$2,0,0,ROW()-1,60),ROW()-1,FALSE))</f>
        <v>8744.9</v>
      </c>
      <c r="N182">
        <f ca="1">IF(AND(ISNUMBER($N$384),$B$208=1),$N$384,HLOOKUP(INDIRECT(ADDRESS(2,COLUMN())),OFFSET($BN$2,0,0,ROW()-1,60),ROW()-1,FALSE))</f>
        <v>12567.028</v>
      </c>
      <c r="O182">
        <f ca="1">IF(AND(ISNUMBER($O$384),$B$208=1),$O$384,HLOOKUP(INDIRECT(ADDRESS(2,COLUMN())),OFFSET($BN$2,0,0,ROW()-1,60),ROW()-1,FALSE))</f>
        <v>8697.5</v>
      </c>
      <c r="P182">
        <f ca="1">IF(AND(ISNUMBER($P$384),$B$208=1),$P$384,HLOOKUP(INDIRECT(ADDRESS(2,COLUMN())),OFFSET($BN$2,0,0,ROW()-1,60),ROW()-1,FALSE))</f>
        <v>15836.215</v>
      </c>
      <c r="Q182">
        <f ca="1">IF(AND(ISNUMBER($Q$384),$B$208=1),$Q$384,HLOOKUP(INDIRECT(ADDRESS(2,COLUMN())),OFFSET($BN$2,0,0,ROW()-1,60),ROW()-1,FALSE))</f>
        <v>8194.7999999999993</v>
      </c>
      <c r="R182">
        <f ca="1">IF(AND(ISNUMBER($R$384),$B$208=1),$R$384,HLOOKUP(INDIRECT(ADDRESS(2,COLUMN())),OFFSET($BN$2,0,0,ROW()-1,60),ROW()-1,FALSE))</f>
        <v>12461.334999999999</v>
      </c>
      <c r="S182">
        <f ca="1">IF(AND(ISNUMBER($S$384),$B$208=1),$S$384,HLOOKUP(INDIRECT(ADDRESS(2,COLUMN())),OFFSET($BN$2,0,0,ROW()-1,60),ROW()-1,FALSE))</f>
        <v>7828.3</v>
      </c>
      <c r="T182">
        <f ca="1">IF(AND(ISNUMBER($T$384),$B$208=1),$T$384,HLOOKUP(INDIRECT(ADDRESS(2,COLUMN())),OFFSET($BN$2,0,0,ROW()-1,60),ROW()-1,FALSE))</f>
        <v>12812.529</v>
      </c>
      <c r="U182">
        <f ca="1">IF(AND(ISNUMBER($U$384),$B$208=1),$U$384,HLOOKUP(INDIRECT(ADDRESS(2,COLUMN())),OFFSET($BN$2,0,0,ROW()-1,60),ROW()-1,FALSE))</f>
        <v>7699</v>
      </c>
      <c r="V182">
        <f ca="1">IF(AND(ISNUMBER($V$384),$B$208=1),$V$384,HLOOKUP(INDIRECT(ADDRESS(2,COLUMN())),OFFSET($BN$2,0,0,ROW()-1,60),ROW()-1,FALSE))</f>
        <v>10903.373</v>
      </c>
      <c r="W182">
        <f ca="1">IF(AND(ISNUMBER($W$384),$B$208=1),$W$384,HLOOKUP(INDIRECT(ADDRESS(2,COLUMN())),OFFSET($BN$2,0,0,ROW()-1,60),ROW()-1,FALSE))</f>
        <v>7033.3</v>
      </c>
      <c r="X182">
        <f ca="1">IF(AND(ISNUMBER($X$384),$B$208=1),$X$384,HLOOKUP(INDIRECT(ADDRESS(2,COLUMN())),OFFSET($BN$2,0,0,ROW()-1,60),ROW()-1,FALSE))</f>
        <v>12000.752</v>
      </c>
      <c r="Y182">
        <f ca="1">IF(AND(ISNUMBER($Y$384),$B$208=1),$Y$384,HLOOKUP(INDIRECT(ADDRESS(2,COLUMN())),OFFSET($BN$2,0,0,ROW()-1,60),ROW()-1,FALSE))</f>
        <v>7870.6</v>
      </c>
      <c r="Z182">
        <f ca="1">IF(AND(ISNUMBER($Z$384),$B$208=1),$Z$384,HLOOKUP(INDIRECT(ADDRESS(2,COLUMN())),OFFSET($BN$2,0,0,ROW()-1,60),ROW()-1,FALSE))</f>
        <v>10205.055</v>
      </c>
      <c r="AA182">
        <f ca="1">IF(AND(ISNUMBER($AA$384),$B$208=1),$AA$384,HLOOKUP(INDIRECT(ADDRESS(2,COLUMN())),OFFSET($BN$2,0,0,ROW()-1,60),ROW()-1,FALSE))</f>
        <v>6777.4</v>
      </c>
      <c r="AB182">
        <f ca="1">IF(AND(ISNUMBER($AB$384),$B$208=1),$AB$384,HLOOKUP(INDIRECT(ADDRESS(2,COLUMN())),OFFSET($BN$2,0,0,ROW()-1,60),ROW()-1,FALSE))</f>
        <v>9513.2630000000008</v>
      </c>
      <c r="AC182">
        <f ca="1">IF(AND(ISNUMBER($AC$384),$B$208=1),$AC$384,HLOOKUP(INDIRECT(ADDRESS(2,COLUMN())),OFFSET($BN$2,0,0,ROW()-1,60),ROW()-1,FALSE))</f>
        <v>19309.5</v>
      </c>
      <c r="AD182">
        <f ca="1">IF(AND(ISNUMBER($AD$384),$B$208=1),$AD$384,HLOOKUP(INDIRECT(ADDRESS(2,COLUMN())),OFFSET($BN$2,0,0,ROW()-1,60),ROW()-1,FALSE))</f>
        <v>9503.8449999999993</v>
      </c>
      <c r="AE182">
        <f ca="1">IF(AND(ISNUMBER($AE$384),$B$208=1),$AE$384,HLOOKUP(INDIRECT(ADDRESS(2,COLUMN())),OFFSET($BN$2,0,0,ROW()-1,60),ROW()-1,FALSE))</f>
        <v>6466.1</v>
      </c>
      <c r="AF182">
        <f ca="1">IF(AND(ISNUMBER($AF$384),$B$208=1),$AF$384,HLOOKUP(INDIRECT(ADDRESS(2,COLUMN())),OFFSET($BN$2,0,0,ROW()-1,60),ROW()-1,FALSE))</f>
        <v>9383.17</v>
      </c>
      <c r="AG182">
        <f ca="1">IF(AND(ISNUMBER($AG$384),$B$208=1),$AG$384,HLOOKUP(INDIRECT(ADDRESS(2,COLUMN())),OFFSET($BN$2,0,0,ROW()-1,60),ROW()-1,FALSE))</f>
        <v>17803</v>
      </c>
      <c r="AH182">
        <f ca="1">IF(AND(ISNUMBER($AH$384),$B$208=1),$AH$384,HLOOKUP(INDIRECT(ADDRESS(2,COLUMN())),OFFSET($BN$2,0,0,ROW()-1,60),ROW()-1,FALSE))</f>
        <v>9187.0380000000005</v>
      </c>
      <c r="AI182">
        <f ca="1">IF(AND(ISNUMBER($AI$384),$B$208=1),$AI$384,HLOOKUP(INDIRECT(ADDRESS(2,COLUMN())),OFFSET($BN$2,0,0,ROW()-1,60),ROW()-1,FALSE))</f>
        <v>5992.8</v>
      </c>
      <c r="AJ182">
        <f ca="1">IF(AND(ISNUMBER($AJ$384),$B$208=1),$AJ$384,HLOOKUP(INDIRECT(ADDRESS(2,COLUMN())),OFFSET($BN$2,0,0,ROW()-1,60),ROW()-1,FALSE))</f>
        <v>9242.1880000000001</v>
      </c>
      <c r="AK182">
        <f ca="1">IF(AND(ISNUMBER($AK$384),$B$208=1),$AK$384,HLOOKUP(INDIRECT(ADDRESS(2,COLUMN())),OFFSET($BN$2,0,0,ROW()-1,60),ROW()-1,FALSE))</f>
        <v>16953</v>
      </c>
      <c r="AL182">
        <f ca="1">IF(AND(ISNUMBER($AL$384),$B$208=1),$AL$384,HLOOKUP(INDIRECT(ADDRESS(2,COLUMN())),OFFSET($BN$2,0,0,ROW()-1,60),ROW()-1,FALSE))</f>
        <v>8819.8070000000007</v>
      </c>
      <c r="AM182">
        <f ca="1">IF(AND(ISNUMBER($AM$384),$B$208=1),$AM$384,HLOOKUP(INDIRECT(ADDRESS(2,COLUMN())),OFFSET($BN$2,0,0,ROW()-1,60),ROW()-1,FALSE))</f>
        <v>4521.7</v>
      </c>
      <c r="AN182">
        <f ca="1">IF(AND(ISNUMBER($AN$384),$B$208=1),$AN$384,HLOOKUP(INDIRECT(ADDRESS(2,COLUMN())),OFFSET($BN$2,0,0,ROW()-1,60),ROW()-1,FALSE))</f>
        <v>8183.3180000000002</v>
      </c>
      <c r="AO182">
        <f ca="1">IF(AND(ISNUMBER($AO$384),$B$208=1),$AO$384,HLOOKUP(INDIRECT(ADDRESS(2,COLUMN())),OFFSET($BN$2,0,0,ROW()-1,60),ROW()-1,FALSE))</f>
        <v>19702.7</v>
      </c>
      <c r="AP182">
        <f ca="1">IF(AND(ISNUMBER($AP$384),$B$208=1),$AP$384,HLOOKUP(INDIRECT(ADDRESS(2,COLUMN())),OFFSET($BN$2,0,0,ROW()-1,60),ROW()-1,FALSE))</f>
        <v>6149.9359999999997</v>
      </c>
      <c r="AQ182">
        <f ca="1">IF(AND(ISNUMBER($AQ$384),$B$208=1),$AQ$384,HLOOKUP(INDIRECT(ADDRESS(2,COLUMN())),OFFSET($BN$2,0,0,ROW()-1,60),ROW()-1,FALSE))</f>
        <v>19864.2</v>
      </c>
      <c r="AR182">
        <f ca="1">IF(AND(ISNUMBER($AR$384),$B$208=1),$AR$384,HLOOKUP(INDIRECT(ADDRESS(2,COLUMN())),OFFSET($BN$2,0,0,ROW()-1,60),ROW()-1,FALSE))</f>
        <v>6475.5320000000002</v>
      </c>
      <c r="AS182" t="str">
        <f ca="1">IF(AND(ISNUMBER($AS$384),$B$208=1),$AS$384,HLOOKUP(INDIRECT(ADDRESS(2,COLUMN())),OFFSET($BN$2,0,0,ROW()-1,60),ROW()-1,FALSE))</f>
        <v/>
      </c>
      <c r="AT182">
        <f ca="1">IF(AND(ISNUMBER($AT$384),$B$208=1),$AT$384,HLOOKUP(INDIRECT(ADDRESS(2,COLUMN())),OFFSET($BN$2,0,0,ROW()-1,60),ROW()-1,FALSE))</f>
        <v>6095.8779999999997</v>
      </c>
      <c r="AU182" t="str">
        <f ca="1">IF(AND(ISNUMBER($AU$384),$B$208=1),$AU$384,HLOOKUP(INDIRECT(ADDRESS(2,COLUMN())),OFFSET($BN$2,0,0,ROW()-1,60),ROW()-1,FALSE))</f>
        <v/>
      </c>
      <c r="AV182">
        <f ca="1">IF(AND(ISNUMBER($AV$384),$B$208=1),$AV$384,HLOOKUP(INDIRECT(ADDRESS(2,COLUMN())),OFFSET($BN$2,0,0,ROW()-1,60),ROW()-1,FALSE))</f>
        <v>6761.1980000000003</v>
      </c>
      <c r="AW182" t="str">
        <f ca="1">IF(AND(ISNUMBER($AW$384),$B$208=1),$AW$384,HLOOKUP(INDIRECT(ADDRESS(2,COLUMN())),OFFSET($BN$2,0,0,ROW()-1,60),ROW()-1,FALSE))</f>
        <v/>
      </c>
      <c r="AX182">
        <f ca="1">IF(AND(ISNUMBER($AX$384),$B$208=1),$AX$384,HLOOKUP(INDIRECT(ADDRESS(2,COLUMN())),OFFSET($BN$2,0,0,ROW()-1,60),ROW()-1,FALSE))</f>
        <v>6892.9719999999998</v>
      </c>
      <c r="AY182" t="str">
        <f ca="1">IF(AND(ISNUMBER($AY$384),$B$208=1),$AY$384,HLOOKUP(INDIRECT(ADDRESS(2,COLUMN())),OFFSET($BN$2,0,0,ROW()-1,60),ROW()-1,FALSE))</f>
        <v/>
      </c>
      <c r="AZ182">
        <f ca="1">IF(AND(ISNUMBER($AZ$384),$B$208=1),$AZ$384,HLOOKUP(INDIRECT(ADDRESS(2,COLUMN())),OFFSET($BN$2,0,0,ROW()-1,60),ROW()-1,FALSE))</f>
        <v>6553.1469999999999</v>
      </c>
      <c r="BA182" t="str">
        <f ca="1">IF(AND(ISNUMBER($BA$384),$B$208=1),$BA$384,HLOOKUP(INDIRECT(ADDRESS(2,COLUMN())),OFFSET($BN$2,0,0,ROW()-1,60),ROW()-1,FALSE))</f>
        <v/>
      </c>
      <c r="BB182">
        <f ca="1">IF(AND(ISNUMBER($BB$384),$B$208=1),$BB$384,HLOOKUP(INDIRECT(ADDRESS(2,COLUMN())),OFFSET($BN$2,0,0,ROW()-1,60),ROW()-1,FALSE))</f>
        <v>8064.6869999999999</v>
      </c>
      <c r="BC182" t="str">
        <f ca="1">IF(AND(ISNUMBER($BC$384),$B$208=1),$BC$384,HLOOKUP(INDIRECT(ADDRESS(2,COLUMN())),OFFSET($BN$2,0,0,ROW()-1,60),ROW()-1,FALSE))</f>
        <v/>
      </c>
      <c r="BD182">
        <f ca="1">IF(AND(ISNUMBER($BD$384),$B$208=1),$BD$384,HLOOKUP(INDIRECT(ADDRESS(2,COLUMN())),OFFSET($BN$2,0,0,ROW()-1,60),ROW()-1,FALSE))</f>
        <v>7766.7839999999997</v>
      </c>
      <c r="BE182" t="str">
        <f ca="1">IF(AND(ISNUMBER($BE$384),$B$208=1),$BE$384,HLOOKUP(INDIRECT(ADDRESS(2,COLUMN())),OFFSET($BN$2,0,0,ROW()-1,60),ROW()-1,FALSE))</f>
        <v/>
      </c>
      <c r="BF182">
        <f ca="1">IF(AND(ISNUMBER($BF$384),$B$208=1),$BF$384,HLOOKUP(INDIRECT(ADDRESS(2,COLUMN())),OFFSET($BN$2,0,0,ROW()-1,60),ROW()-1,FALSE))</f>
        <v>7802.5290000000005</v>
      </c>
      <c r="BG182" t="str">
        <f ca="1">IF(AND(ISNUMBER($BG$384),$B$208=1),$BG$384,HLOOKUP(INDIRECT(ADDRESS(2,COLUMN())),OFFSET($BN$2,0,0,ROW()-1,60),ROW()-1,FALSE))</f>
        <v/>
      </c>
      <c r="BH182" t="str">
        <f ca="1">IF(AND(ISNUMBER($BH$384),$B$208=1),$BH$384,HLOOKUP(INDIRECT(ADDRESS(2,COLUMN())),OFFSET($BN$2,0,0,ROW()-1,60),ROW()-1,FALSE))</f>
        <v/>
      </c>
      <c r="BI182" t="str">
        <f ca="1">IF(AND(ISNUMBER($BI$384),$B$208=1),$BI$384,HLOOKUP(INDIRECT(ADDRESS(2,COLUMN())),OFFSET($BN$2,0,0,ROW()-1,60),ROW()-1,FALSE))</f>
        <v/>
      </c>
      <c r="BJ182" t="str">
        <f ca="1">IF(AND(ISNUMBER($BJ$384),$B$208=1),$BJ$384,HLOOKUP(INDIRECT(ADDRESS(2,COLUMN())),OFFSET($BN$2,0,0,ROW()-1,60),ROW()-1,FALSE))</f>
        <v/>
      </c>
      <c r="BK182" t="str">
        <f ca="1">IF(AND(ISNUMBER($BK$384),$B$208=1),$BK$384,HLOOKUP(INDIRECT(ADDRESS(2,COLUMN())),OFFSET($BN$2,0,0,ROW()-1,60),ROW()-1,FALSE))</f>
        <v/>
      </c>
      <c r="BL182" t="str">
        <f ca="1">IF(AND(ISNUMBER($BL$384),$B$208=1),$BL$384,HLOOKUP(INDIRECT(ADDRESS(2,COLUMN())),OFFSET($BN$2,0,0,ROW()-1,60),ROW()-1,FALSE))</f>
        <v/>
      </c>
      <c r="BM182" t="str">
        <f ca="1">IF(AND(ISNUMBER($BM$384),$B$208=1),$BM$384,HLOOKUP(INDIRECT(ADDRESS(2,COLUMN())),OFFSET($BN$2,0,0,ROW()-1,60),ROW()-1,FALSE))</f>
        <v/>
      </c>
      <c r="BN182">
        <f>8509.2</f>
        <v>8509.2000000000007</v>
      </c>
      <c r="BO182">
        <f>7676.1</f>
        <v>7676.1</v>
      </c>
      <c r="BP182">
        <f>16115.766</f>
        <v>16115.766</v>
      </c>
      <c r="BQ182">
        <f>8209.6</f>
        <v>8209.6</v>
      </c>
      <c r="BR182">
        <f>12334.373</f>
        <v>12334.373</v>
      </c>
      <c r="BS182">
        <f>8371.5</f>
        <v>8371.5</v>
      </c>
      <c r="BT182">
        <f>16450.739</f>
        <v>16450.739000000001</v>
      </c>
      <c r="BU182">
        <f>8744.9</f>
        <v>8744.9</v>
      </c>
      <c r="BV182">
        <f>12567.028</f>
        <v>12567.028</v>
      </c>
      <c r="BW182">
        <f>8697.5</f>
        <v>8697.5</v>
      </c>
      <c r="BX182">
        <f>15836.215</f>
        <v>15836.215</v>
      </c>
      <c r="BY182">
        <f>8194.8</f>
        <v>8194.7999999999993</v>
      </c>
      <c r="BZ182">
        <f>12461.335</f>
        <v>12461.334999999999</v>
      </c>
      <c r="CA182">
        <f>7828.3</f>
        <v>7828.3</v>
      </c>
      <c r="CB182">
        <f>12812.529</f>
        <v>12812.529</v>
      </c>
      <c r="CC182">
        <f>7699</f>
        <v>7699</v>
      </c>
      <c r="CD182">
        <f>10903.373</f>
        <v>10903.373</v>
      </c>
      <c r="CE182">
        <f>7033.3</f>
        <v>7033.3</v>
      </c>
      <c r="CF182">
        <f>12000.752</f>
        <v>12000.752</v>
      </c>
      <c r="CG182">
        <f>7870.6</f>
        <v>7870.6</v>
      </c>
      <c r="CH182">
        <f>10205.055</f>
        <v>10205.055</v>
      </c>
      <c r="CI182">
        <f>6777.4</f>
        <v>6777.4</v>
      </c>
      <c r="CJ182">
        <f>9513.263</f>
        <v>9513.2630000000008</v>
      </c>
      <c r="CK182">
        <f>19309.5</f>
        <v>19309.5</v>
      </c>
      <c r="CL182">
        <f>9503.845</f>
        <v>9503.8449999999993</v>
      </c>
      <c r="CM182">
        <f>6466.1</f>
        <v>6466.1</v>
      </c>
      <c r="CN182">
        <f>9383.17</f>
        <v>9383.17</v>
      </c>
      <c r="CO182">
        <f>17803</f>
        <v>17803</v>
      </c>
      <c r="CP182">
        <f>9187.038</f>
        <v>9187.0380000000005</v>
      </c>
      <c r="CQ182">
        <f>5992.8</f>
        <v>5992.8</v>
      </c>
      <c r="CR182">
        <f>9242.188</f>
        <v>9242.1880000000001</v>
      </c>
      <c r="CS182">
        <f>16953</f>
        <v>16953</v>
      </c>
      <c r="CT182">
        <f>8819.807</f>
        <v>8819.8070000000007</v>
      </c>
      <c r="CU182">
        <f>4521.7</f>
        <v>4521.7</v>
      </c>
      <c r="CV182">
        <f>8183.318</f>
        <v>8183.3180000000002</v>
      </c>
      <c r="CW182">
        <f>19702.7</f>
        <v>19702.7</v>
      </c>
      <c r="CX182">
        <f>6149.936</f>
        <v>6149.9359999999997</v>
      </c>
      <c r="CY182">
        <f>19864.2</f>
        <v>19864.2</v>
      </c>
      <c r="CZ182">
        <f>6475.532</f>
        <v>6475.5320000000002</v>
      </c>
      <c r="DA182" t="str">
        <f>""</f>
        <v/>
      </c>
      <c r="DB182">
        <f>6095.878</f>
        <v>6095.8779999999997</v>
      </c>
      <c r="DC182" t="str">
        <f>""</f>
        <v/>
      </c>
      <c r="DD182">
        <f>6761.198</f>
        <v>6761.1980000000003</v>
      </c>
      <c r="DE182" t="str">
        <f>""</f>
        <v/>
      </c>
      <c r="DF182">
        <f>6892.972</f>
        <v>6892.9719999999998</v>
      </c>
      <c r="DG182" t="str">
        <f>""</f>
        <v/>
      </c>
      <c r="DH182">
        <f>6553.147</f>
        <v>6553.1469999999999</v>
      </c>
      <c r="DI182" t="str">
        <f>""</f>
        <v/>
      </c>
      <c r="DJ182">
        <f>8064.687</f>
        <v>8064.6869999999999</v>
      </c>
      <c r="DK182" t="str">
        <f>""</f>
        <v/>
      </c>
      <c r="DL182">
        <f>7766.784</f>
        <v>7766.7839999999997</v>
      </c>
      <c r="DM182" t="str">
        <f>""</f>
        <v/>
      </c>
      <c r="DN182">
        <f>7802.529</f>
        <v>7802.5290000000005</v>
      </c>
      <c r="DO182" t="str">
        <f>""</f>
        <v/>
      </c>
      <c r="DP182" t="str">
        <f>""</f>
        <v/>
      </c>
      <c r="DQ182" t="str">
        <f>""</f>
        <v/>
      </c>
      <c r="DR182" t="str">
        <f>""</f>
        <v/>
      </c>
      <c r="DS182" t="str">
        <f>""</f>
        <v/>
      </c>
      <c r="DT182" t="str">
        <f>""</f>
        <v/>
      </c>
      <c r="DU182" t="str">
        <f>""</f>
        <v/>
      </c>
    </row>
    <row r="183" spans="1:125" x14ac:dyDescent="0.25">
      <c r="A183" t="str">
        <f>"    NatWest Group PLC"</f>
        <v xml:space="preserve">    NatWest Group PLC</v>
      </c>
      <c r="B183" t="str">
        <f>"NWG LN Equity"</f>
        <v>NWG LN Equity</v>
      </c>
      <c r="C183" t="str">
        <f t="shared" si="12"/>
        <v>BS018</v>
      </c>
      <c r="D183" t="str">
        <f t="shared" si="13"/>
        <v>BS_OTHER_LOAN</v>
      </c>
      <c r="E183" t="str">
        <f t="shared" si="14"/>
        <v>Dynamic</v>
      </c>
      <c r="F183" t="str">
        <f ca="1">IF(AND(ISNUMBER($F$385),$B$208=1),$F$385,HLOOKUP(INDIRECT(ADDRESS(2,COLUMN())),OFFSET($BN$2,0,0,ROW()-1,60),ROW()-1,FALSE))</f>
        <v/>
      </c>
      <c r="G183" t="str">
        <f ca="1">IF(AND(ISNUMBER($G$385),$B$208=1),$G$385,HLOOKUP(INDIRECT(ADDRESS(2,COLUMN())),OFFSET($BN$2,0,0,ROW()-1,60),ROW()-1,FALSE))</f>
        <v/>
      </c>
      <c r="H183" t="str">
        <f ca="1">IF(AND(ISNUMBER($H$385),$B$208=1),$H$385,HLOOKUP(INDIRECT(ADDRESS(2,COLUMN())),OFFSET($BN$2,0,0,ROW()-1,60),ROW()-1,FALSE))</f>
        <v/>
      </c>
      <c r="I183" t="str">
        <f ca="1">IF(AND(ISNUMBER($I$385),$B$208=1),$I$385,HLOOKUP(INDIRECT(ADDRESS(2,COLUMN())),OFFSET($BN$2,0,0,ROW()-1,60),ROW()-1,FALSE))</f>
        <v/>
      </c>
      <c r="J183" t="str">
        <f ca="1">IF(AND(ISNUMBER($J$385),$B$208=1),$J$385,HLOOKUP(INDIRECT(ADDRESS(2,COLUMN())),OFFSET($BN$2,0,0,ROW()-1,60),ROW()-1,FALSE))</f>
        <v/>
      </c>
      <c r="K183" t="str">
        <f ca="1">IF(AND(ISNUMBER($K$385),$B$208=1),$K$385,HLOOKUP(INDIRECT(ADDRESS(2,COLUMN())),OFFSET($BN$2,0,0,ROW()-1,60),ROW()-1,FALSE))</f>
        <v/>
      </c>
      <c r="L183" t="str">
        <f ca="1">IF(AND(ISNUMBER($L$385),$B$208=1),$L$385,HLOOKUP(INDIRECT(ADDRESS(2,COLUMN())),OFFSET($BN$2,0,0,ROW()-1,60),ROW()-1,FALSE))</f>
        <v/>
      </c>
      <c r="M183" t="str">
        <f ca="1">IF(AND(ISNUMBER($M$385),$B$208=1),$M$385,HLOOKUP(INDIRECT(ADDRESS(2,COLUMN())),OFFSET($BN$2,0,0,ROW()-1,60),ROW()-1,FALSE))</f>
        <v/>
      </c>
      <c r="N183" t="str">
        <f ca="1">IF(AND(ISNUMBER($N$385),$B$208=1),$N$385,HLOOKUP(INDIRECT(ADDRESS(2,COLUMN())),OFFSET($BN$2,0,0,ROW()-1,60),ROW()-1,FALSE))</f>
        <v/>
      </c>
      <c r="O183" t="str">
        <f ca="1">IF(AND(ISNUMBER($O$385),$B$208=1),$O$385,HLOOKUP(INDIRECT(ADDRESS(2,COLUMN())),OFFSET($BN$2,0,0,ROW()-1,60),ROW()-1,FALSE))</f>
        <v/>
      </c>
      <c r="P183" t="str">
        <f ca="1">IF(AND(ISNUMBER($P$385),$B$208=1),$P$385,HLOOKUP(INDIRECT(ADDRESS(2,COLUMN())),OFFSET($BN$2,0,0,ROW()-1,60),ROW()-1,FALSE))</f>
        <v/>
      </c>
      <c r="Q183" t="str">
        <f ca="1">IF(AND(ISNUMBER($Q$385),$B$208=1),$Q$385,HLOOKUP(INDIRECT(ADDRESS(2,COLUMN())),OFFSET($BN$2,0,0,ROW()-1,60),ROW()-1,FALSE))</f>
        <v/>
      </c>
      <c r="R183" t="str">
        <f ca="1">IF(AND(ISNUMBER($R$385),$B$208=1),$R$385,HLOOKUP(INDIRECT(ADDRESS(2,COLUMN())),OFFSET($BN$2,0,0,ROW()-1,60),ROW()-1,FALSE))</f>
        <v/>
      </c>
      <c r="S183" t="str">
        <f ca="1">IF(AND(ISNUMBER($S$385),$B$208=1),$S$385,HLOOKUP(INDIRECT(ADDRESS(2,COLUMN())),OFFSET($BN$2,0,0,ROW()-1,60),ROW()-1,FALSE))</f>
        <v/>
      </c>
      <c r="T183" t="str">
        <f ca="1">IF(AND(ISNUMBER($T$385),$B$208=1),$T$385,HLOOKUP(INDIRECT(ADDRESS(2,COLUMN())),OFFSET($BN$2,0,0,ROW()-1,60),ROW()-1,FALSE))</f>
        <v/>
      </c>
      <c r="U183" t="str">
        <f ca="1">IF(AND(ISNUMBER($U$385),$B$208=1),$U$385,HLOOKUP(INDIRECT(ADDRESS(2,COLUMN())),OFFSET($BN$2,0,0,ROW()-1,60),ROW()-1,FALSE))</f>
        <v/>
      </c>
      <c r="V183" t="str">
        <f ca="1">IF(AND(ISNUMBER($V$385),$B$208=1),$V$385,HLOOKUP(INDIRECT(ADDRESS(2,COLUMN())),OFFSET($BN$2,0,0,ROW()-1,60),ROW()-1,FALSE))</f>
        <v/>
      </c>
      <c r="W183" t="str">
        <f ca="1">IF(AND(ISNUMBER($W$385),$B$208=1),$W$385,HLOOKUP(INDIRECT(ADDRESS(2,COLUMN())),OFFSET($BN$2,0,0,ROW()-1,60),ROW()-1,FALSE))</f>
        <v/>
      </c>
      <c r="X183" t="str">
        <f ca="1">IF(AND(ISNUMBER($X$385),$B$208=1),$X$385,HLOOKUP(INDIRECT(ADDRESS(2,COLUMN())),OFFSET($BN$2,0,0,ROW()-1,60),ROW()-1,FALSE))</f>
        <v/>
      </c>
      <c r="Y183" t="str">
        <f ca="1">IF(AND(ISNUMBER($Y$385),$B$208=1),$Y$385,HLOOKUP(INDIRECT(ADDRESS(2,COLUMN())),OFFSET($BN$2,0,0,ROW()-1,60),ROW()-1,FALSE))</f>
        <v/>
      </c>
      <c r="Z183" t="str">
        <f ca="1">IF(AND(ISNUMBER($Z$385),$B$208=1),$Z$385,HLOOKUP(INDIRECT(ADDRESS(2,COLUMN())),OFFSET($BN$2,0,0,ROW()-1,60),ROW()-1,FALSE))</f>
        <v/>
      </c>
      <c r="AA183" t="str">
        <f ca="1">IF(AND(ISNUMBER($AA$385),$B$208=1),$AA$385,HLOOKUP(INDIRECT(ADDRESS(2,COLUMN())),OFFSET($BN$2,0,0,ROW()-1,60),ROW()-1,FALSE))</f>
        <v/>
      </c>
      <c r="AB183" t="str">
        <f ca="1">IF(AND(ISNUMBER($AB$385),$B$208=1),$AB$385,HLOOKUP(INDIRECT(ADDRESS(2,COLUMN())),OFFSET($BN$2,0,0,ROW()-1,60),ROW()-1,FALSE))</f>
        <v/>
      </c>
      <c r="AC183" t="str">
        <f ca="1">IF(AND(ISNUMBER($AC$385),$B$208=1),$AC$385,HLOOKUP(INDIRECT(ADDRESS(2,COLUMN())),OFFSET($BN$2,0,0,ROW()-1,60),ROW()-1,FALSE))</f>
        <v/>
      </c>
      <c r="AD183" t="str">
        <f ca="1">IF(AND(ISNUMBER($AD$385),$B$208=1),$AD$385,HLOOKUP(INDIRECT(ADDRESS(2,COLUMN())),OFFSET($BN$2,0,0,ROW()-1,60),ROW()-1,FALSE))</f>
        <v/>
      </c>
      <c r="AE183" t="str">
        <f ca="1">IF(AND(ISNUMBER($AE$385),$B$208=1),$AE$385,HLOOKUP(INDIRECT(ADDRESS(2,COLUMN())),OFFSET($BN$2,0,0,ROW()-1,60),ROW()-1,FALSE))</f>
        <v/>
      </c>
      <c r="AF183" t="str">
        <f ca="1">IF(AND(ISNUMBER($AF$385),$B$208=1),$AF$385,HLOOKUP(INDIRECT(ADDRESS(2,COLUMN())),OFFSET($BN$2,0,0,ROW()-1,60),ROW()-1,FALSE))</f>
        <v/>
      </c>
      <c r="AG183" t="str">
        <f ca="1">IF(AND(ISNUMBER($AG$385),$B$208=1),$AG$385,HLOOKUP(INDIRECT(ADDRESS(2,COLUMN())),OFFSET($BN$2,0,0,ROW()-1,60),ROW()-1,FALSE))</f>
        <v/>
      </c>
      <c r="AH183" t="str">
        <f ca="1">IF(AND(ISNUMBER($AH$385),$B$208=1),$AH$385,HLOOKUP(INDIRECT(ADDRESS(2,COLUMN())),OFFSET($BN$2,0,0,ROW()-1,60),ROW()-1,FALSE))</f>
        <v/>
      </c>
      <c r="AI183" t="str">
        <f ca="1">IF(AND(ISNUMBER($AI$385),$B$208=1),$AI$385,HLOOKUP(INDIRECT(ADDRESS(2,COLUMN())),OFFSET($BN$2,0,0,ROW()-1,60),ROW()-1,FALSE))</f>
        <v/>
      </c>
      <c r="AJ183" t="str">
        <f ca="1">IF(AND(ISNUMBER($AJ$385),$B$208=1),$AJ$385,HLOOKUP(INDIRECT(ADDRESS(2,COLUMN())),OFFSET($BN$2,0,0,ROW()-1,60),ROW()-1,FALSE))</f>
        <v/>
      </c>
      <c r="AK183" t="str">
        <f ca="1">IF(AND(ISNUMBER($AK$385),$B$208=1),$AK$385,HLOOKUP(INDIRECT(ADDRESS(2,COLUMN())),OFFSET($BN$2,0,0,ROW()-1,60),ROW()-1,FALSE))</f>
        <v/>
      </c>
      <c r="AL183" t="str">
        <f ca="1">IF(AND(ISNUMBER($AL$385),$B$208=1),$AL$385,HLOOKUP(INDIRECT(ADDRESS(2,COLUMN())),OFFSET($BN$2,0,0,ROW()-1,60),ROW()-1,FALSE))</f>
        <v/>
      </c>
      <c r="AM183" t="str">
        <f ca="1">IF(AND(ISNUMBER($AM$385),$B$208=1),$AM$385,HLOOKUP(INDIRECT(ADDRESS(2,COLUMN())),OFFSET($BN$2,0,0,ROW()-1,60),ROW()-1,FALSE))</f>
        <v/>
      </c>
      <c r="AN183" t="str">
        <f ca="1">IF(AND(ISNUMBER($AN$385),$B$208=1),$AN$385,HLOOKUP(INDIRECT(ADDRESS(2,COLUMN())),OFFSET($BN$2,0,0,ROW()-1,60),ROW()-1,FALSE))</f>
        <v/>
      </c>
      <c r="AO183" t="str">
        <f ca="1">IF(AND(ISNUMBER($AO$385),$B$208=1),$AO$385,HLOOKUP(INDIRECT(ADDRESS(2,COLUMN())),OFFSET($BN$2,0,0,ROW()-1,60),ROW()-1,FALSE))</f>
        <v/>
      </c>
      <c r="AP183" t="str">
        <f ca="1">IF(AND(ISNUMBER($AP$385),$B$208=1),$AP$385,HLOOKUP(INDIRECT(ADDRESS(2,COLUMN())),OFFSET($BN$2,0,0,ROW()-1,60),ROW()-1,FALSE))</f>
        <v/>
      </c>
      <c r="AQ183" t="str">
        <f ca="1">IF(AND(ISNUMBER($AQ$385),$B$208=1),$AQ$385,HLOOKUP(INDIRECT(ADDRESS(2,COLUMN())),OFFSET($BN$2,0,0,ROW()-1,60),ROW()-1,FALSE))</f>
        <v/>
      </c>
      <c r="AR183" t="str">
        <f ca="1">IF(AND(ISNUMBER($AR$385),$B$208=1),$AR$385,HLOOKUP(INDIRECT(ADDRESS(2,COLUMN())),OFFSET($BN$2,0,0,ROW()-1,60),ROW()-1,FALSE))</f>
        <v/>
      </c>
      <c r="AS183" t="str">
        <f ca="1">IF(AND(ISNUMBER($AS$385),$B$208=1),$AS$385,HLOOKUP(INDIRECT(ADDRESS(2,COLUMN())),OFFSET($BN$2,0,0,ROW()-1,60),ROW()-1,FALSE))</f>
        <v/>
      </c>
      <c r="AT183" t="str">
        <f ca="1">IF(AND(ISNUMBER($AT$385),$B$208=1),$AT$385,HLOOKUP(INDIRECT(ADDRESS(2,COLUMN())),OFFSET($BN$2,0,0,ROW()-1,60),ROW()-1,FALSE))</f>
        <v/>
      </c>
      <c r="AU183" t="str">
        <f ca="1">IF(AND(ISNUMBER($AU$385),$B$208=1),$AU$385,HLOOKUP(INDIRECT(ADDRESS(2,COLUMN())),OFFSET($BN$2,0,0,ROW()-1,60),ROW()-1,FALSE))</f>
        <v/>
      </c>
      <c r="AV183" t="str">
        <f ca="1">IF(AND(ISNUMBER($AV$385),$B$208=1),$AV$385,HLOOKUP(INDIRECT(ADDRESS(2,COLUMN())),OFFSET($BN$2,0,0,ROW()-1,60),ROW()-1,FALSE))</f>
        <v/>
      </c>
      <c r="AW183" t="str">
        <f ca="1">IF(AND(ISNUMBER($AW$385),$B$208=1),$AW$385,HLOOKUP(INDIRECT(ADDRESS(2,COLUMN())),OFFSET($BN$2,0,0,ROW()-1,60),ROW()-1,FALSE))</f>
        <v/>
      </c>
      <c r="AX183">
        <f ca="1">IF(AND(ISNUMBER($AX$385),$B$208=1),$AX$385,HLOOKUP(INDIRECT(ADDRESS(2,COLUMN())),OFFSET($BN$2,0,0,ROW()-1,60),ROW()-1,FALSE))</f>
        <v>52855.259259999999</v>
      </c>
      <c r="AY183">
        <f ca="1">IF(AND(ISNUMBER($AY$385),$B$208=1),$AY$385,HLOOKUP(INDIRECT(ADDRESS(2,COLUMN())),OFFSET($BN$2,0,0,ROW()-1,60),ROW()-1,FALSE))</f>
        <v>57166.13953</v>
      </c>
      <c r="AZ183" t="str">
        <f ca="1">IF(AND(ISNUMBER($AZ$385),$B$208=1),$AZ$385,HLOOKUP(INDIRECT(ADDRESS(2,COLUMN())),OFFSET($BN$2,0,0,ROW()-1,60),ROW()-1,FALSE))</f>
        <v/>
      </c>
      <c r="BA183" t="str">
        <f ca="1">IF(AND(ISNUMBER($BA$385),$B$208=1),$BA$385,HLOOKUP(INDIRECT(ADDRESS(2,COLUMN())),OFFSET($BN$2,0,0,ROW()-1,60),ROW()-1,FALSE))</f>
        <v/>
      </c>
      <c r="BB183" t="str">
        <f ca="1">IF(AND(ISNUMBER($BB$385),$B$208=1),$BB$385,HLOOKUP(INDIRECT(ADDRESS(2,COLUMN())),OFFSET($BN$2,0,0,ROW()-1,60),ROW()-1,FALSE))</f>
        <v/>
      </c>
      <c r="BC183" t="str">
        <f ca="1">IF(AND(ISNUMBER($BC$385),$B$208=1),$BC$385,HLOOKUP(INDIRECT(ADDRESS(2,COLUMN())),OFFSET($BN$2,0,0,ROW()-1,60),ROW()-1,FALSE))</f>
        <v/>
      </c>
      <c r="BD183" t="str">
        <f ca="1">IF(AND(ISNUMBER($BD$385),$B$208=1),$BD$385,HLOOKUP(INDIRECT(ADDRESS(2,COLUMN())),OFFSET($BN$2,0,0,ROW()-1,60),ROW()-1,FALSE))</f>
        <v/>
      </c>
      <c r="BE183">
        <f ca="1">IF(AND(ISNUMBER($BE$385),$B$208=1),$BE$385,HLOOKUP(INDIRECT(ADDRESS(2,COLUMN())),OFFSET($BN$2,0,0,ROW()-1,60),ROW()-1,FALSE))</f>
        <v>29711.450720000001</v>
      </c>
      <c r="BF183">
        <f ca="1">IF(AND(ISNUMBER($BF$385),$B$208=1),$BF$385,HLOOKUP(INDIRECT(ADDRESS(2,COLUMN())),OFFSET($BN$2,0,0,ROW()-1,60),ROW()-1,FALSE))</f>
        <v>29955.346300000001</v>
      </c>
      <c r="BG183">
        <f ca="1">IF(AND(ISNUMBER($BG$385),$B$208=1),$BG$385,HLOOKUP(INDIRECT(ADDRESS(2,COLUMN())),OFFSET($BN$2,0,0,ROW()-1,60),ROW()-1,FALSE))</f>
        <v>30586.260989999999</v>
      </c>
      <c r="BH183">
        <f ca="1">IF(AND(ISNUMBER($BH$385),$B$208=1),$BH$385,HLOOKUP(INDIRECT(ADDRESS(2,COLUMN())),OFFSET($BN$2,0,0,ROW()-1,60),ROW()-1,FALSE))</f>
        <v>27953.922470000001</v>
      </c>
      <c r="BI183">
        <f ca="1">IF(AND(ISNUMBER($BI$385),$B$208=1),$BI$385,HLOOKUP(INDIRECT(ADDRESS(2,COLUMN())),OFFSET($BN$2,0,0,ROW()-1,60),ROW()-1,FALSE))</f>
        <v>27407.289639999999</v>
      </c>
      <c r="BJ183">
        <f ca="1">IF(AND(ISNUMBER($BJ$385),$B$208=1),$BJ$385,HLOOKUP(INDIRECT(ADDRESS(2,COLUMN())),OFFSET($BN$2,0,0,ROW()-1,60),ROW()-1,FALSE))</f>
        <v>11152.59247</v>
      </c>
      <c r="BK183">
        <f ca="1">IF(AND(ISNUMBER($BK$385),$B$208=1),$BK$385,HLOOKUP(INDIRECT(ADDRESS(2,COLUMN())),OFFSET($BN$2,0,0,ROW()-1,60),ROW()-1,FALSE))</f>
        <v>13966.972100000001</v>
      </c>
      <c r="BL183" t="str">
        <f ca="1">IF(AND(ISNUMBER($BL$385),$B$208=1),$BL$385,HLOOKUP(INDIRECT(ADDRESS(2,COLUMN())),OFFSET($BN$2,0,0,ROW()-1,60),ROW()-1,FALSE))</f>
        <v/>
      </c>
      <c r="BM183" t="str">
        <f ca="1">IF(AND(ISNUMBER($BM$385),$B$208=1),$BM$385,HLOOKUP(INDIRECT(ADDRESS(2,COLUMN())),OFFSET($BN$2,0,0,ROW()-1,60),ROW()-1,FALSE))</f>
        <v/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  <c r="BT183" t="str">
        <f>""</f>
        <v/>
      </c>
      <c r="BU183" t="str">
        <f>""</f>
        <v/>
      </c>
      <c r="BV183" t="str">
        <f>""</f>
        <v/>
      </c>
      <c r="BW183" t="str">
        <f>""</f>
        <v/>
      </c>
      <c r="BX183" t="str">
        <f>""</f>
        <v/>
      </c>
      <c r="BY183" t="str">
        <f>""</f>
        <v/>
      </c>
      <c r="BZ183" t="str">
        <f>""</f>
        <v/>
      </c>
      <c r="CA183" t="str">
        <f>""</f>
        <v/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""</f>
        <v/>
      </c>
      <c r="CG183" t="str">
        <f>""</f>
        <v/>
      </c>
      <c r="CH183" t="str">
        <f>""</f>
        <v/>
      </c>
      <c r="CI183" t="str">
        <f>""</f>
        <v/>
      </c>
      <c r="CJ183" t="str">
        <f>""</f>
        <v/>
      </c>
      <c r="CK183" t="str">
        <f>""</f>
        <v/>
      </c>
      <c r="CL183" t="str">
        <f>""</f>
        <v/>
      </c>
      <c r="CM183" t="str">
        <f>""</f>
        <v/>
      </c>
      <c r="CN183" t="str">
        <f>""</f>
        <v/>
      </c>
      <c r="CO183" t="str">
        <f>""</f>
        <v/>
      </c>
      <c r="CP183" t="str">
        <f>""</f>
        <v/>
      </c>
      <c r="CQ183" t="str">
        <f>""</f>
        <v/>
      </c>
      <c r="CR183" t="str">
        <f>""</f>
        <v/>
      </c>
      <c r="CS183" t="str">
        <f>""</f>
        <v/>
      </c>
      <c r="CT183" t="str">
        <f>""</f>
        <v/>
      </c>
      <c r="CU183" t="str">
        <f>""</f>
        <v/>
      </c>
      <c r="CV183" t="str">
        <f>""</f>
        <v/>
      </c>
      <c r="CW183" t="str">
        <f>""</f>
        <v/>
      </c>
      <c r="CX183" t="str">
        <f>""</f>
        <v/>
      </c>
      <c r="CY183" t="str">
        <f>""</f>
        <v/>
      </c>
      <c r="CZ183" t="str">
        <f>""</f>
        <v/>
      </c>
      <c r="DA183" t="str">
        <f>""</f>
        <v/>
      </c>
      <c r="DB183" t="str">
        <f>""</f>
        <v/>
      </c>
      <c r="DC183" t="str">
        <f>""</f>
        <v/>
      </c>
      <c r="DD183" t="str">
        <f>""</f>
        <v/>
      </c>
      <c r="DE183" t="str">
        <f>""</f>
        <v/>
      </c>
      <c r="DF183">
        <f>52855.25926</f>
        <v>52855.259259999999</v>
      </c>
      <c r="DG183">
        <f>57166.13953</f>
        <v>57166.13953</v>
      </c>
      <c r="DH183" t="str">
        <f>""</f>
        <v/>
      </c>
      <c r="DI183" t="str">
        <f>""</f>
        <v/>
      </c>
      <c r="DJ183" t="str">
        <f>""</f>
        <v/>
      </c>
      <c r="DK183" t="str">
        <f>""</f>
        <v/>
      </c>
      <c r="DL183" t="str">
        <f>""</f>
        <v/>
      </c>
      <c r="DM183">
        <f>29711.45072</f>
        <v>29711.450720000001</v>
      </c>
      <c r="DN183">
        <f>29955.3463</f>
        <v>29955.346300000001</v>
      </c>
      <c r="DO183">
        <f>30586.26099</f>
        <v>30586.260989999999</v>
      </c>
      <c r="DP183">
        <f>27953.92247</f>
        <v>27953.922470000001</v>
      </c>
      <c r="DQ183">
        <f>27407.28964</f>
        <v>27407.289639999999</v>
      </c>
      <c r="DR183">
        <f>11152.59247</f>
        <v>11152.59247</v>
      </c>
      <c r="DS183">
        <f>13966.9721</f>
        <v>13966.972100000001</v>
      </c>
      <c r="DT183" t="str">
        <f>""</f>
        <v/>
      </c>
      <c r="DU183" t="str">
        <f>""</f>
        <v/>
      </c>
    </row>
    <row r="184" spans="1:125" x14ac:dyDescent="0.25">
      <c r="A184" t="str">
        <f>"    Nordea Bank Abp"</f>
        <v xml:space="preserve">    Nordea Bank Abp</v>
      </c>
      <c r="B184" t="str">
        <f>"NDA FH Equity"</f>
        <v>NDA FH Equity</v>
      </c>
      <c r="C184" t="str">
        <f t="shared" si="12"/>
        <v>BS018</v>
      </c>
      <c r="D184" t="str">
        <f t="shared" si="13"/>
        <v>BS_OTHER_LOAN</v>
      </c>
      <c r="E184" t="str">
        <f t="shared" si="14"/>
        <v>Dynamic</v>
      </c>
      <c r="F184">
        <f ca="1">IF(AND(ISNUMBER($F$386),$B$208=1),$F$386,HLOOKUP(INDIRECT(ADDRESS(2,COLUMN())),OFFSET($BN$2,0,0,ROW()-1,60),ROW()-1,FALSE))</f>
        <v>59615</v>
      </c>
      <c r="G184">
        <f ca="1">IF(AND(ISNUMBER($G$386),$B$208=1),$G$386,HLOOKUP(INDIRECT(ADDRESS(2,COLUMN())),OFFSET($BN$2,0,0,ROW()-1,60),ROW()-1,FALSE))</f>
        <v>54923</v>
      </c>
      <c r="H184">
        <f ca="1">IF(AND(ISNUMBER($H$386),$B$208=1),$H$386,HLOOKUP(INDIRECT(ADDRESS(2,COLUMN())),OFFSET($BN$2,0,0,ROW()-1,60),ROW()-1,FALSE))</f>
        <v>57279</v>
      </c>
      <c r="I184">
        <f ca="1">IF(AND(ISNUMBER($I$386),$B$208=1),$I$386,HLOOKUP(INDIRECT(ADDRESS(2,COLUMN())),OFFSET($BN$2,0,0,ROW()-1,60),ROW()-1,FALSE))</f>
        <v>58405</v>
      </c>
      <c r="J184">
        <f ca="1">IF(AND(ISNUMBER($J$386),$B$208=1),$J$386,HLOOKUP(INDIRECT(ADDRESS(2,COLUMN())),OFFSET($BN$2,0,0,ROW()-1,60),ROW()-1,FALSE))</f>
        <v>59425</v>
      </c>
      <c r="K184">
        <f ca="1">IF(AND(ISNUMBER($K$386),$B$208=1),$K$386,HLOOKUP(INDIRECT(ADDRESS(2,COLUMN())),OFFSET($BN$2,0,0,ROW()-1,60),ROW()-1,FALSE))</f>
        <v>54074</v>
      </c>
      <c r="L184">
        <f ca="1">IF(AND(ISNUMBER($L$386),$B$208=1),$L$386,HLOOKUP(INDIRECT(ADDRESS(2,COLUMN())),OFFSET($BN$2,0,0,ROW()-1,60),ROW()-1,FALSE))</f>
        <v>57846</v>
      </c>
      <c r="M184">
        <f ca="1">IF(AND(ISNUMBER($M$386),$B$208=1),$M$386,HLOOKUP(INDIRECT(ADDRESS(2,COLUMN())),OFFSET($BN$2,0,0,ROW()-1,60),ROW()-1,FALSE))</f>
        <v>58659</v>
      </c>
      <c r="N184">
        <f ca="1">IF(AND(ISNUMBER($N$386),$B$208=1),$N$386,HLOOKUP(INDIRECT(ADDRESS(2,COLUMN())),OFFSET($BN$2,0,0,ROW()-1,60),ROW()-1,FALSE))</f>
        <v>60396</v>
      </c>
      <c r="O184">
        <f ca="1">IF(AND(ISNUMBER($O$386),$B$208=1),$O$386,HLOOKUP(INDIRECT(ADDRESS(2,COLUMN())),OFFSET($BN$2,0,0,ROW()-1,60),ROW()-1,FALSE))</f>
        <v>57407</v>
      </c>
      <c r="P184">
        <f ca="1">IF(AND(ISNUMBER($P$386),$B$208=1),$P$386,HLOOKUP(INDIRECT(ADDRESS(2,COLUMN())),OFFSET($BN$2,0,0,ROW()-1,60),ROW()-1,FALSE))</f>
        <v>60635</v>
      </c>
      <c r="Q184">
        <f ca="1">IF(AND(ISNUMBER($Q$386),$B$208=1),$Q$386,HLOOKUP(INDIRECT(ADDRESS(2,COLUMN())),OFFSET($BN$2,0,0,ROW()-1,60),ROW()-1,FALSE))</f>
        <v>353854</v>
      </c>
      <c r="R184">
        <f ca="1">IF(AND(ISNUMBER($R$386),$B$208=1),$R$386,HLOOKUP(INDIRECT(ADDRESS(2,COLUMN())),OFFSET($BN$2,0,0,ROW()-1,60),ROW()-1,FALSE))</f>
        <v>67749</v>
      </c>
      <c r="S184">
        <f ca="1">IF(AND(ISNUMBER($S$386),$B$208=1),$S$386,HLOOKUP(INDIRECT(ADDRESS(2,COLUMN())),OFFSET($BN$2,0,0,ROW()-1,60),ROW()-1,FALSE))</f>
        <v>64467</v>
      </c>
      <c r="T184">
        <f ca="1">IF(AND(ISNUMBER($T$386),$B$208=1),$T$386,HLOOKUP(INDIRECT(ADDRESS(2,COLUMN())),OFFSET($BN$2,0,0,ROW()-1,60),ROW()-1,FALSE))</f>
        <v>6022</v>
      </c>
      <c r="U184">
        <f ca="1">IF(AND(ISNUMBER($U$386),$B$208=1),$U$386,HLOOKUP(INDIRECT(ADDRESS(2,COLUMN())),OFFSET($BN$2,0,0,ROW()-1,60),ROW()-1,FALSE))</f>
        <v>66006</v>
      </c>
      <c r="V184">
        <f ca="1">IF(AND(ISNUMBER($V$386),$B$208=1),$V$386,HLOOKUP(INDIRECT(ADDRESS(2,COLUMN())),OFFSET($BN$2,0,0,ROW()-1,60),ROW()-1,FALSE))</f>
        <v>7929</v>
      </c>
      <c r="W184">
        <f ca="1">IF(AND(ISNUMBER($W$386),$B$208=1),$W$386,HLOOKUP(INDIRECT(ADDRESS(2,COLUMN())),OFFSET($BN$2,0,0,ROW()-1,60),ROW()-1,FALSE))</f>
        <v>63041</v>
      </c>
      <c r="X184">
        <f ca="1">IF(AND(ISNUMBER($X$386),$B$208=1),$X$386,HLOOKUP(INDIRECT(ADDRESS(2,COLUMN())),OFFSET($BN$2,0,0,ROW()-1,60),ROW()-1,FALSE))</f>
        <v>6035</v>
      </c>
      <c r="Y184">
        <f ca="1">IF(AND(ISNUMBER($Y$386),$B$208=1),$Y$386,HLOOKUP(INDIRECT(ADDRESS(2,COLUMN())),OFFSET($BN$2,0,0,ROW()-1,60),ROW()-1,FALSE))</f>
        <v>6370</v>
      </c>
      <c r="Z184">
        <f ca="1">IF(AND(ISNUMBER($Z$386),$B$208=1),$Z$386,HLOOKUP(INDIRECT(ADDRESS(2,COLUMN())),OFFSET($BN$2,0,0,ROW()-1,60),ROW()-1,FALSE))</f>
        <v>6233</v>
      </c>
      <c r="AA184">
        <f ca="1">IF(AND(ISNUMBER($AA$386),$B$208=1),$AA$386,HLOOKUP(INDIRECT(ADDRESS(2,COLUMN())),OFFSET($BN$2,0,0,ROW()-1,60),ROW()-1,FALSE))</f>
        <v>5766</v>
      </c>
      <c r="AB184">
        <f ca="1">IF(AND(ISNUMBER($AB$386),$B$208=1),$AB$386,HLOOKUP(INDIRECT(ADDRESS(2,COLUMN())),OFFSET($BN$2,0,0,ROW()-1,60),ROW()-1,FALSE))</f>
        <v>4757</v>
      </c>
      <c r="AC184">
        <f ca="1">IF(AND(ISNUMBER($AC$386),$B$208=1),$AC$386,HLOOKUP(INDIRECT(ADDRESS(2,COLUMN())),OFFSET($BN$2,0,0,ROW()-1,60),ROW()-1,FALSE))</f>
        <v>6632</v>
      </c>
      <c r="AD184">
        <f ca="1">IF(AND(ISNUMBER($AD$386),$B$208=1),$AD$386,HLOOKUP(INDIRECT(ADDRESS(2,COLUMN())),OFFSET($BN$2,0,0,ROW()-1,60),ROW()-1,FALSE))</f>
        <v>5887</v>
      </c>
      <c r="AE184">
        <f ca="1">IF(AND(ISNUMBER($AE$386),$B$208=1),$AE$386,HLOOKUP(INDIRECT(ADDRESS(2,COLUMN())),OFFSET($BN$2,0,0,ROW()-1,60),ROW()-1,FALSE))</f>
        <v>5603</v>
      </c>
      <c r="AF184">
        <f ca="1">IF(AND(ISNUMBER($AF$386),$B$208=1),$AF$386,HLOOKUP(INDIRECT(ADDRESS(2,COLUMN())),OFFSET($BN$2,0,0,ROW()-1,60),ROW()-1,FALSE))</f>
        <v>8061</v>
      </c>
      <c r="AG184">
        <f ca="1">IF(AND(ISNUMBER($AG$386),$B$208=1),$AG$386,HLOOKUP(INDIRECT(ADDRESS(2,COLUMN())),OFFSET($BN$2,0,0,ROW()-1,60),ROW()-1,FALSE))</f>
        <v>5206</v>
      </c>
      <c r="AH184">
        <f ca="1">IF(AND(ISNUMBER($AH$386),$B$208=1),$AH$386,HLOOKUP(INDIRECT(ADDRESS(2,COLUMN())),OFFSET($BN$2,0,0,ROW()-1,60),ROW()-1,FALSE))</f>
        <v>6898</v>
      </c>
      <c r="AI184">
        <f ca="1">IF(AND(ISNUMBER($AI$386),$B$208=1),$AI$386,HLOOKUP(INDIRECT(ADDRESS(2,COLUMN())),OFFSET($BN$2,0,0,ROW()-1,60),ROW()-1,FALSE))</f>
        <v>5079</v>
      </c>
      <c r="AJ184">
        <f ca="1">IF(AND(ISNUMBER($AJ$386),$B$208=1),$AJ$386,HLOOKUP(INDIRECT(ADDRESS(2,COLUMN())),OFFSET($BN$2,0,0,ROW()-1,60),ROW()-1,FALSE))</f>
        <v>7069</v>
      </c>
      <c r="AK184">
        <f ca="1">IF(AND(ISNUMBER($AK$386),$B$208=1),$AK$386,HLOOKUP(INDIRECT(ADDRESS(2,COLUMN())),OFFSET($BN$2,0,0,ROW()-1,60),ROW()-1,FALSE))</f>
        <v>5497</v>
      </c>
      <c r="AL184">
        <f ca="1">IF(AND(ISNUMBER($AL$386),$B$208=1),$AL$386,HLOOKUP(INDIRECT(ADDRESS(2,COLUMN())),OFFSET($BN$2,0,0,ROW()-1,60),ROW()-1,FALSE))</f>
        <v>6049</v>
      </c>
      <c r="AM184">
        <f ca="1">IF(AND(ISNUMBER($AM$386),$B$208=1),$AM$386,HLOOKUP(INDIRECT(ADDRESS(2,COLUMN())),OFFSET($BN$2,0,0,ROW()-1,60),ROW()-1,FALSE))</f>
        <v>7102</v>
      </c>
      <c r="AN184">
        <f ca="1">IF(AND(ISNUMBER($AN$386),$B$208=1),$AN$386,HLOOKUP(INDIRECT(ADDRESS(2,COLUMN())),OFFSET($BN$2,0,0,ROW()-1,60),ROW()-1,FALSE))</f>
        <v>6236</v>
      </c>
      <c r="AO184">
        <f ca="1">IF(AND(ISNUMBER($AO$386),$B$208=1),$AO$386,HLOOKUP(INDIRECT(ADDRESS(2,COLUMN())),OFFSET($BN$2,0,0,ROW()-1,60),ROW()-1,FALSE))</f>
        <v>6374</v>
      </c>
      <c r="AP184">
        <f ca="1">IF(AND(ISNUMBER($AP$386),$B$208=1),$AP$386,HLOOKUP(INDIRECT(ADDRESS(2,COLUMN())),OFFSET($BN$2,0,0,ROW()-1,60),ROW()-1,FALSE))</f>
        <v>7889</v>
      </c>
      <c r="AQ184">
        <f ca="1">IF(AND(ISNUMBER($AQ$386),$B$208=1),$AQ$386,HLOOKUP(INDIRECT(ADDRESS(2,COLUMN())),OFFSET($BN$2,0,0,ROW()-1,60),ROW()-1,FALSE))</f>
        <v>6941</v>
      </c>
      <c r="AR184">
        <f ca="1">IF(AND(ISNUMBER($AR$386),$B$208=1),$AR$386,HLOOKUP(INDIRECT(ADDRESS(2,COLUMN())),OFFSET($BN$2,0,0,ROW()-1,60),ROW()-1,FALSE))</f>
        <v>8245</v>
      </c>
      <c r="AS184">
        <f ca="1">IF(AND(ISNUMBER($AS$386),$B$208=1),$AS$386,HLOOKUP(INDIRECT(ADDRESS(2,COLUMN())),OFFSET($BN$2,0,0,ROW()-1,60),ROW()-1,FALSE))</f>
        <v>7474</v>
      </c>
      <c r="AT184" t="str">
        <f ca="1">IF(AND(ISNUMBER($AT$386),$B$208=1),$AT$386,HLOOKUP(INDIRECT(ADDRESS(2,COLUMN())),OFFSET($BN$2,0,0,ROW()-1,60),ROW()-1,FALSE))</f>
        <v/>
      </c>
      <c r="AU184" t="str">
        <f ca="1">IF(AND(ISNUMBER($AU$386),$B$208=1),$AU$386,HLOOKUP(INDIRECT(ADDRESS(2,COLUMN())),OFFSET($BN$2,0,0,ROW()-1,60),ROW()-1,FALSE))</f>
        <v/>
      </c>
      <c r="AV184" t="str">
        <f ca="1">IF(AND(ISNUMBER($AV$386),$B$208=1),$AV$386,HLOOKUP(INDIRECT(ADDRESS(2,COLUMN())),OFFSET($BN$2,0,0,ROW()-1,60),ROW()-1,FALSE))</f>
        <v/>
      </c>
      <c r="AW184" t="str">
        <f ca="1">IF(AND(ISNUMBER($AW$386),$B$208=1),$AW$386,HLOOKUP(INDIRECT(ADDRESS(2,COLUMN())),OFFSET($BN$2,0,0,ROW()-1,60),ROW()-1,FALSE))</f>
        <v/>
      </c>
      <c r="AX184" t="str">
        <f ca="1">IF(AND(ISNUMBER($AX$386),$B$208=1),$AX$386,HLOOKUP(INDIRECT(ADDRESS(2,COLUMN())),OFFSET($BN$2,0,0,ROW()-1,60),ROW()-1,FALSE))</f>
        <v/>
      </c>
      <c r="AY184" t="str">
        <f ca="1">IF(AND(ISNUMBER($AY$386),$B$208=1),$AY$386,HLOOKUP(INDIRECT(ADDRESS(2,COLUMN())),OFFSET($BN$2,0,0,ROW()-1,60),ROW()-1,FALSE))</f>
        <v/>
      </c>
      <c r="AZ184" t="str">
        <f ca="1">IF(AND(ISNUMBER($AZ$386),$B$208=1),$AZ$386,HLOOKUP(INDIRECT(ADDRESS(2,COLUMN())),OFFSET($BN$2,0,0,ROW()-1,60),ROW()-1,FALSE))</f>
        <v/>
      </c>
      <c r="BA184" t="str">
        <f ca="1">IF(AND(ISNUMBER($BA$386),$B$208=1),$BA$386,HLOOKUP(INDIRECT(ADDRESS(2,COLUMN())),OFFSET($BN$2,0,0,ROW()-1,60),ROW()-1,FALSE))</f>
        <v/>
      </c>
      <c r="BB184" t="str">
        <f ca="1">IF(AND(ISNUMBER($BB$386),$B$208=1),$BB$386,HLOOKUP(INDIRECT(ADDRESS(2,COLUMN())),OFFSET($BN$2,0,0,ROW()-1,60),ROW()-1,FALSE))</f>
        <v/>
      </c>
      <c r="BC184" t="str">
        <f ca="1">IF(AND(ISNUMBER($BC$386),$B$208=1),$BC$386,HLOOKUP(INDIRECT(ADDRESS(2,COLUMN())),OFFSET($BN$2,0,0,ROW()-1,60),ROW()-1,FALSE))</f>
        <v/>
      </c>
      <c r="BD184" t="str">
        <f ca="1">IF(AND(ISNUMBER($BD$386),$B$208=1),$BD$386,HLOOKUP(INDIRECT(ADDRESS(2,COLUMN())),OFFSET($BN$2,0,0,ROW()-1,60),ROW()-1,FALSE))</f>
        <v/>
      </c>
      <c r="BE184" t="str">
        <f ca="1">IF(AND(ISNUMBER($BE$386),$B$208=1),$BE$386,HLOOKUP(INDIRECT(ADDRESS(2,COLUMN())),OFFSET($BN$2,0,0,ROW()-1,60),ROW()-1,FALSE))</f>
        <v/>
      </c>
      <c r="BF184" t="str">
        <f ca="1">IF(AND(ISNUMBER($BF$386),$B$208=1),$BF$386,HLOOKUP(INDIRECT(ADDRESS(2,COLUMN())),OFFSET($BN$2,0,0,ROW()-1,60),ROW()-1,FALSE))</f>
        <v/>
      </c>
      <c r="BG184" t="str">
        <f ca="1">IF(AND(ISNUMBER($BG$386),$B$208=1),$BG$386,HLOOKUP(INDIRECT(ADDRESS(2,COLUMN())),OFFSET($BN$2,0,0,ROW()-1,60),ROW()-1,FALSE))</f>
        <v/>
      </c>
      <c r="BH184" t="str">
        <f ca="1">IF(AND(ISNUMBER($BH$386),$B$208=1),$BH$386,HLOOKUP(INDIRECT(ADDRESS(2,COLUMN())),OFFSET($BN$2,0,0,ROW()-1,60),ROW()-1,FALSE))</f>
        <v/>
      </c>
      <c r="BI184" t="str">
        <f ca="1">IF(AND(ISNUMBER($BI$386),$B$208=1),$BI$386,HLOOKUP(INDIRECT(ADDRESS(2,COLUMN())),OFFSET($BN$2,0,0,ROW()-1,60),ROW()-1,FALSE))</f>
        <v/>
      </c>
      <c r="BJ184" t="str">
        <f ca="1">IF(AND(ISNUMBER($BJ$386),$B$208=1),$BJ$386,HLOOKUP(INDIRECT(ADDRESS(2,COLUMN())),OFFSET($BN$2,0,0,ROW()-1,60),ROW()-1,FALSE))</f>
        <v/>
      </c>
      <c r="BK184" t="str">
        <f ca="1">IF(AND(ISNUMBER($BK$386),$B$208=1),$BK$386,HLOOKUP(INDIRECT(ADDRESS(2,COLUMN())),OFFSET($BN$2,0,0,ROW()-1,60),ROW()-1,FALSE))</f>
        <v/>
      </c>
      <c r="BL184" t="str">
        <f ca="1">IF(AND(ISNUMBER($BL$386),$B$208=1),$BL$386,HLOOKUP(INDIRECT(ADDRESS(2,COLUMN())),OFFSET($BN$2,0,0,ROW()-1,60),ROW()-1,FALSE))</f>
        <v/>
      </c>
      <c r="BM184" t="str">
        <f ca="1">IF(AND(ISNUMBER($BM$386),$B$208=1),$BM$386,HLOOKUP(INDIRECT(ADDRESS(2,COLUMN())),OFFSET($BN$2,0,0,ROW()-1,60),ROW()-1,FALSE))</f>
        <v/>
      </c>
      <c r="BN184">
        <f>59615</f>
        <v>59615</v>
      </c>
      <c r="BO184">
        <f>54923</f>
        <v>54923</v>
      </c>
      <c r="BP184">
        <f>57279</f>
        <v>57279</v>
      </c>
      <c r="BQ184">
        <f>58405</f>
        <v>58405</v>
      </c>
      <c r="BR184">
        <f>59425</f>
        <v>59425</v>
      </c>
      <c r="BS184">
        <f>54074</f>
        <v>54074</v>
      </c>
      <c r="BT184">
        <f>57846</f>
        <v>57846</v>
      </c>
      <c r="BU184">
        <f>58659</f>
        <v>58659</v>
      </c>
      <c r="BV184">
        <f>60396</f>
        <v>60396</v>
      </c>
      <c r="BW184">
        <f>57407</f>
        <v>57407</v>
      </c>
      <c r="BX184">
        <f>60635</f>
        <v>60635</v>
      </c>
      <c r="BY184">
        <f>353854</f>
        <v>353854</v>
      </c>
      <c r="BZ184">
        <f>67749</f>
        <v>67749</v>
      </c>
      <c r="CA184">
        <f>64467</f>
        <v>64467</v>
      </c>
      <c r="CB184">
        <f>6022</f>
        <v>6022</v>
      </c>
      <c r="CC184">
        <f>66006</f>
        <v>66006</v>
      </c>
      <c r="CD184">
        <f>7929</f>
        <v>7929</v>
      </c>
      <c r="CE184">
        <f>63041</f>
        <v>63041</v>
      </c>
      <c r="CF184">
        <f>6035</f>
        <v>6035</v>
      </c>
      <c r="CG184">
        <f>6370</f>
        <v>6370</v>
      </c>
      <c r="CH184">
        <f>6233</f>
        <v>6233</v>
      </c>
      <c r="CI184">
        <f>5766</f>
        <v>5766</v>
      </c>
      <c r="CJ184">
        <f>4757</f>
        <v>4757</v>
      </c>
      <c r="CK184">
        <f>6632</f>
        <v>6632</v>
      </c>
      <c r="CL184">
        <f>5887</f>
        <v>5887</v>
      </c>
      <c r="CM184">
        <f>5603</f>
        <v>5603</v>
      </c>
      <c r="CN184">
        <f>8061</f>
        <v>8061</v>
      </c>
      <c r="CO184">
        <f>5206</f>
        <v>5206</v>
      </c>
      <c r="CP184">
        <f>6898</f>
        <v>6898</v>
      </c>
      <c r="CQ184">
        <f>5079</f>
        <v>5079</v>
      </c>
      <c r="CR184">
        <f>7069</f>
        <v>7069</v>
      </c>
      <c r="CS184">
        <f>5497</f>
        <v>5497</v>
      </c>
      <c r="CT184">
        <f>6049</f>
        <v>6049</v>
      </c>
      <c r="CU184">
        <f>7102</f>
        <v>7102</v>
      </c>
      <c r="CV184">
        <f>6236</f>
        <v>6236</v>
      </c>
      <c r="CW184">
        <f>6374</f>
        <v>6374</v>
      </c>
      <c r="CX184">
        <f>7889</f>
        <v>7889</v>
      </c>
      <c r="CY184">
        <f>6941</f>
        <v>6941</v>
      </c>
      <c r="CZ184">
        <f>8245</f>
        <v>8245</v>
      </c>
      <c r="DA184">
        <f>7474</f>
        <v>7474</v>
      </c>
      <c r="DB184" t="str">
        <f>""</f>
        <v/>
      </c>
      <c r="DC184" t="str">
        <f>""</f>
        <v/>
      </c>
      <c r="DD184" t="str">
        <f>""</f>
        <v/>
      </c>
      <c r="DE184" t="str">
        <f>""</f>
        <v/>
      </c>
      <c r="DF184" t="str">
        <f>""</f>
        <v/>
      </c>
      <c r="DG184" t="str">
        <f>""</f>
        <v/>
      </c>
      <c r="DH184" t="str">
        <f>""</f>
        <v/>
      </c>
      <c r="DI184" t="str">
        <f>""</f>
        <v/>
      </c>
      <c r="DJ184" t="str">
        <f>""</f>
        <v/>
      </c>
      <c r="DK184" t="str">
        <f>""</f>
        <v/>
      </c>
      <c r="DL184" t="str">
        <f>""</f>
        <v/>
      </c>
      <c r="DM184" t="str">
        <f>""</f>
        <v/>
      </c>
      <c r="DN184" t="str">
        <f>""</f>
        <v/>
      </c>
      <c r="DO184" t="str">
        <f>""</f>
        <v/>
      </c>
      <c r="DP184" t="str">
        <f>""</f>
        <v/>
      </c>
      <c r="DQ184" t="str">
        <f>""</f>
        <v/>
      </c>
      <c r="DR184" t="str">
        <f>""</f>
        <v/>
      </c>
      <c r="DS184" t="str">
        <f>""</f>
        <v/>
      </c>
      <c r="DT184" t="str">
        <f>""</f>
        <v/>
      </c>
      <c r="DU184" t="str">
        <f>""</f>
        <v/>
      </c>
    </row>
    <row r="185" spans="1:125" x14ac:dyDescent="0.25">
      <c r="A185" t="str">
        <f>"    Raiffeisen Bank International AG"</f>
        <v xml:space="preserve">    Raiffeisen Bank International AG</v>
      </c>
      <c r="B185" t="str">
        <f>"RBI AV Equity"</f>
        <v>RBI AV Equity</v>
      </c>
      <c r="C185" t="str">
        <f t="shared" si="12"/>
        <v>BS018</v>
      </c>
      <c r="D185" t="str">
        <f t="shared" si="13"/>
        <v>BS_OTHER_LOAN</v>
      </c>
      <c r="E185" t="str">
        <f t="shared" si="14"/>
        <v>Dynamic</v>
      </c>
      <c r="F185">
        <f ca="1">IF(AND(ISNUMBER($F$387),$B$208=1),$F$387,HLOOKUP(INDIRECT(ADDRESS(2,COLUMN())),OFFSET($BN$2,0,0,ROW()-1,60),ROW()-1,FALSE))</f>
        <v>3807</v>
      </c>
      <c r="G185">
        <f ca="1">IF(AND(ISNUMBER($G$387),$B$208=1),$G$387,HLOOKUP(INDIRECT(ADDRESS(2,COLUMN())),OFFSET($BN$2,0,0,ROW()-1,60),ROW()-1,FALSE))</f>
        <v>3224</v>
      </c>
      <c r="H185">
        <f ca="1">IF(AND(ISNUMBER($H$387),$B$208=1),$H$387,HLOOKUP(INDIRECT(ADDRESS(2,COLUMN())),OFFSET($BN$2,0,0,ROW()-1,60),ROW()-1,FALSE))</f>
        <v>3283</v>
      </c>
      <c r="I185">
        <f ca="1">IF(AND(ISNUMBER($I$387),$B$208=1),$I$387,HLOOKUP(INDIRECT(ADDRESS(2,COLUMN())),OFFSET($BN$2,0,0,ROW()-1,60),ROW()-1,FALSE))</f>
        <v>2241</v>
      </c>
      <c r="J185">
        <f ca="1">IF(AND(ISNUMBER($J$387),$B$208=1),$J$387,HLOOKUP(INDIRECT(ADDRESS(2,COLUMN())),OFFSET($BN$2,0,0,ROW()-1,60),ROW()-1,FALSE))</f>
        <v>2151</v>
      </c>
      <c r="K185">
        <f ca="1">IF(AND(ISNUMBER($K$387),$B$208=1),$K$387,HLOOKUP(INDIRECT(ADDRESS(2,COLUMN())),OFFSET($BN$2,0,0,ROW()-1,60),ROW()-1,FALSE))</f>
        <v>2045</v>
      </c>
      <c r="L185">
        <f ca="1">IF(AND(ISNUMBER($L$387),$B$208=1),$L$387,HLOOKUP(INDIRECT(ADDRESS(2,COLUMN())),OFFSET($BN$2,0,0,ROW()-1,60),ROW()-1,FALSE))</f>
        <v>2078</v>
      </c>
      <c r="M185">
        <f ca="1">IF(AND(ISNUMBER($M$387),$B$208=1),$M$387,HLOOKUP(INDIRECT(ADDRESS(2,COLUMN())),OFFSET($BN$2,0,0,ROW()-1,60),ROW()-1,FALSE))</f>
        <v>2241</v>
      </c>
      <c r="N185">
        <f ca="1">IF(AND(ISNUMBER($N$387),$B$208=1),$N$387,HLOOKUP(INDIRECT(ADDRESS(2,COLUMN())),OFFSET($BN$2,0,0,ROW()-1,60),ROW()-1,FALSE))</f>
        <v>2150</v>
      </c>
      <c r="O185">
        <f ca="1">IF(AND(ISNUMBER($O$387),$B$208=1),$O$387,HLOOKUP(INDIRECT(ADDRESS(2,COLUMN())),OFFSET($BN$2,0,0,ROW()-1,60),ROW()-1,FALSE))</f>
        <v>2306</v>
      </c>
      <c r="P185">
        <f ca="1">IF(AND(ISNUMBER($P$387),$B$208=1),$P$387,HLOOKUP(INDIRECT(ADDRESS(2,COLUMN())),OFFSET($BN$2,0,0,ROW()-1,60),ROW()-1,FALSE))</f>
        <v>2161</v>
      </c>
      <c r="Q185">
        <f ca="1">IF(AND(ISNUMBER($Q$387),$B$208=1),$Q$387,HLOOKUP(INDIRECT(ADDRESS(2,COLUMN())),OFFSET($BN$2,0,0,ROW()-1,60),ROW()-1,FALSE))</f>
        <v>1749</v>
      </c>
      <c r="R185">
        <f ca="1">IF(AND(ISNUMBER($R$387),$B$208=1),$R$387,HLOOKUP(INDIRECT(ADDRESS(2,COLUMN())),OFFSET($BN$2,0,0,ROW()-1,60),ROW()-1,FALSE))</f>
        <v>1398</v>
      </c>
      <c r="S185">
        <f ca="1">IF(AND(ISNUMBER($S$387),$B$208=1),$S$387,HLOOKUP(INDIRECT(ADDRESS(2,COLUMN())),OFFSET($BN$2,0,0,ROW()-1,60),ROW()-1,FALSE))</f>
        <v>2051</v>
      </c>
      <c r="T185">
        <f ca="1">IF(AND(ISNUMBER($T$387),$B$208=1),$T$387,HLOOKUP(INDIRECT(ADDRESS(2,COLUMN())),OFFSET($BN$2,0,0,ROW()-1,60),ROW()-1,FALSE))</f>
        <v>1803</v>
      </c>
      <c r="U185">
        <f ca="1">IF(AND(ISNUMBER($U$387),$B$208=1),$U$387,HLOOKUP(INDIRECT(ADDRESS(2,COLUMN())),OFFSET($BN$2,0,0,ROW()-1,60),ROW()-1,FALSE))</f>
        <v>1720</v>
      </c>
      <c r="V185">
        <f ca="1">IF(AND(ISNUMBER($V$387),$B$208=1),$V$387,HLOOKUP(INDIRECT(ADDRESS(2,COLUMN())),OFFSET($BN$2,0,0,ROW()-1,60),ROW()-1,FALSE))</f>
        <v>2118.65</v>
      </c>
      <c r="W185">
        <f ca="1">IF(AND(ISNUMBER($W$387),$B$208=1),$W$387,HLOOKUP(INDIRECT(ADDRESS(2,COLUMN())),OFFSET($BN$2,0,0,ROW()-1,60),ROW()-1,FALSE))</f>
        <v>1742</v>
      </c>
      <c r="X185">
        <f ca="1">IF(AND(ISNUMBER($X$387),$B$208=1),$X$387,HLOOKUP(INDIRECT(ADDRESS(2,COLUMN())),OFFSET($BN$2,0,0,ROW()-1,60),ROW()-1,FALSE))</f>
        <v>1623</v>
      </c>
      <c r="Y185">
        <f ca="1">IF(AND(ISNUMBER($Y$387),$B$208=1),$Y$387,HLOOKUP(INDIRECT(ADDRESS(2,COLUMN())),OFFSET($BN$2,0,0,ROW()-1,60),ROW()-1,FALSE))</f>
        <v>1549</v>
      </c>
      <c r="Z185">
        <f ca="1">IF(AND(ISNUMBER($Z$387),$B$208=1),$Z$387,HLOOKUP(INDIRECT(ADDRESS(2,COLUMN())),OFFSET($BN$2,0,0,ROW()-1,60),ROW()-1,FALSE))</f>
        <v>1196.07</v>
      </c>
      <c r="AA185">
        <f ca="1">IF(AND(ISNUMBER($AA$387),$B$208=1),$AA$387,HLOOKUP(INDIRECT(ADDRESS(2,COLUMN())),OFFSET($BN$2,0,0,ROW()-1,60),ROW()-1,FALSE))</f>
        <v>1722</v>
      </c>
      <c r="AB185">
        <f ca="1">IF(AND(ISNUMBER($AB$387),$B$208=1),$AB$387,HLOOKUP(INDIRECT(ADDRESS(2,COLUMN())),OFFSET($BN$2,0,0,ROW()-1,60),ROW()-1,FALSE))</f>
        <v>1586</v>
      </c>
      <c r="AC185">
        <f ca="1">IF(AND(ISNUMBER($AC$387),$B$208=1),$AC$387,HLOOKUP(INDIRECT(ADDRESS(2,COLUMN())),OFFSET($BN$2,0,0,ROW()-1,60),ROW()-1,FALSE))</f>
        <v>1394</v>
      </c>
      <c r="AD185">
        <f ca="1">IF(AND(ISNUMBER($AD$387),$B$208=1),$AD$387,HLOOKUP(INDIRECT(ADDRESS(2,COLUMN())),OFFSET($BN$2,0,0,ROW()-1,60),ROW()-1,FALSE))</f>
        <v>916.93200000000002</v>
      </c>
      <c r="AE185">
        <f ca="1">IF(AND(ISNUMBER($AE$387),$B$208=1),$AE$387,HLOOKUP(INDIRECT(ADDRESS(2,COLUMN())),OFFSET($BN$2,0,0,ROW()-1,60),ROW()-1,FALSE))</f>
        <v>1270</v>
      </c>
      <c r="AF185">
        <f ca="1">IF(AND(ISNUMBER($AF$387),$B$208=1),$AF$387,HLOOKUP(INDIRECT(ADDRESS(2,COLUMN())),OFFSET($BN$2,0,0,ROW()-1,60),ROW()-1,FALSE))</f>
        <v>1183</v>
      </c>
      <c r="AG185">
        <f ca="1">IF(AND(ISNUMBER($AG$387),$B$208=1),$AG$387,HLOOKUP(INDIRECT(ADDRESS(2,COLUMN())),OFFSET($BN$2,0,0,ROW()-1,60),ROW()-1,FALSE))</f>
        <v>921</v>
      </c>
      <c r="AH185">
        <f ca="1">IF(AND(ISNUMBER($AH$387),$B$208=1),$AH$387,HLOOKUP(INDIRECT(ADDRESS(2,COLUMN())),OFFSET($BN$2,0,0,ROW()-1,60),ROW()-1,FALSE))</f>
        <v>3954.2860000000001</v>
      </c>
      <c r="AI185">
        <f ca="1">IF(AND(ISNUMBER($AI$387),$B$208=1),$AI$387,HLOOKUP(INDIRECT(ADDRESS(2,COLUMN())),OFFSET($BN$2,0,0,ROW()-1,60),ROW()-1,FALSE))</f>
        <v>817</v>
      </c>
      <c r="AJ185">
        <f ca="1">IF(AND(ISNUMBER($AJ$387),$B$208=1),$AJ$387,HLOOKUP(INDIRECT(ADDRESS(2,COLUMN())),OFFSET($BN$2,0,0,ROW()-1,60),ROW()-1,FALSE))</f>
        <v>758</v>
      </c>
      <c r="AK185">
        <f ca="1">IF(AND(ISNUMBER($AK$387),$B$208=1),$AK$387,HLOOKUP(INDIRECT(ADDRESS(2,COLUMN())),OFFSET($BN$2,0,0,ROW()-1,60),ROW()-1,FALSE))</f>
        <v>757</v>
      </c>
      <c r="AL185">
        <f ca="1">IF(AND(ISNUMBER($AL$387),$B$208=1),$AL$387,HLOOKUP(INDIRECT(ADDRESS(2,COLUMN())),OFFSET($BN$2,0,0,ROW()-1,60),ROW()-1,FALSE))</f>
        <v>659.23099999999999</v>
      </c>
      <c r="AM185">
        <f ca="1">IF(AND(ISNUMBER($AM$387),$B$208=1),$AM$387,HLOOKUP(INDIRECT(ADDRESS(2,COLUMN())),OFFSET($BN$2,0,0,ROW()-1,60),ROW()-1,FALSE))</f>
        <v>669</v>
      </c>
      <c r="AN185">
        <f ca="1">IF(AND(ISNUMBER($AN$387),$B$208=1),$AN$387,HLOOKUP(INDIRECT(ADDRESS(2,COLUMN())),OFFSET($BN$2,0,0,ROW()-1,60),ROW()-1,FALSE))</f>
        <v>656</v>
      </c>
      <c r="AO185">
        <f ca="1">IF(AND(ISNUMBER($AO$387),$B$208=1),$AO$387,HLOOKUP(INDIRECT(ADDRESS(2,COLUMN())),OFFSET($BN$2,0,0,ROW()-1,60),ROW()-1,FALSE))</f>
        <v>790</v>
      </c>
      <c r="AP185">
        <f ca="1">IF(AND(ISNUMBER($AP$387),$B$208=1),$AP$387,HLOOKUP(INDIRECT(ADDRESS(2,COLUMN())),OFFSET($BN$2,0,0,ROW()-1,60),ROW()-1,FALSE))</f>
        <v>814.42499999999995</v>
      </c>
      <c r="AQ185">
        <f ca="1">IF(AND(ISNUMBER($AQ$387),$B$208=1),$AQ$387,HLOOKUP(INDIRECT(ADDRESS(2,COLUMN())),OFFSET($BN$2,0,0,ROW()-1,60),ROW()-1,FALSE))</f>
        <v>858</v>
      </c>
      <c r="AR185">
        <f ca="1">IF(AND(ISNUMBER($AR$387),$B$208=1),$AR$387,HLOOKUP(INDIRECT(ADDRESS(2,COLUMN())),OFFSET($BN$2,0,0,ROW()-1,60),ROW()-1,FALSE))</f>
        <v>1348</v>
      </c>
      <c r="AS185">
        <f ca="1">IF(AND(ISNUMBER($AS$387),$B$208=1),$AS$387,HLOOKUP(INDIRECT(ADDRESS(2,COLUMN())),OFFSET($BN$2,0,0,ROW()-1,60),ROW()-1,FALSE))</f>
        <v>1454</v>
      </c>
      <c r="AT185">
        <f ca="1">IF(AND(ISNUMBER($AT$387),$B$208=1),$AT$387,HLOOKUP(INDIRECT(ADDRESS(2,COLUMN())),OFFSET($BN$2,0,0,ROW()-1,60),ROW()-1,FALSE))</f>
        <v>1451.165</v>
      </c>
      <c r="AU185">
        <f ca="1">IF(AND(ISNUMBER($AU$387),$B$208=1),$AU$387,HLOOKUP(INDIRECT(ADDRESS(2,COLUMN())),OFFSET($BN$2,0,0,ROW()-1,60),ROW()-1,FALSE))</f>
        <v>1511</v>
      </c>
      <c r="AV185">
        <f ca="1">IF(AND(ISNUMBER($AV$387),$B$208=1),$AV$387,HLOOKUP(INDIRECT(ADDRESS(2,COLUMN())),OFFSET($BN$2,0,0,ROW()-1,60),ROW()-1,FALSE))</f>
        <v>1612</v>
      </c>
      <c r="AW185">
        <f ca="1">IF(AND(ISNUMBER($AW$387),$B$208=1),$AW$387,HLOOKUP(INDIRECT(ADDRESS(2,COLUMN())),OFFSET($BN$2,0,0,ROW()-1,60),ROW()-1,FALSE))</f>
        <v>1632</v>
      </c>
      <c r="AX185">
        <f ca="1">IF(AND(ISNUMBER($AX$387),$B$208=1),$AX$387,HLOOKUP(INDIRECT(ADDRESS(2,COLUMN())),OFFSET($BN$2,0,0,ROW()-1,60),ROW()-1,FALSE))</f>
        <v>1647.511</v>
      </c>
      <c r="AY185">
        <f ca="1">IF(AND(ISNUMBER($AY$387),$B$208=1),$AY$387,HLOOKUP(INDIRECT(ADDRESS(2,COLUMN())),OFFSET($BN$2,0,0,ROW()-1,60),ROW()-1,FALSE))</f>
        <v>1760</v>
      </c>
      <c r="AZ185">
        <f ca="1">IF(AND(ISNUMBER($AZ$387),$B$208=1),$AZ$387,HLOOKUP(INDIRECT(ADDRESS(2,COLUMN())),OFFSET($BN$2,0,0,ROW()-1,60),ROW()-1,FALSE))</f>
        <v>1757</v>
      </c>
      <c r="BA185">
        <f ca="1">IF(AND(ISNUMBER($BA$387),$B$208=1),$BA$387,HLOOKUP(INDIRECT(ADDRESS(2,COLUMN())),OFFSET($BN$2,0,0,ROW()-1,60),ROW()-1,FALSE))</f>
        <v>1447</v>
      </c>
      <c r="BB185">
        <f ca="1">IF(AND(ISNUMBER($BB$387),$B$208=1),$BB$387,HLOOKUP(INDIRECT(ADDRESS(2,COLUMN())),OFFSET($BN$2,0,0,ROW()-1,60),ROW()-1,FALSE))</f>
        <v>1387</v>
      </c>
      <c r="BC185">
        <f ca="1">IF(AND(ISNUMBER($BC$387),$B$208=1),$BC$387,HLOOKUP(INDIRECT(ADDRESS(2,COLUMN())),OFFSET($BN$2,0,0,ROW()-1,60),ROW()-1,FALSE))</f>
        <v>1732</v>
      </c>
      <c r="BD185">
        <f ca="1">IF(AND(ISNUMBER($BD$387),$B$208=1),$BD$387,HLOOKUP(INDIRECT(ADDRESS(2,COLUMN())),OFFSET($BN$2,0,0,ROW()-1,60),ROW()-1,FALSE))</f>
        <v>1360</v>
      </c>
      <c r="BE185">
        <f ca="1">IF(AND(ISNUMBER($BE$387),$B$208=1),$BE$387,HLOOKUP(INDIRECT(ADDRESS(2,COLUMN())),OFFSET($BN$2,0,0,ROW()-1,60),ROW()-1,FALSE))</f>
        <v>2586</v>
      </c>
      <c r="BF185">
        <f ca="1">IF(AND(ISNUMBER($BF$387),$B$208=1),$BF$387,HLOOKUP(INDIRECT(ADDRESS(2,COLUMN())),OFFSET($BN$2,0,0,ROW()-1,60),ROW()-1,FALSE))</f>
        <v>1384.0719999999999</v>
      </c>
      <c r="BG185">
        <f ca="1">IF(AND(ISNUMBER($BG$387),$B$208=1),$BG$387,HLOOKUP(INDIRECT(ADDRESS(2,COLUMN())),OFFSET($BN$2,0,0,ROW()-1,60),ROW()-1,FALSE))</f>
        <v>1406</v>
      </c>
      <c r="BH185">
        <f ca="1">IF(AND(ISNUMBER($BH$387),$B$208=1),$BH$387,HLOOKUP(INDIRECT(ADDRESS(2,COLUMN())),OFFSET($BN$2,0,0,ROW()-1,60),ROW()-1,FALSE))</f>
        <v>1818</v>
      </c>
      <c r="BI185">
        <f ca="1">IF(AND(ISNUMBER($BI$387),$B$208=1),$BI$387,HLOOKUP(INDIRECT(ADDRESS(2,COLUMN())),OFFSET($BN$2,0,0,ROW()-1,60),ROW()-1,FALSE))</f>
        <v>1793</v>
      </c>
      <c r="BJ185">
        <f ca="1">IF(AND(ISNUMBER($BJ$387),$B$208=1),$BJ$387,HLOOKUP(INDIRECT(ADDRESS(2,COLUMN())),OFFSET($BN$2,0,0,ROW()-1,60),ROW()-1,FALSE))</f>
        <v>1636.991</v>
      </c>
      <c r="BK185">
        <f ca="1">IF(AND(ISNUMBER($BK$387),$B$208=1),$BK$387,HLOOKUP(INDIRECT(ADDRESS(2,COLUMN())),OFFSET($BN$2,0,0,ROW()-1,60),ROW()-1,FALSE))</f>
        <v>1108</v>
      </c>
      <c r="BL185">
        <f ca="1">IF(AND(ISNUMBER($BL$387),$B$208=1),$BL$387,HLOOKUP(INDIRECT(ADDRESS(2,COLUMN())),OFFSET($BN$2,0,0,ROW()-1,60),ROW()-1,FALSE))</f>
        <v>1244</v>
      </c>
      <c r="BM185" t="str">
        <f ca="1">IF(AND(ISNUMBER($BM$387),$B$208=1),$BM$387,HLOOKUP(INDIRECT(ADDRESS(2,COLUMN())),OFFSET($BN$2,0,0,ROW()-1,60),ROW()-1,FALSE))</f>
        <v/>
      </c>
      <c r="BN185">
        <f>3807</f>
        <v>3807</v>
      </c>
      <c r="BO185">
        <f>3224</f>
        <v>3224</v>
      </c>
      <c r="BP185">
        <f>3283</f>
        <v>3283</v>
      </c>
      <c r="BQ185">
        <f>2241</f>
        <v>2241</v>
      </c>
      <c r="BR185">
        <f>2151</f>
        <v>2151</v>
      </c>
      <c r="BS185">
        <f>2045</f>
        <v>2045</v>
      </c>
      <c r="BT185">
        <f>2078</f>
        <v>2078</v>
      </c>
      <c r="BU185">
        <f>2241</f>
        <v>2241</v>
      </c>
      <c r="BV185">
        <f>2150</f>
        <v>2150</v>
      </c>
      <c r="BW185">
        <f>2306</f>
        <v>2306</v>
      </c>
      <c r="BX185">
        <f>2161</f>
        <v>2161</v>
      </c>
      <c r="BY185">
        <f>1749</f>
        <v>1749</v>
      </c>
      <c r="BZ185">
        <f>1398</f>
        <v>1398</v>
      </c>
      <c r="CA185">
        <f>2051</f>
        <v>2051</v>
      </c>
      <c r="CB185">
        <f>1803</f>
        <v>1803</v>
      </c>
      <c r="CC185">
        <f>1720</f>
        <v>1720</v>
      </c>
      <c r="CD185">
        <f>2118.65</f>
        <v>2118.65</v>
      </c>
      <c r="CE185">
        <f>1742</f>
        <v>1742</v>
      </c>
      <c r="CF185">
        <f>1623</f>
        <v>1623</v>
      </c>
      <c r="CG185">
        <f>1549</f>
        <v>1549</v>
      </c>
      <c r="CH185">
        <f>1196.07</f>
        <v>1196.07</v>
      </c>
      <c r="CI185">
        <f>1722</f>
        <v>1722</v>
      </c>
      <c r="CJ185">
        <f>1586</f>
        <v>1586</v>
      </c>
      <c r="CK185">
        <f>1394</f>
        <v>1394</v>
      </c>
      <c r="CL185">
        <f>916.932</f>
        <v>916.93200000000002</v>
      </c>
      <c r="CM185">
        <f>1270</f>
        <v>1270</v>
      </c>
      <c r="CN185">
        <f>1183</f>
        <v>1183</v>
      </c>
      <c r="CO185">
        <f>921</f>
        <v>921</v>
      </c>
      <c r="CP185">
        <f>3954.286</f>
        <v>3954.2860000000001</v>
      </c>
      <c r="CQ185">
        <f>817</f>
        <v>817</v>
      </c>
      <c r="CR185">
        <f>758</f>
        <v>758</v>
      </c>
      <c r="CS185">
        <f>757</f>
        <v>757</v>
      </c>
      <c r="CT185">
        <f>659.231</f>
        <v>659.23099999999999</v>
      </c>
      <c r="CU185">
        <f>669</f>
        <v>669</v>
      </c>
      <c r="CV185">
        <f>656</f>
        <v>656</v>
      </c>
      <c r="CW185">
        <f>790</f>
        <v>790</v>
      </c>
      <c r="CX185">
        <f>814.425</f>
        <v>814.42499999999995</v>
      </c>
      <c r="CY185">
        <f>858</f>
        <v>858</v>
      </c>
      <c r="CZ185">
        <f>1348</f>
        <v>1348</v>
      </c>
      <c r="DA185">
        <f>1454</f>
        <v>1454</v>
      </c>
      <c r="DB185">
        <f>1451.165</f>
        <v>1451.165</v>
      </c>
      <c r="DC185">
        <f>1511</f>
        <v>1511</v>
      </c>
      <c r="DD185">
        <f>1612</f>
        <v>1612</v>
      </c>
      <c r="DE185">
        <f>1632</f>
        <v>1632</v>
      </c>
      <c r="DF185">
        <f>1647.511</f>
        <v>1647.511</v>
      </c>
      <c r="DG185">
        <f>1760</f>
        <v>1760</v>
      </c>
      <c r="DH185">
        <f>1757</f>
        <v>1757</v>
      </c>
      <c r="DI185">
        <f>1447</f>
        <v>1447</v>
      </c>
      <c r="DJ185">
        <f>1387</f>
        <v>1387</v>
      </c>
      <c r="DK185">
        <f>1732</f>
        <v>1732</v>
      </c>
      <c r="DL185">
        <f>1360</f>
        <v>1360</v>
      </c>
      <c r="DM185">
        <f>2586</f>
        <v>2586</v>
      </c>
      <c r="DN185">
        <f>1384.072</f>
        <v>1384.0719999999999</v>
      </c>
      <c r="DO185">
        <f>1406</f>
        <v>1406</v>
      </c>
      <c r="DP185">
        <f>1818</f>
        <v>1818</v>
      </c>
      <c r="DQ185">
        <f>1793</f>
        <v>1793</v>
      </c>
      <c r="DR185">
        <f>1636.991</f>
        <v>1636.991</v>
      </c>
      <c r="DS185">
        <f>1108</f>
        <v>1108</v>
      </c>
      <c r="DT185">
        <f>1244</f>
        <v>1244</v>
      </c>
      <c r="DU185" t="str">
        <f>""</f>
        <v/>
      </c>
    </row>
    <row r="186" spans="1:125" x14ac:dyDescent="0.25">
      <c r="A186" t="str">
        <f>"    Skandinaviska Enskilda Banken AB"</f>
        <v xml:space="preserve">    Skandinaviska Enskilda Banken AB</v>
      </c>
      <c r="B186" t="str">
        <f>"SEBA SS Equity"</f>
        <v>SEBA SS Equity</v>
      </c>
      <c r="C186" t="str">
        <f t="shared" si="12"/>
        <v>BS018</v>
      </c>
      <c r="D186" t="str">
        <f t="shared" si="13"/>
        <v>BS_OTHER_LOAN</v>
      </c>
      <c r="E186" t="str">
        <f t="shared" si="14"/>
        <v>Dynamic</v>
      </c>
      <c r="F186" t="str">
        <f ca="1">IF(AND(ISNUMBER($F$388),$B$208=1),$F$388,HLOOKUP(INDIRECT(ADDRESS(2,COLUMN())),OFFSET($BN$2,0,0,ROW()-1,60),ROW()-1,FALSE))</f>
        <v/>
      </c>
      <c r="G186" t="str">
        <f ca="1">IF(AND(ISNUMBER($G$388),$B$208=1),$G$388,HLOOKUP(INDIRECT(ADDRESS(2,COLUMN())),OFFSET($BN$2,0,0,ROW()-1,60),ROW()-1,FALSE))</f>
        <v/>
      </c>
      <c r="H186" t="str">
        <f ca="1">IF(AND(ISNUMBER($H$388),$B$208=1),$H$388,HLOOKUP(INDIRECT(ADDRESS(2,COLUMN())),OFFSET($BN$2,0,0,ROW()-1,60),ROW()-1,FALSE))</f>
        <v/>
      </c>
      <c r="I186" t="str">
        <f ca="1">IF(AND(ISNUMBER($I$388),$B$208=1),$I$388,HLOOKUP(INDIRECT(ADDRESS(2,COLUMN())),OFFSET($BN$2,0,0,ROW()-1,60),ROW()-1,FALSE))</f>
        <v/>
      </c>
      <c r="J186" t="str">
        <f ca="1">IF(AND(ISNUMBER($J$388),$B$208=1),$J$388,HLOOKUP(INDIRECT(ADDRESS(2,COLUMN())),OFFSET($BN$2,0,0,ROW()-1,60),ROW()-1,FALSE))</f>
        <v/>
      </c>
      <c r="K186" t="str">
        <f ca="1">IF(AND(ISNUMBER($K$388),$B$208=1),$K$388,HLOOKUP(INDIRECT(ADDRESS(2,COLUMN())),OFFSET($BN$2,0,0,ROW()-1,60),ROW()-1,FALSE))</f>
        <v/>
      </c>
      <c r="L186" t="str">
        <f ca="1">IF(AND(ISNUMBER($L$388),$B$208=1),$L$388,HLOOKUP(INDIRECT(ADDRESS(2,COLUMN())),OFFSET($BN$2,0,0,ROW()-1,60),ROW()-1,FALSE))</f>
        <v/>
      </c>
      <c r="M186" t="str">
        <f ca="1">IF(AND(ISNUMBER($M$388),$B$208=1),$M$388,HLOOKUP(INDIRECT(ADDRESS(2,COLUMN())),OFFSET($BN$2,0,0,ROW()-1,60),ROW()-1,FALSE))</f>
        <v/>
      </c>
      <c r="N186" t="str">
        <f ca="1">IF(AND(ISNUMBER($N$388),$B$208=1),$N$388,HLOOKUP(INDIRECT(ADDRESS(2,COLUMN())),OFFSET($BN$2,0,0,ROW()-1,60),ROW()-1,FALSE))</f>
        <v/>
      </c>
      <c r="O186" t="str">
        <f ca="1">IF(AND(ISNUMBER($O$388),$B$208=1),$O$388,HLOOKUP(INDIRECT(ADDRESS(2,COLUMN())),OFFSET($BN$2,0,0,ROW()-1,60),ROW()-1,FALSE))</f>
        <v/>
      </c>
      <c r="P186" t="str">
        <f ca="1">IF(AND(ISNUMBER($P$388),$B$208=1),$P$388,HLOOKUP(INDIRECT(ADDRESS(2,COLUMN())),OFFSET($BN$2,0,0,ROW()-1,60),ROW()-1,FALSE))</f>
        <v/>
      </c>
      <c r="Q186" t="str">
        <f ca="1">IF(AND(ISNUMBER($Q$388),$B$208=1),$Q$388,HLOOKUP(INDIRECT(ADDRESS(2,COLUMN())),OFFSET($BN$2,0,0,ROW()-1,60),ROW()-1,FALSE))</f>
        <v/>
      </c>
      <c r="R186" t="str">
        <f ca="1">IF(AND(ISNUMBER($R$388),$B$208=1),$R$388,HLOOKUP(INDIRECT(ADDRESS(2,COLUMN())),OFFSET($BN$2,0,0,ROW()-1,60),ROW()-1,FALSE))</f>
        <v/>
      </c>
      <c r="S186" t="str">
        <f ca="1">IF(AND(ISNUMBER($S$388),$B$208=1),$S$388,HLOOKUP(INDIRECT(ADDRESS(2,COLUMN())),OFFSET($BN$2,0,0,ROW()-1,60),ROW()-1,FALSE))</f>
        <v/>
      </c>
      <c r="T186" t="str">
        <f ca="1">IF(AND(ISNUMBER($T$388),$B$208=1),$T$388,HLOOKUP(INDIRECT(ADDRESS(2,COLUMN())),OFFSET($BN$2,0,0,ROW()-1,60),ROW()-1,FALSE))</f>
        <v/>
      </c>
      <c r="U186" t="str">
        <f ca="1">IF(AND(ISNUMBER($U$388),$B$208=1),$U$388,HLOOKUP(INDIRECT(ADDRESS(2,COLUMN())),OFFSET($BN$2,0,0,ROW()-1,60),ROW()-1,FALSE))</f>
        <v/>
      </c>
      <c r="V186" t="str">
        <f ca="1">IF(AND(ISNUMBER($V$388),$B$208=1),$V$388,HLOOKUP(INDIRECT(ADDRESS(2,COLUMN())),OFFSET($BN$2,0,0,ROW()-1,60),ROW()-1,FALSE))</f>
        <v/>
      </c>
      <c r="W186" t="str">
        <f ca="1">IF(AND(ISNUMBER($W$388),$B$208=1),$W$388,HLOOKUP(INDIRECT(ADDRESS(2,COLUMN())),OFFSET($BN$2,0,0,ROW()-1,60),ROW()-1,FALSE))</f>
        <v/>
      </c>
      <c r="X186" t="str">
        <f ca="1">IF(AND(ISNUMBER($X$388),$B$208=1),$X$388,HLOOKUP(INDIRECT(ADDRESS(2,COLUMN())),OFFSET($BN$2,0,0,ROW()-1,60),ROW()-1,FALSE))</f>
        <v/>
      </c>
      <c r="Y186" t="str">
        <f ca="1">IF(AND(ISNUMBER($Y$388),$B$208=1),$Y$388,HLOOKUP(INDIRECT(ADDRESS(2,COLUMN())),OFFSET($BN$2,0,0,ROW()-1,60),ROW()-1,FALSE))</f>
        <v/>
      </c>
      <c r="Z186" t="str">
        <f ca="1">IF(AND(ISNUMBER($Z$388),$B$208=1),$Z$388,HLOOKUP(INDIRECT(ADDRESS(2,COLUMN())),OFFSET($BN$2,0,0,ROW()-1,60),ROW()-1,FALSE))</f>
        <v/>
      </c>
      <c r="AA186" t="str">
        <f ca="1">IF(AND(ISNUMBER($AA$388),$B$208=1),$AA$388,HLOOKUP(INDIRECT(ADDRESS(2,COLUMN())),OFFSET($BN$2,0,0,ROW()-1,60),ROW()-1,FALSE))</f>
        <v/>
      </c>
      <c r="AB186" t="str">
        <f ca="1">IF(AND(ISNUMBER($AB$388),$B$208=1),$AB$388,HLOOKUP(INDIRECT(ADDRESS(2,COLUMN())),OFFSET($BN$2,0,0,ROW()-1,60),ROW()-1,FALSE))</f>
        <v/>
      </c>
      <c r="AC186" t="str">
        <f ca="1">IF(AND(ISNUMBER($AC$388),$B$208=1),$AC$388,HLOOKUP(INDIRECT(ADDRESS(2,COLUMN())),OFFSET($BN$2,0,0,ROW()-1,60),ROW()-1,FALSE))</f>
        <v/>
      </c>
      <c r="AD186" t="str">
        <f ca="1">IF(AND(ISNUMBER($AD$388),$B$208=1),$AD$388,HLOOKUP(INDIRECT(ADDRESS(2,COLUMN())),OFFSET($BN$2,0,0,ROW()-1,60),ROW()-1,FALSE))</f>
        <v/>
      </c>
      <c r="AE186" t="str">
        <f ca="1">IF(AND(ISNUMBER($AE$388),$B$208=1),$AE$388,HLOOKUP(INDIRECT(ADDRESS(2,COLUMN())),OFFSET($BN$2,0,0,ROW()-1,60),ROW()-1,FALSE))</f>
        <v/>
      </c>
      <c r="AF186" t="str">
        <f ca="1">IF(AND(ISNUMBER($AF$388),$B$208=1),$AF$388,HLOOKUP(INDIRECT(ADDRESS(2,COLUMN())),OFFSET($BN$2,0,0,ROW()-1,60),ROW()-1,FALSE))</f>
        <v/>
      </c>
      <c r="AG186" t="str">
        <f ca="1">IF(AND(ISNUMBER($AG$388),$B$208=1),$AG$388,HLOOKUP(INDIRECT(ADDRESS(2,COLUMN())),OFFSET($BN$2,0,0,ROW()-1,60),ROW()-1,FALSE))</f>
        <v/>
      </c>
      <c r="AH186" t="str">
        <f ca="1">IF(AND(ISNUMBER($AH$388),$B$208=1),$AH$388,HLOOKUP(INDIRECT(ADDRESS(2,COLUMN())),OFFSET($BN$2,0,0,ROW()-1,60),ROW()-1,FALSE))</f>
        <v/>
      </c>
      <c r="AI186" t="str">
        <f ca="1">IF(AND(ISNUMBER($AI$388),$B$208=1),$AI$388,HLOOKUP(INDIRECT(ADDRESS(2,COLUMN())),OFFSET($BN$2,0,0,ROW()-1,60),ROW()-1,FALSE))</f>
        <v/>
      </c>
      <c r="AJ186" t="str">
        <f ca="1">IF(AND(ISNUMBER($AJ$388),$B$208=1),$AJ$388,HLOOKUP(INDIRECT(ADDRESS(2,COLUMN())),OFFSET($BN$2,0,0,ROW()-1,60),ROW()-1,FALSE))</f>
        <v/>
      </c>
      <c r="AK186" t="str">
        <f ca="1">IF(AND(ISNUMBER($AK$388),$B$208=1),$AK$388,HLOOKUP(INDIRECT(ADDRESS(2,COLUMN())),OFFSET($BN$2,0,0,ROW()-1,60),ROW()-1,FALSE))</f>
        <v/>
      </c>
      <c r="AL186" t="str">
        <f ca="1">IF(AND(ISNUMBER($AL$388),$B$208=1),$AL$388,HLOOKUP(INDIRECT(ADDRESS(2,COLUMN())),OFFSET($BN$2,0,0,ROW()-1,60),ROW()-1,FALSE))</f>
        <v/>
      </c>
      <c r="AM186" t="str">
        <f ca="1">IF(AND(ISNUMBER($AM$388),$B$208=1),$AM$388,HLOOKUP(INDIRECT(ADDRESS(2,COLUMN())),OFFSET($BN$2,0,0,ROW()-1,60),ROW()-1,FALSE))</f>
        <v/>
      </c>
      <c r="AN186" t="str">
        <f ca="1">IF(AND(ISNUMBER($AN$388),$B$208=1),$AN$388,HLOOKUP(INDIRECT(ADDRESS(2,COLUMN())),OFFSET($BN$2,0,0,ROW()-1,60),ROW()-1,FALSE))</f>
        <v/>
      </c>
      <c r="AO186" t="str">
        <f ca="1">IF(AND(ISNUMBER($AO$388),$B$208=1),$AO$388,HLOOKUP(INDIRECT(ADDRESS(2,COLUMN())),OFFSET($BN$2,0,0,ROW()-1,60),ROW()-1,FALSE))</f>
        <v/>
      </c>
      <c r="AP186" t="str">
        <f ca="1">IF(AND(ISNUMBER($AP$388),$B$208=1),$AP$388,HLOOKUP(INDIRECT(ADDRESS(2,COLUMN())),OFFSET($BN$2,0,0,ROW()-1,60),ROW()-1,FALSE))</f>
        <v/>
      </c>
      <c r="AQ186" t="str">
        <f ca="1">IF(AND(ISNUMBER($AQ$388),$B$208=1),$AQ$388,HLOOKUP(INDIRECT(ADDRESS(2,COLUMN())),OFFSET($BN$2,0,0,ROW()-1,60),ROW()-1,FALSE))</f>
        <v/>
      </c>
      <c r="AR186" t="str">
        <f ca="1">IF(AND(ISNUMBER($AR$388),$B$208=1),$AR$388,HLOOKUP(INDIRECT(ADDRESS(2,COLUMN())),OFFSET($BN$2,0,0,ROW()-1,60),ROW()-1,FALSE))</f>
        <v/>
      </c>
      <c r="AS186" t="str">
        <f ca="1">IF(AND(ISNUMBER($AS$388),$B$208=1),$AS$388,HLOOKUP(INDIRECT(ADDRESS(2,COLUMN())),OFFSET($BN$2,0,0,ROW()-1,60),ROW()-1,FALSE))</f>
        <v/>
      </c>
      <c r="AT186" t="str">
        <f ca="1">IF(AND(ISNUMBER($AT$388),$B$208=1),$AT$388,HLOOKUP(INDIRECT(ADDRESS(2,COLUMN())),OFFSET($BN$2,0,0,ROW()-1,60),ROW()-1,FALSE))</f>
        <v/>
      </c>
      <c r="AU186" t="str">
        <f ca="1">IF(AND(ISNUMBER($AU$388),$B$208=1),$AU$388,HLOOKUP(INDIRECT(ADDRESS(2,COLUMN())),OFFSET($BN$2,0,0,ROW()-1,60),ROW()-1,FALSE))</f>
        <v/>
      </c>
      <c r="AV186" t="str">
        <f ca="1">IF(AND(ISNUMBER($AV$388),$B$208=1),$AV$388,HLOOKUP(INDIRECT(ADDRESS(2,COLUMN())),OFFSET($BN$2,0,0,ROW()-1,60),ROW()-1,FALSE))</f>
        <v/>
      </c>
      <c r="AW186" t="str">
        <f ca="1">IF(AND(ISNUMBER($AW$388),$B$208=1),$AW$388,HLOOKUP(INDIRECT(ADDRESS(2,COLUMN())),OFFSET($BN$2,0,0,ROW()-1,60),ROW()-1,FALSE))</f>
        <v/>
      </c>
      <c r="AX186" t="str">
        <f ca="1">IF(AND(ISNUMBER($AX$388),$B$208=1),$AX$388,HLOOKUP(INDIRECT(ADDRESS(2,COLUMN())),OFFSET($BN$2,0,0,ROW()-1,60),ROW()-1,FALSE))</f>
        <v/>
      </c>
      <c r="AY186" t="str">
        <f ca="1">IF(AND(ISNUMBER($AY$388),$B$208=1),$AY$388,HLOOKUP(INDIRECT(ADDRESS(2,COLUMN())),OFFSET($BN$2,0,0,ROW()-1,60),ROW()-1,FALSE))</f>
        <v/>
      </c>
      <c r="AZ186" t="str">
        <f ca="1">IF(AND(ISNUMBER($AZ$388),$B$208=1),$AZ$388,HLOOKUP(INDIRECT(ADDRESS(2,COLUMN())),OFFSET($BN$2,0,0,ROW()-1,60),ROW()-1,FALSE))</f>
        <v/>
      </c>
      <c r="BA186" t="str">
        <f ca="1">IF(AND(ISNUMBER($BA$388),$B$208=1),$BA$388,HLOOKUP(INDIRECT(ADDRESS(2,COLUMN())),OFFSET($BN$2,0,0,ROW()-1,60),ROW()-1,FALSE))</f>
        <v/>
      </c>
      <c r="BB186" t="str">
        <f ca="1">IF(AND(ISNUMBER($BB$388),$B$208=1),$BB$388,HLOOKUP(INDIRECT(ADDRESS(2,COLUMN())),OFFSET($BN$2,0,0,ROW()-1,60),ROW()-1,FALSE))</f>
        <v/>
      </c>
      <c r="BC186" t="str">
        <f ca="1">IF(AND(ISNUMBER($BC$388),$B$208=1),$BC$388,HLOOKUP(INDIRECT(ADDRESS(2,COLUMN())),OFFSET($BN$2,0,0,ROW()-1,60),ROW()-1,FALSE))</f>
        <v/>
      </c>
      <c r="BD186" t="str">
        <f ca="1">IF(AND(ISNUMBER($BD$388),$B$208=1),$BD$388,HLOOKUP(INDIRECT(ADDRESS(2,COLUMN())),OFFSET($BN$2,0,0,ROW()-1,60),ROW()-1,FALSE))</f>
        <v/>
      </c>
      <c r="BE186" t="str">
        <f ca="1">IF(AND(ISNUMBER($BE$388),$B$208=1),$BE$388,HLOOKUP(INDIRECT(ADDRESS(2,COLUMN())),OFFSET($BN$2,0,0,ROW()-1,60),ROW()-1,FALSE))</f>
        <v/>
      </c>
      <c r="BF186" t="str">
        <f ca="1">IF(AND(ISNUMBER($BF$388),$B$208=1),$BF$388,HLOOKUP(INDIRECT(ADDRESS(2,COLUMN())),OFFSET($BN$2,0,0,ROW()-1,60),ROW()-1,FALSE))</f>
        <v/>
      </c>
      <c r="BG186" t="str">
        <f ca="1">IF(AND(ISNUMBER($BG$388),$B$208=1),$BG$388,HLOOKUP(INDIRECT(ADDRESS(2,COLUMN())),OFFSET($BN$2,0,0,ROW()-1,60),ROW()-1,FALSE))</f>
        <v/>
      </c>
      <c r="BH186" t="str">
        <f ca="1">IF(AND(ISNUMBER($BH$388),$B$208=1),$BH$388,HLOOKUP(INDIRECT(ADDRESS(2,COLUMN())),OFFSET($BN$2,0,0,ROW()-1,60),ROW()-1,FALSE))</f>
        <v/>
      </c>
      <c r="BI186" t="str">
        <f ca="1">IF(AND(ISNUMBER($BI$388),$B$208=1),$BI$388,HLOOKUP(INDIRECT(ADDRESS(2,COLUMN())),OFFSET($BN$2,0,0,ROW()-1,60),ROW()-1,FALSE))</f>
        <v/>
      </c>
      <c r="BJ186" t="str">
        <f ca="1">IF(AND(ISNUMBER($BJ$388),$B$208=1),$BJ$388,HLOOKUP(INDIRECT(ADDRESS(2,COLUMN())),OFFSET($BN$2,0,0,ROW()-1,60),ROW()-1,FALSE))</f>
        <v/>
      </c>
      <c r="BK186" t="str">
        <f ca="1">IF(AND(ISNUMBER($BK$388),$B$208=1),$BK$388,HLOOKUP(INDIRECT(ADDRESS(2,COLUMN())),OFFSET($BN$2,0,0,ROW()-1,60),ROW()-1,FALSE))</f>
        <v/>
      </c>
      <c r="BL186" t="str">
        <f ca="1">IF(AND(ISNUMBER($BL$388),$B$208=1),$BL$388,HLOOKUP(INDIRECT(ADDRESS(2,COLUMN())),OFFSET($BN$2,0,0,ROW()-1,60),ROW()-1,FALSE))</f>
        <v/>
      </c>
      <c r="BM186" t="str">
        <f ca="1">IF(AND(ISNUMBER($BM$388),$B$208=1),$BM$388,HLOOKUP(INDIRECT(ADDRESS(2,COLUMN())),OFFSET($BN$2,0,0,ROW()-1,60),ROW()-1,FALSE))</f>
        <v/>
      </c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  <c r="BT186" t="str">
        <f>""</f>
        <v/>
      </c>
      <c r="BU186" t="str">
        <f>""</f>
        <v/>
      </c>
      <c r="BV186" t="str">
        <f>""</f>
        <v/>
      </c>
      <c r="BW186" t="str">
        <f>""</f>
        <v/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  <c r="CH186" t="str">
        <f>""</f>
        <v/>
      </c>
      <c r="CI186" t="str">
        <f>""</f>
        <v/>
      </c>
      <c r="CJ186" t="str">
        <f>""</f>
        <v/>
      </c>
      <c r="CK186" t="str">
        <f>""</f>
        <v/>
      </c>
      <c r="CL186" t="str">
        <f>""</f>
        <v/>
      </c>
      <c r="CM186" t="str">
        <f>""</f>
        <v/>
      </c>
      <c r="CN186" t="str">
        <f>""</f>
        <v/>
      </c>
      <c r="CO186" t="str">
        <f>""</f>
        <v/>
      </c>
      <c r="CP186" t="str">
        <f>""</f>
        <v/>
      </c>
      <c r="CQ186" t="str">
        <f>""</f>
        <v/>
      </c>
      <c r="CR186" t="str">
        <f>""</f>
        <v/>
      </c>
      <c r="CS186" t="str">
        <f>""</f>
        <v/>
      </c>
      <c r="CT186" t="str">
        <f>""</f>
        <v/>
      </c>
      <c r="CU186" t="str">
        <f>""</f>
        <v/>
      </c>
      <c r="CV186" t="str">
        <f>""</f>
        <v/>
      </c>
      <c r="CW186" t="str">
        <f>""</f>
        <v/>
      </c>
      <c r="CX186" t="str">
        <f>""</f>
        <v/>
      </c>
      <c r="CY186" t="str">
        <f>""</f>
        <v/>
      </c>
      <c r="CZ186" t="str">
        <f>""</f>
        <v/>
      </c>
      <c r="DA186" t="str">
        <f>""</f>
        <v/>
      </c>
      <c r="DB186" t="str">
        <f>""</f>
        <v/>
      </c>
      <c r="DC186" t="str">
        <f>""</f>
        <v/>
      </c>
      <c r="DD186" t="str">
        <f>""</f>
        <v/>
      </c>
      <c r="DE186" t="str">
        <f>""</f>
        <v/>
      </c>
      <c r="DF186" t="str">
        <f>""</f>
        <v/>
      </c>
      <c r="DG186" t="str">
        <f>""</f>
        <v/>
      </c>
      <c r="DH186" t="str">
        <f>""</f>
        <v/>
      </c>
      <c r="DI186" t="str">
        <f>""</f>
        <v/>
      </c>
      <c r="DJ186" t="str">
        <f>""</f>
        <v/>
      </c>
      <c r="DK186" t="str">
        <f>""</f>
        <v/>
      </c>
      <c r="DL186" t="str">
        <f>""</f>
        <v/>
      </c>
      <c r="DM186" t="str">
        <f>""</f>
        <v/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 t="str">
        <f>""</f>
        <v/>
      </c>
      <c r="DU186" t="str">
        <f>""</f>
        <v/>
      </c>
    </row>
    <row r="187" spans="1:125" x14ac:dyDescent="0.25">
      <c r="A187" t="str">
        <f>"    Svenska Handelsbanken AB"</f>
        <v xml:space="preserve">    Svenska Handelsbanken AB</v>
      </c>
      <c r="B187" t="str">
        <f>"SHBA SS Equity"</f>
        <v>SHBA SS Equity</v>
      </c>
      <c r="C187" t="str">
        <f t="shared" si="12"/>
        <v>BS018</v>
      </c>
      <c r="D187" t="str">
        <f t="shared" si="13"/>
        <v>BS_OTHER_LOAN</v>
      </c>
      <c r="E187" t="str">
        <f t="shared" si="14"/>
        <v>Dynamic</v>
      </c>
      <c r="F187">
        <f ca="1">IF(AND(ISNUMBER($F$389),$B$208=1),$F$389,HLOOKUP(INDIRECT(ADDRESS(2,COLUMN())),OFFSET($BN$2,0,0,ROW()-1,60),ROW()-1,FALSE))</f>
        <v>1727.956803</v>
      </c>
      <c r="G187">
        <f ca="1">IF(AND(ISNUMBER($G$389),$B$208=1),$G$389,HLOOKUP(INDIRECT(ADDRESS(2,COLUMN())),OFFSET($BN$2,0,0,ROW()-1,60),ROW()-1,FALSE))</f>
        <v>1973.550849</v>
      </c>
      <c r="H187">
        <f ca="1">IF(AND(ISNUMBER($H$389),$B$208=1),$H$389,HLOOKUP(INDIRECT(ADDRESS(2,COLUMN())),OFFSET($BN$2,0,0,ROW()-1,60),ROW()-1,FALSE))</f>
        <v>2273.0412310000002</v>
      </c>
      <c r="I187">
        <f ca="1">IF(AND(ISNUMBER($I$389),$B$208=1),$I$389,HLOOKUP(INDIRECT(ADDRESS(2,COLUMN())),OFFSET($BN$2,0,0,ROW()-1,60),ROW()-1,FALSE))</f>
        <v>2113.8332820000001</v>
      </c>
      <c r="J187">
        <f ca="1">IF(AND(ISNUMBER($J$389),$B$208=1),$J$389,HLOOKUP(INDIRECT(ADDRESS(2,COLUMN())),OFFSET($BN$2,0,0,ROW()-1,60),ROW()-1,FALSE))</f>
        <v>2036.839309</v>
      </c>
      <c r="K187">
        <f ca="1">IF(AND(ISNUMBER($K$389),$B$208=1),$K$389,HLOOKUP(INDIRECT(ADDRESS(2,COLUMN())),OFFSET($BN$2,0,0,ROW()-1,60),ROW()-1,FALSE))</f>
        <v>2560.2532799999999</v>
      </c>
      <c r="L187">
        <f ca="1">IF(AND(ISNUMBER($L$389),$B$208=1),$L$389,HLOOKUP(INDIRECT(ADDRESS(2,COLUMN())),OFFSET($BN$2,0,0,ROW()-1,60),ROW()-1,FALSE))</f>
        <v>2825.374785</v>
      </c>
      <c r="M187">
        <f ca="1">IF(AND(ISNUMBER($M$389),$B$208=1),$M$389,HLOOKUP(INDIRECT(ADDRESS(2,COLUMN())),OFFSET($BN$2,0,0,ROW()-1,60),ROW()-1,FALSE))</f>
        <v>3144.46731</v>
      </c>
      <c r="N187">
        <f ca="1">IF(AND(ISNUMBER($N$389),$B$208=1),$N$389,HLOOKUP(INDIRECT(ADDRESS(2,COLUMN())),OFFSET($BN$2,0,0,ROW()-1,60),ROW()-1,FALSE))</f>
        <v>3763.9172330000001</v>
      </c>
      <c r="O187">
        <f ca="1">IF(AND(ISNUMBER($O$389),$B$208=1),$O$389,HLOOKUP(INDIRECT(ADDRESS(2,COLUMN())),OFFSET($BN$2,0,0,ROW()-1,60),ROW()-1,FALSE))</f>
        <v>5312.5645850000001</v>
      </c>
      <c r="P187">
        <f ca="1">IF(AND(ISNUMBER($P$389),$B$208=1),$P$389,HLOOKUP(INDIRECT(ADDRESS(2,COLUMN())),OFFSET($BN$2,0,0,ROW()-1,60),ROW()-1,FALSE))</f>
        <v>5635.8729110000004</v>
      </c>
      <c r="Q187">
        <f ca="1">IF(AND(ISNUMBER($Q$389),$B$208=1),$Q$389,HLOOKUP(INDIRECT(ADDRESS(2,COLUMN())),OFFSET($BN$2,0,0,ROW()-1,60),ROW()-1,FALSE))</f>
        <v>6002.713315</v>
      </c>
      <c r="R187">
        <f ca="1">IF(AND(ISNUMBER($R$389),$B$208=1),$R$389,HLOOKUP(INDIRECT(ADDRESS(2,COLUMN())),OFFSET($BN$2,0,0,ROW()-1,60),ROW()-1,FALSE))</f>
        <v>5920.1281879999997</v>
      </c>
      <c r="S187">
        <f ca="1">IF(AND(ISNUMBER($S$389),$B$208=1),$S$389,HLOOKUP(INDIRECT(ADDRESS(2,COLUMN())),OFFSET($BN$2,0,0,ROW()-1,60),ROW()-1,FALSE))</f>
        <v>4719.1948359999997</v>
      </c>
      <c r="T187">
        <f ca="1">IF(AND(ISNUMBER($T$389),$B$208=1),$T$389,HLOOKUP(INDIRECT(ADDRESS(2,COLUMN())),OFFSET($BN$2,0,0,ROW()-1,60),ROW()-1,FALSE))</f>
        <v>5023.5701230000004</v>
      </c>
      <c r="U187">
        <f ca="1">IF(AND(ISNUMBER($U$389),$B$208=1),$U$389,HLOOKUP(INDIRECT(ADDRESS(2,COLUMN())),OFFSET($BN$2,0,0,ROW()-1,60),ROW()-1,FALSE))</f>
        <v>4559.2670289999996</v>
      </c>
      <c r="V187">
        <f ca="1">IF(AND(ISNUMBER($V$389),$B$208=1),$V$389,HLOOKUP(INDIRECT(ADDRESS(2,COLUMN())),OFFSET($BN$2,0,0,ROW()-1,60),ROW()-1,FALSE))</f>
        <v>5077.8475470000003</v>
      </c>
      <c r="W187">
        <f ca="1">IF(AND(ISNUMBER($W$389),$B$208=1),$W$389,HLOOKUP(INDIRECT(ADDRESS(2,COLUMN())),OFFSET($BN$2,0,0,ROW()-1,60),ROW()-1,FALSE))</f>
        <v>4948.9521850000001</v>
      </c>
      <c r="X187">
        <f ca="1">IF(AND(ISNUMBER($X$389),$B$208=1),$X$389,HLOOKUP(INDIRECT(ADDRESS(2,COLUMN())),OFFSET($BN$2,0,0,ROW()-1,60),ROW()-1,FALSE))</f>
        <v>5953.7263249999996</v>
      </c>
      <c r="Y187">
        <f ca="1">IF(AND(ISNUMBER($Y$389),$B$208=1),$Y$389,HLOOKUP(INDIRECT(ADDRESS(2,COLUMN())),OFFSET($BN$2,0,0,ROW()-1,60),ROW()-1,FALSE))</f>
        <v>6383.8936519999997</v>
      </c>
      <c r="Z187">
        <f ca="1">IF(AND(ISNUMBER($Z$389),$B$208=1),$Z$389,HLOOKUP(INDIRECT(ADDRESS(2,COLUMN())),OFFSET($BN$2,0,0,ROW()-1,60),ROW()-1,FALSE))</f>
        <v>6405.7095010000003</v>
      </c>
      <c r="AA187">
        <f ca="1">IF(AND(ISNUMBER($AA$389),$B$208=1),$AA$389,HLOOKUP(INDIRECT(ADDRESS(2,COLUMN())),OFFSET($BN$2,0,0,ROW()-1,60),ROW()-1,FALSE))</f>
        <v>6430.1846509999996</v>
      </c>
      <c r="AB187">
        <f ca="1">IF(AND(ISNUMBER($AB$389),$B$208=1),$AB$389,HLOOKUP(INDIRECT(ADDRESS(2,COLUMN())),OFFSET($BN$2,0,0,ROW()-1,60),ROW()-1,FALSE))</f>
        <v>7905.3763010000002</v>
      </c>
      <c r="AC187">
        <f ca="1">IF(AND(ISNUMBER($AC$389),$B$208=1),$AC$389,HLOOKUP(INDIRECT(ADDRESS(2,COLUMN())),OFFSET($BN$2,0,0,ROW()-1,60),ROW()-1,FALSE))</f>
        <v>7481.0344320000004</v>
      </c>
      <c r="AD187">
        <f ca="1">IF(AND(ISNUMBER($AD$389),$B$208=1),$AD$389,HLOOKUP(INDIRECT(ADDRESS(2,COLUMN())),OFFSET($BN$2,0,0,ROW()-1,60),ROW()-1,FALSE))</f>
        <v>8925.1536369999994</v>
      </c>
      <c r="AE187">
        <f ca="1">IF(AND(ISNUMBER($AE$389),$B$208=1),$AE$389,HLOOKUP(INDIRECT(ADDRESS(2,COLUMN())),OFFSET($BN$2,0,0,ROW()-1,60),ROW()-1,FALSE))</f>
        <v>8842.9248060000009</v>
      </c>
      <c r="AF187">
        <f ca="1">IF(AND(ISNUMBER($AF$389),$B$208=1),$AF$389,HLOOKUP(INDIRECT(ADDRESS(2,COLUMN())),OFFSET($BN$2,0,0,ROW()-1,60),ROW()-1,FALSE))</f>
        <v>7831.1854279999998</v>
      </c>
      <c r="AG187">
        <f ca="1">IF(AND(ISNUMBER($AG$389),$B$208=1),$AG$389,HLOOKUP(INDIRECT(ADDRESS(2,COLUMN())),OFFSET($BN$2,0,0,ROW()-1,60),ROW()-1,FALSE))</f>
        <v>8337.2365769999997</v>
      </c>
      <c r="AH187">
        <f ca="1">IF(AND(ISNUMBER($AH$389),$B$208=1),$AH$389,HLOOKUP(INDIRECT(ADDRESS(2,COLUMN())),OFFSET($BN$2,0,0,ROW()-1,60),ROW()-1,FALSE))</f>
        <v>8464.9318469999998</v>
      </c>
      <c r="AI187">
        <f ca="1">IF(AND(ISNUMBER($AI$389),$B$208=1),$AI$389,HLOOKUP(INDIRECT(ADDRESS(2,COLUMN())),OFFSET($BN$2,0,0,ROW()-1,60),ROW()-1,FALSE))</f>
        <v>8933.9808369999992</v>
      </c>
      <c r="AJ187">
        <f ca="1">IF(AND(ISNUMBER($AJ$389),$B$208=1),$AJ$389,HLOOKUP(INDIRECT(ADDRESS(2,COLUMN())),OFFSET($BN$2,0,0,ROW()-1,60),ROW()-1,FALSE))</f>
        <v>9156.5723739999994</v>
      </c>
      <c r="AK187">
        <f ca="1">IF(AND(ISNUMBER($AK$389),$B$208=1),$AK$389,HLOOKUP(INDIRECT(ADDRESS(2,COLUMN())),OFFSET($BN$2,0,0,ROW()-1,60),ROW()-1,FALSE))</f>
        <v>8871.4084849999999</v>
      </c>
      <c r="AL187">
        <f ca="1">IF(AND(ISNUMBER($AL$389),$B$208=1),$AL$389,HLOOKUP(INDIRECT(ADDRESS(2,COLUMN())),OFFSET($BN$2,0,0,ROW()-1,60),ROW()-1,FALSE))</f>
        <v>8813.0424619999994</v>
      </c>
      <c r="AM187">
        <f ca="1">IF(AND(ISNUMBER($AM$389),$B$208=1),$AM$389,HLOOKUP(INDIRECT(ADDRESS(2,COLUMN())),OFFSET($BN$2,0,0,ROW()-1,60),ROW()-1,FALSE))</f>
        <v>7835.5478009999997</v>
      </c>
      <c r="AN187">
        <f ca="1">IF(AND(ISNUMBER($AN$389),$B$208=1),$AN$389,HLOOKUP(INDIRECT(ADDRESS(2,COLUMN())),OFFSET($BN$2,0,0,ROW()-1,60),ROW()-1,FALSE))</f>
        <v>8691.5651550000002</v>
      </c>
      <c r="AO187">
        <f ca="1">IF(AND(ISNUMBER($AO$389),$B$208=1),$AO$389,HLOOKUP(INDIRECT(ADDRESS(2,COLUMN())),OFFSET($BN$2,0,0,ROW()-1,60),ROW()-1,FALSE))</f>
        <v>9319.7276550000006</v>
      </c>
      <c r="AP187">
        <f ca="1">IF(AND(ISNUMBER($AP$389),$B$208=1),$AP$389,HLOOKUP(INDIRECT(ADDRESS(2,COLUMN())),OFFSET($BN$2,0,0,ROW()-1,60),ROW()-1,FALSE))</f>
        <v>9795.4450890000007</v>
      </c>
      <c r="AQ187" t="str">
        <f ca="1">IF(AND(ISNUMBER($AQ$389),$B$208=1),$AQ$389,HLOOKUP(INDIRECT(ADDRESS(2,COLUMN())),OFFSET($BN$2,0,0,ROW()-1,60),ROW()-1,FALSE))</f>
        <v/>
      </c>
      <c r="AR187" t="str">
        <f ca="1">IF(AND(ISNUMBER($AR$389),$B$208=1),$AR$389,HLOOKUP(INDIRECT(ADDRESS(2,COLUMN())),OFFSET($BN$2,0,0,ROW()-1,60),ROW()-1,FALSE))</f>
        <v/>
      </c>
      <c r="AS187" t="str">
        <f ca="1">IF(AND(ISNUMBER($AS$389),$B$208=1),$AS$389,HLOOKUP(INDIRECT(ADDRESS(2,COLUMN())),OFFSET($BN$2,0,0,ROW()-1,60),ROW()-1,FALSE))</f>
        <v/>
      </c>
      <c r="AT187">
        <f ca="1">IF(AND(ISNUMBER($AT$389),$B$208=1),$AT$389,HLOOKUP(INDIRECT(ADDRESS(2,COLUMN())),OFFSET($BN$2,0,0,ROW()-1,60),ROW()-1,FALSE))</f>
        <v>7732.0406869999997</v>
      </c>
      <c r="AU187" t="str">
        <f ca="1">IF(AND(ISNUMBER($AU$389),$B$208=1),$AU$389,HLOOKUP(INDIRECT(ADDRESS(2,COLUMN())),OFFSET($BN$2,0,0,ROW()-1,60),ROW()-1,FALSE))</f>
        <v/>
      </c>
      <c r="AV187" t="str">
        <f ca="1">IF(AND(ISNUMBER($AV$389),$B$208=1),$AV$389,HLOOKUP(INDIRECT(ADDRESS(2,COLUMN())),OFFSET($BN$2,0,0,ROW()-1,60),ROW()-1,FALSE))</f>
        <v/>
      </c>
      <c r="AW187" t="str">
        <f ca="1">IF(AND(ISNUMBER($AW$389),$B$208=1),$AW$389,HLOOKUP(INDIRECT(ADDRESS(2,COLUMN())),OFFSET($BN$2,0,0,ROW()-1,60),ROW()-1,FALSE))</f>
        <v/>
      </c>
      <c r="AX187">
        <f ca="1">IF(AND(ISNUMBER($AX$389),$B$208=1),$AX$389,HLOOKUP(INDIRECT(ADDRESS(2,COLUMN())),OFFSET($BN$2,0,0,ROW()-1,60),ROW()-1,FALSE))</f>
        <v>9161.9446210000006</v>
      </c>
      <c r="AY187" t="str">
        <f ca="1">IF(AND(ISNUMBER($AY$389),$B$208=1),$AY$389,HLOOKUP(INDIRECT(ADDRESS(2,COLUMN())),OFFSET($BN$2,0,0,ROW()-1,60),ROW()-1,FALSE))</f>
        <v/>
      </c>
      <c r="AZ187" t="str">
        <f ca="1">IF(AND(ISNUMBER($AZ$389),$B$208=1),$AZ$389,HLOOKUP(INDIRECT(ADDRESS(2,COLUMN())),OFFSET($BN$2,0,0,ROW()-1,60),ROW()-1,FALSE))</f>
        <v/>
      </c>
      <c r="BA187" t="str">
        <f ca="1">IF(AND(ISNUMBER($BA$389),$B$208=1),$BA$389,HLOOKUP(INDIRECT(ADDRESS(2,COLUMN())),OFFSET($BN$2,0,0,ROW()-1,60),ROW()-1,FALSE))</f>
        <v/>
      </c>
      <c r="BB187">
        <f ca="1">IF(AND(ISNUMBER($BB$389),$B$208=1),$BB$389,HLOOKUP(INDIRECT(ADDRESS(2,COLUMN())),OFFSET($BN$2,0,0,ROW()-1,60),ROW()-1,FALSE))</f>
        <v>9248.7427489999991</v>
      </c>
      <c r="BC187" t="str">
        <f ca="1">IF(AND(ISNUMBER($BC$389),$B$208=1),$BC$389,HLOOKUP(INDIRECT(ADDRESS(2,COLUMN())),OFFSET($BN$2,0,0,ROW()-1,60),ROW()-1,FALSE))</f>
        <v/>
      </c>
      <c r="BD187" t="str">
        <f ca="1">IF(AND(ISNUMBER($BD$389),$B$208=1),$BD$389,HLOOKUP(INDIRECT(ADDRESS(2,COLUMN())),OFFSET($BN$2,0,0,ROW()-1,60),ROW()-1,FALSE))</f>
        <v/>
      </c>
      <c r="BE187" t="str">
        <f ca="1">IF(AND(ISNUMBER($BE$389),$B$208=1),$BE$389,HLOOKUP(INDIRECT(ADDRESS(2,COLUMN())),OFFSET($BN$2,0,0,ROW()-1,60),ROW()-1,FALSE))</f>
        <v/>
      </c>
      <c r="BF187" t="str">
        <f ca="1">IF(AND(ISNUMBER($BF$389),$B$208=1),$BF$389,HLOOKUP(INDIRECT(ADDRESS(2,COLUMN())),OFFSET($BN$2,0,0,ROW()-1,60),ROW()-1,FALSE))</f>
        <v/>
      </c>
      <c r="BG187" t="str">
        <f ca="1">IF(AND(ISNUMBER($BG$389),$B$208=1),$BG$389,HLOOKUP(INDIRECT(ADDRESS(2,COLUMN())),OFFSET($BN$2,0,0,ROW()-1,60),ROW()-1,FALSE))</f>
        <v/>
      </c>
      <c r="BH187" t="str">
        <f ca="1">IF(AND(ISNUMBER($BH$389),$B$208=1),$BH$389,HLOOKUP(INDIRECT(ADDRESS(2,COLUMN())),OFFSET($BN$2,0,0,ROW()-1,60),ROW()-1,FALSE))</f>
        <v/>
      </c>
      <c r="BI187" t="str">
        <f ca="1">IF(AND(ISNUMBER($BI$389),$B$208=1),$BI$389,HLOOKUP(INDIRECT(ADDRESS(2,COLUMN())),OFFSET($BN$2,0,0,ROW()-1,60),ROW()-1,FALSE))</f>
        <v/>
      </c>
      <c r="BJ187" t="str">
        <f ca="1">IF(AND(ISNUMBER($BJ$389),$B$208=1),$BJ$389,HLOOKUP(INDIRECT(ADDRESS(2,COLUMN())),OFFSET($BN$2,0,0,ROW()-1,60),ROW()-1,FALSE))</f>
        <v/>
      </c>
      <c r="BK187" t="str">
        <f ca="1">IF(AND(ISNUMBER($BK$389),$B$208=1),$BK$389,HLOOKUP(INDIRECT(ADDRESS(2,COLUMN())),OFFSET($BN$2,0,0,ROW()-1,60),ROW()-1,FALSE))</f>
        <v/>
      </c>
      <c r="BL187" t="str">
        <f ca="1">IF(AND(ISNUMBER($BL$389),$B$208=1),$BL$389,HLOOKUP(INDIRECT(ADDRESS(2,COLUMN())),OFFSET($BN$2,0,0,ROW()-1,60),ROW()-1,FALSE))</f>
        <v/>
      </c>
      <c r="BM187" t="str">
        <f ca="1">IF(AND(ISNUMBER($BM$389),$B$208=1),$BM$389,HLOOKUP(INDIRECT(ADDRESS(2,COLUMN())),OFFSET($BN$2,0,0,ROW()-1,60),ROW()-1,FALSE))</f>
        <v/>
      </c>
      <c r="BN187">
        <f>1727.956803</f>
        <v>1727.956803</v>
      </c>
      <c r="BO187">
        <f>1973.550849</f>
        <v>1973.550849</v>
      </c>
      <c r="BP187">
        <f>2273.041231</f>
        <v>2273.0412310000002</v>
      </c>
      <c r="BQ187">
        <f>2113.833282</f>
        <v>2113.8332820000001</v>
      </c>
      <c r="BR187">
        <f>2036.839309</f>
        <v>2036.839309</v>
      </c>
      <c r="BS187">
        <f>2560.25328</f>
        <v>2560.2532799999999</v>
      </c>
      <c r="BT187">
        <f>2825.374785</f>
        <v>2825.374785</v>
      </c>
      <c r="BU187">
        <f>3144.46731</f>
        <v>3144.46731</v>
      </c>
      <c r="BV187">
        <f>3763.917233</f>
        <v>3763.9172330000001</v>
      </c>
      <c r="BW187">
        <f>5312.564585</f>
        <v>5312.5645850000001</v>
      </c>
      <c r="BX187">
        <f>5635.872911</f>
        <v>5635.8729110000004</v>
      </c>
      <c r="BY187">
        <f>6002.713315</f>
        <v>6002.713315</v>
      </c>
      <c r="BZ187">
        <f>5920.128188</f>
        <v>5920.1281879999997</v>
      </c>
      <c r="CA187">
        <f>4719.194836</f>
        <v>4719.1948359999997</v>
      </c>
      <c r="CB187">
        <f>5023.570123</f>
        <v>5023.5701230000004</v>
      </c>
      <c r="CC187">
        <f>4559.267029</f>
        <v>4559.2670289999996</v>
      </c>
      <c r="CD187">
        <f>5077.847547</f>
        <v>5077.8475470000003</v>
      </c>
      <c r="CE187">
        <f>4948.952185</f>
        <v>4948.9521850000001</v>
      </c>
      <c r="CF187">
        <f>5953.726325</f>
        <v>5953.7263249999996</v>
      </c>
      <c r="CG187">
        <f>6383.893652</f>
        <v>6383.8936519999997</v>
      </c>
      <c r="CH187">
        <f>6405.709501</f>
        <v>6405.7095010000003</v>
      </c>
      <c r="CI187">
        <f>6430.184651</f>
        <v>6430.1846509999996</v>
      </c>
      <c r="CJ187">
        <f>7905.376301</f>
        <v>7905.3763010000002</v>
      </c>
      <c r="CK187">
        <f>7481.034432</f>
        <v>7481.0344320000004</v>
      </c>
      <c r="CL187">
        <f>8925.153637</f>
        <v>8925.1536369999994</v>
      </c>
      <c r="CM187">
        <f>8842.924806</f>
        <v>8842.9248060000009</v>
      </c>
      <c r="CN187">
        <f>7831.185428</f>
        <v>7831.1854279999998</v>
      </c>
      <c r="CO187">
        <f>8337.236577</f>
        <v>8337.2365769999997</v>
      </c>
      <c r="CP187">
        <f>8464.931847</f>
        <v>8464.9318469999998</v>
      </c>
      <c r="CQ187">
        <f>8933.980837</f>
        <v>8933.9808369999992</v>
      </c>
      <c r="CR187">
        <f>9156.572374</f>
        <v>9156.5723739999994</v>
      </c>
      <c r="CS187">
        <f>8871.408485</f>
        <v>8871.4084849999999</v>
      </c>
      <c r="CT187">
        <f>8813.042462</f>
        <v>8813.0424619999994</v>
      </c>
      <c r="CU187">
        <f>7835.547801</f>
        <v>7835.5478009999997</v>
      </c>
      <c r="CV187">
        <f>8691.565155</f>
        <v>8691.5651550000002</v>
      </c>
      <c r="CW187">
        <f>9319.727655</f>
        <v>9319.7276550000006</v>
      </c>
      <c r="CX187">
        <f>9795.445089</f>
        <v>9795.4450890000007</v>
      </c>
      <c r="CY187" t="str">
        <f>""</f>
        <v/>
      </c>
      <c r="CZ187" t="str">
        <f>""</f>
        <v/>
      </c>
      <c r="DA187" t="str">
        <f>""</f>
        <v/>
      </c>
      <c r="DB187">
        <f>7732.040687</f>
        <v>7732.0406869999997</v>
      </c>
      <c r="DC187" t="str">
        <f>""</f>
        <v/>
      </c>
      <c r="DD187" t="str">
        <f>""</f>
        <v/>
      </c>
      <c r="DE187" t="str">
        <f>""</f>
        <v/>
      </c>
      <c r="DF187">
        <f>9161.944621</f>
        <v>9161.9446210000006</v>
      </c>
      <c r="DG187" t="str">
        <f>""</f>
        <v/>
      </c>
      <c r="DH187" t="str">
        <f>""</f>
        <v/>
      </c>
      <c r="DI187" t="str">
        <f>""</f>
        <v/>
      </c>
      <c r="DJ187">
        <f>9248.742749</f>
        <v>9248.7427489999991</v>
      </c>
      <c r="DK187" t="str">
        <f>""</f>
        <v/>
      </c>
      <c r="DL187" t="str">
        <f>""</f>
        <v/>
      </c>
      <c r="DM187" t="str">
        <f>""</f>
        <v/>
      </c>
      <c r="DN187" t="str">
        <f>""</f>
        <v/>
      </c>
      <c r="DO187" t="str">
        <f>""</f>
        <v/>
      </c>
      <c r="DP187" t="str">
        <f>""</f>
        <v/>
      </c>
      <c r="DQ187" t="str">
        <f>""</f>
        <v/>
      </c>
      <c r="DR187" t="str">
        <f>""</f>
        <v/>
      </c>
      <c r="DS187" t="str">
        <f>""</f>
        <v/>
      </c>
      <c r="DT187" t="str">
        <f>""</f>
        <v/>
      </c>
      <c r="DU187" t="str">
        <f>""</f>
        <v/>
      </c>
    </row>
    <row r="188" spans="1:125" x14ac:dyDescent="0.25">
      <c r="A188" t="str">
        <f>"    Swedbank AB"</f>
        <v xml:space="preserve">    Swedbank AB</v>
      </c>
      <c r="B188" t="str">
        <f>"SWEDA SS Equity"</f>
        <v>SWEDA SS Equity</v>
      </c>
      <c r="C188" t="str">
        <f t="shared" si="12"/>
        <v>BS018</v>
      </c>
      <c r="D188" t="str">
        <f t="shared" si="13"/>
        <v>BS_OTHER_LOAN</v>
      </c>
      <c r="E188" t="str">
        <f t="shared" si="14"/>
        <v>Dynamic</v>
      </c>
      <c r="F188" t="str">
        <f ca="1">IF(AND(ISNUMBER($F$390),$B$208=1),$F$390,HLOOKUP(INDIRECT(ADDRESS(2,COLUMN())),OFFSET($BN$2,0,0,ROW()-1,60),ROW()-1,FALSE))</f>
        <v/>
      </c>
      <c r="G188">
        <f ca="1">IF(AND(ISNUMBER($G$390),$B$208=1),$G$390,HLOOKUP(INDIRECT(ADDRESS(2,COLUMN())),OFFSET($BN$2,0,0,ROW()-1,60),ROW()-1,FALSE))</f>
        <v>40776.241280000002</v>
      </c>
      <c r="H188">
        <f ca="1">IF(AND(ISNUMBER($H$390),$B$208=1),$H$390,HLOOKUP(INDIRECT(ADDRESS(2,COLUMN())),OFFSET($BN$2,0,0,ROW()-1,60),ROW()-1,FALSE))</f>
        <v>38530.844490000003</v>
      </c>
      <c r="I188">
        <f ca="1">IF(AND(ISNUMBER($I$390),$B$208=1),$I$390,HLOOKUP(INDIRECT(ADDRESS(2,COLUMN())),OFFSET($BN$2,0,0,ROW()-1,60),ROW()-1,FALSE))</f>
        <v>38314.453580000001</v>
      </c>
      <c r="J188">
        <f ca="1">IF(AND(ISNUMBER($J$390),$B$208=1),$J$390,HLOOKUP(INDIRECT(ADDRESS(2,COLUMN())),OFFSET($BN$2,0,0,ROW()-1,60),ROW()-1,FALSE))</f>
        <v>7328.0653890000003</v>
      </c>
      <c r="K188">
        <f ca="1">IF(AND(ISNUMBER($K$390),$B$208=1),$K$390,HLOOKUP(INDIRECT(ADDRESS(2,COLUMN())),OFFSET($BN$2,0,0,ROW()-1,60),ROW()-1,FALSE))</f>
        <v>2853.470276</v>
      </c>
      <c r="L188">
        <f ca="1">IF(AND(ISNUMBER($L$390),$B$208=1),$L$390,HLOOKUP(INDIRECT(ADDRESS(2,COLUMN())),OFFSET($BN$2,0,0,ROW()-1,60),ROW()-1,FALSE))</f>
        <v>0</v>
      </c>
      <c r="M188">
        <f ca="1">IF(AND(ISNUMBER($M$390),$B$208=1),$M$390,HLOOKUP(INDIRECT(ADDRESS(2,COLUMN())),OFFSET($BN$2,0,0,ROW()-1,60),ROW()-1,FALSE))</f>
        <v>36188.933709999998</v>
      </c>
      <c r="N188">
        <f ca="1">IF(AND(ISNUMBER($N$390),$B$208=1),$N$390,HLOOKUP(INDIRECT(ADDRESS(2,COLUMN())),OFFSET($BN$2,0,0,ROW()-1,60),ROW()-1,FALSE))</f>
        <v>1243.5233840000001</v>
      </c>
      <c r="O188">
        <f ca="1">IF(AND(ISNUMBER($O$390),$B$208=1),$O$390,HLOOKUP(INDIRECT(ADDRESS(2,COLUMN())),OFFSET($BN$2,0,0,ROW()-1,60),ROW()-1,FALSE))</f>
        <v>4139.0626130000001</v>
      </c>
      <c r="P188">
        <f ca="1">IF(AND(ISNUMBER($P$390),$B$208=1),$P$390,HLOOKUP(INDIRECT(ADDRESS(2,COLUMN())),OFFSET($BN$2,0,0,ROW()-1,60),ROW()-1,FALSE))</f>
        <v>6739.8019679999998</v>
      </c>
      <c r="Q188">
        <f ca="1">IF(AND(ISNUMBER($Q$390),$B$208=1),$Q$390,HLOOKUP(INDIRECT(ADDRESS(2,COLUMN())),OFFSET($BN$2,0,0,ROW()-1,60),ROW()-1,FALSE))</f>
        <v>3025.1708269999999</v>
      </c>
      <c r="R188">
        <f ca="1">IF(AND(ISNUMBER($R$390),$B$208=1),$R$390,HLOOKUP(INDIRECT(ADDRESS(2,COLUMN())),OFFSET($BN$2,0,0,ROW()-1,60),ROW()-1,FALSE))</f>
        <v>19.631392309999999</v>
      </c>
      <c r="S188">
        <f ca="1">IF(AND(ISNUMBER($S$390),$B$208=1),$S$390,HLOOKUP(INDIRECT(ADDRESS(2,COLUMN())),OFFSET($BN$2,0,0,ROW()-1,60),ROW()-1,FALSE))</f>
        <v>17.349256199999999</v>
      </c>
      <c r="T188">
        <f ca="1">IF(AND(ISNUMBER($T$390),$B$208=1),$T$390,HLOOKUP(INDIRECT(ADDRESS(2,COLUMN())),OFFSET($BN$2,0,0,ROW()-1,60),ROW()-1,FALSE))</f>
        <v>14.29643516</v>
      </c>
      <c r="U188">
        <f ca="1">IF(AND(ISNUMBER($U$390),$B$208=1),$U$390,HLOOKUP(INDIRECT(ADDRESS(2,COLUMN())),OFFSET($BN$2,0,0,ROW()-1,60),ROW()-1,FALSE))</f>
        <v>3611.0472970000001</v>
      </c>
      <c r="V188">
        <f ca="1">IF(AND(ISNUMBER($V$390),$B$208=1),$V$390,HLOOKUP(INDIRECT(ADDRESS(2,COLUMN())),OFFSET($BN$2,0,0,ROW()-1,60),ROW()-1,FALSE))</f>
        <v>2498.8098329999998</v>
      </c>
      <c r="W188">
        <f ca="1">IF(AND(ISNUMBER($W$390),$B$208=1),$W$390,HLOOKUP(INDIRECT(ADDRESS(2,COLUMN())),OFFSET($BN$2,0,0,ROW()-1,60),ROW()-1,FALSE))</f>
        <v>11.626206699999999</v>
      </c>
      <c r="X188">
        <f ca="1">IF(AND(ISNUMBER($X$390),$B$208=1),$X$390,HLOOKUP(INDIRECT(ADDRESS(2,COLUMN())),OFFSET($BN$2,0,0,ROW()-1,60),ROW()-1,FALSE))</f>
        <v>17.772602620000001</v>
      </c>
      <c r="Y188">
        <f ca="1">IF(AND(ISNUMBER($Y$390),$B$208=1),$Y$390,HLOOKUP(INDIRECT(ADDRESS(2,COLUMN())),OFFSET($BN$2,0,0,ROW()-1,60),ROW()-1,FALSE))</f>
        <v>0.36554067000000001</v>
      </c>
      <c r="Z188">
        <f ca="1">IF(AND(ISNUMBER($Z$390),$B$208=1),$Z$390,HLOOKUP(INDIRECT(ADDRESS(2,COLUMN())),OFFSET($BN$2,0,0,ROW()-1,60),ROW()-1,FALSE))</f>
        <v>0.38098041799999999</v>
      </c>
      <c r="AA188">
        <f ca="1">IF(AND(ISNUMBER($AA$390),$B$208=1),$AA$390,HLOOKUP(INDIRECT(ADDRESS(2,COLUMN())),OFFSET($BN$2,0,0,ROW()-1,60),ROW()-1,FALSE))</f>
        <v>186.9147538</v>
      </c>
      <c r="AB188">
        <f ca="1">IF(AND(ISNUMBER($AB$390),$B$208=1),$AB$390,HLOOKUP(INDIRECT(ADDRESS(2,COLUMN())),OFFSET($BN$2,0,0,ROW()-1,60),ROW()-1,FALSE))</f>
        <v>379.09298189999998</v>
      </c>
      <c r="AC188">
        <f ca="1">IF(AND(ISNUMBER($AC$390),$B$208=1),$AC$390,HLOOKUP(INDIRECT(ADDRESS(2,COLUMN())),OFFSET($BN$2,0,0,ROW()-1,60),ROW()-1,FALSE))</f>
        <v>1.247702866</v>
      </c>
      <c r="AD188">
        <f ca="1">IF(AND(ISNUMBER($AD$390),$B$208=1),$AD$390,HLOOKUP(INDIRECT(ADDRESS(2,COLUMN())),OFFSET($BN$2,0,0,ROW()-1,60),ROW()-1,FALSE))</f>
        <v>998.51336479999998</v>
      </c>
      <c r="AE188">
        <f ca="1">IF(AND(ISNUMBER($AE$390),$B$208=1),$AE$390,HLOOKUP(INDIRECT(ADDRESS(2,COLUMN())),OFFSET($BN$2,0,0,ROW()-1,60),ROW()-1,FALSE))</f>
        <v>23.17541756</v>
      </c>
      <c r="AF188">
        <f ca="1">IF(AND(ISNUMBER($AF$390),$B$208=1),$AF$390,HLOOKUP(INDIRECT(ADDRESS(2,COLUMN())),OFFSET($BN$2,0,0,ROW()-1,60),ROW()-1,FALSE))</f>
        <v>25.828132480000001</v>
      </c>
      <c r="AG188">
        <f ca="1">IF(AND(ISNUMBER($AG$390),$B$208=1),$AG$390,HLOOKUP(INDIRECT(ADDRESS(2,COLUMN())),OFFSET($BN$2,0,0,ROW()-1,60),ROW()-1,FALSE))</f>
        <v>548.54719729999999</v>
      </c>
      <c r="AH188">
        <f ca="1">IF(AND(ISNUMBER($AH$390),$B$208=1),$AH$390,HLOOKUP(INDIRECT(ADDRESS(2,COLUMN())),OFFSET($BN$2,0,0,ROW()-1,60),ROW()-1,FALSE))</f>
        <v>864.51363119999996</v>
      </c>
      <c r="AI188">
        <f ca="1">IF(AND(ISNUMBER($AI$390),$B$208=1),$AI$390,HLOOKUP(INDIRECT(ADDRESS(2,COLUMN())),OFFSET($BN$2,0,0,ROW()-1,60),ROW()-1,FALSE))</f>
        <v>86.230929140000001</v>
      </c>
      <c r="AJ188">
        <f ca="1">IF(AND(ISNUMBER($AJ$390),$B$208=1),$AJ$390,HLOOKUP(INDIRECT(ADDRESS(2,COLUMN())),OFFSET($BN$2,0,0,ROW()-1,60),ROW()-1,FALSE))</f>
        <v>292.3447079</v>
      </c>
      <c r="AK188">
        <f ca="1">IF(AND(ISNUMBER($AK$390),$B$208=1),$AK$390,HLOOKUP(INDIRECT(ADDRESS(2,COLUMN())),OFFSET($BN$2,0,0,ROW()-1,60),ROW()-1,FALSE))</f>
        <v>673.96332010000003</v>
      </c>
      <c r="AL188">
        <f ca="1">IF(AND(ISNUMBER($AL$390),$B$208=1),$AL$390,HLOOKUP(INDIRECT(ADDRESS(2,COLUMN())),OFFSET($BN$2,0,0,ROW()-1,60),ROW()-1,FALSE))</f>
        <v>529.96581460000004</v>
      </c>
      <c r="AM188">
        <f ca="1">IF(AND(ISNUMBER($AM$390),$B$208=1),$AM$390,HLOOKUP(INDIRECT(ADDRESS(2,COLUMN())),OFFSET($BN$2,0,0,ROW()-1,60),ROW()-1,FALSE))</f>
        <v>942.46620789999997</v>
      </c>
      <c r="AN188">
        <f ca="1">IF(AND(ISNUMBER($AN$390),$B$208=1),$AN$390,HLOOKUP(INDIRECT(ADDRESS(2,COLUMN())),OFFSET($BN$2,0,0,ROW()-1,60),ROW()-1,FALSE))</f>
        <v>721.95412669999996</v>
      </c>
      <c r="AO188">
        <f ca="1">IF(AND(ISNUMBER($AO$390),$B$208=1),$AO$390,HLOOKUP(INDIRECT(ADDRESS(2,COLUMN())),OFFSET($BN$2,0,0,ROW()-1,60),ROW()-1,FALSE))</f>
        <v>486.87247489999999</v>
      </c>
      <c r="AP188">
        <f ca="1">IF(AND(ISNUMBER($AP$390),$B$208=1),$AP$390,HLOOKUP(INDIRECT(ADDRESS(2,COLUMN())),OFFSET($BN$2,0,0,ROW()-1,60),ROW()-1,FALSE))</f>
        <v>949.75447899999995</v>
      </c>
      <c r="AQ188">
        <f ca="1">IF(AND(ISNUMBER($AQ$390),$B$208=1),$AQ$390,HLOOKUP(INDIRECT(ADDRESS(2,COLUMN())),OFFSET($BN$2,0,0,ROW()-1,60),ROW()-1,FALSE))</f>
        <v>193.04387199999999</v>
      </c>
      <c r="AR188">
        <f ca="1">IF(AND(ISNUMBER($AR$390),$B$208=1),$AR$390,HLOOKUP(INDIRECT(ADDRESS(2,COLUMN())),OFFSET($BN$2,0,0,ROW()-1,60),ROW()-1,FALSE))</f>
        <v>208.08885480000001</v>
      </c>
      <c r="AS188">
        <f ca="1">IF(AND(ISNUMBER($AS$390),$B$208=1),$AS$390,HLOOKUP(INDIRECT(ADDRESS(2,COLUMN())),OFFSET($BN$2,0,0,ROW()-1,60),ROW()-1,FALSE))</f>
        <v>226.8351399</v>
      </c>
      <c r="AT188">
        <f ca="1">IF(AND(ISNUMBER($AT$390),$B$208=1),$AT$390,HLOOKUP(INDIRECT(ADDRESS(2,COLUMN())),OFFSET($BN$2,0,0,ROW()-1,60),ROW()-1,FALSE))</f>
        <v>1754.2911630000001</v>
      </c>
      <c r="AU188">
        <f ca="1">IF(AND(ISNUMBER($AU$390),$B$208=1),$AU$390,HLOOKUP(INDIRECT(ADDRESS(2,COLUMN())),OFFSET($BN$2,0,0,ROW()-1,60),ROW()-1,FALSE))</f>
        <v>255.85673879999999</v>
      </c>
      <c r="AV188">
        <f ca="1">IF(AND(ISNUMBER($AV$390),$B$208=1),$AV$390,HLOOKUP(INDIRECT(ADDRESS(2,COLUMN())),OFFSET($BN$2,0,0,ROW()-1,60),ROW()-1,FALSE))</f>
        <v>242.5366764</v>
      </c>
      <c r="AW188">
        <f ca="1">IF(AND(ISNUMBER($AW$390),$B$208=1),$AW$390,HLOOKUP(INDIRECT(ADDRESS(2,COLUMN())),OFFSET($BN$2,0,0,ROW()-1,60),ROW()-1,FALSE))</f>
        <v>274.09085290000002</v>
      </c>
      <c r="AX188">
        <f ca="1">IF(AND(ISNUMBER($AX$390),$B$208=1),$AX$390,HLOOKUP(INDIRECT(ADDRESS(2,COLUMN())),OFFSET($BN$2,0,0,ROW()-1,60),ROW()-1,FALSE))</f>
        <v>254.7210432</v>
      </c>
      <c r="AY188">
        <f ca="1">IF(AND(ISNUMBER($AY$390),$B$208=1),$AY$390,HLOOKUP(INDIRECT(ADDRESS(2,COLUMN())),OFFSET($BN$2,0,0,ROW()-1,60),ROW()-1,FALSE))</f>
        <v>299.78661249999999</v>
      </c>
      <c r="AZ188">
        <f ca="1">IF(AND(ISNUMBER($AZ$390),$B$208=1),$AZ$390,HLOOKUP(INDIRECT(ADDRESS(2,COLUMN())),OFFSET($BN$2,0,0,ROW()-1,60),ROW()-1,FALSE))</f>
        <v>293.48228369999998</v>
      </c>
      <c r="BA188">
        <f ca="1">IF(AND(ISNUMBER($BA$390),$B$208=1),$BA$390,HLOOKUP(INDIRECT(ADDRESS(2,COLUMN())),OFFSET($BN$2,0,0,ROW()-1,60),ROW()-1,FALSE))</f>
        <v>407.07729819999997</v>
      </c>
      <c r="BB188">
        <f ca="1">IF(AND(ISNUMBER($BB$390),$B$208=1),$BB$390,HLOOKUP(INDIRECT(ADDRESS(2,COLUMN())),OFFSET($BN$2,0,0,ROW()-1,60),ROW()-1,FALSE))</f>
        <v>753.78680589999999</v>
      </c>
      <c r="BC188">
        <f ca="1">IF(AND(ISNUMBER($BC$390),$B$208=1),$BC$390,HLOOKUP(INDIRECT(ADDRESS(2,COLUMN())),OFFSET($BN$2,0,0,ROW()-1,60),ROW()-1,FALSE))</f>
        <v>666.02523640000004</v>
      </c>
      <c r="BD188">
        <f ca="1">IF(AND(ISNUMBER($BD$390),$B$208=1),$BD$390,HLOOKUP(INDIRECT(ADDRESS(2,COLUMN())),OFFSET($BN$2,0,0,ROW()-1,60),ROW()-1,FALSE))</f>
        <v>739.95669380000004</v>
      </c>
      <c r="BE188">
        <f ca="1">IF(AND(ISNUMBER($BE$390),$B$208=1),$BE$390,HLOOKUP(INDIRECT(ADDRESS(2,COLUMN())),OFFSET($BN$2,0,0,ROW()-1,60),ROW()-1,FALSE))</f>
        <v>642.32880009999997</v>
      </c>
      <c r="BF188">
        <f ca="1">IF(AND(ISNUMBER($BF$390),$B$208=1),$BF$390,HLOOKUP(INDIRECT(ADDRESS(2,COLUMN())),OFFSET($BN$2,0,0,ROW()-1,60),ROW()-1,FALSE))</f>
        <v>311.04150240000001</v>
      </c>
      <c r="BG188" t="str">
        <f ca="1">IF(AND(ISNUMBER($BG$390),$B$208=1),$BG$390,HLOOKUP(INDIRECT(ADDRESS(2,COLUMN())),OFFSET($BN$2,0,0,ROW()-1,60),ROW()-1,FALSE))</f>
        <v/>
      </c>
      <c r="BH188" t="str">
        <f ca="1">IF(AND(ISNUMBER($BH$390),$B$208=1),$BH$390,HLOOKUP(INDIRECT(ADDRESS(2,COLUMN())),OFFSET($BN$2,0,0,ROW()-1,60),ROW()-1,FALSE))</f>
        <v/>
      </c>
      <c r="BI188" t="str">
        <f ca="1">IF(AND(ISNUMBER($BI$390),$B$208=1),$BI$390,HLOOKUP(INDIRECT(ADDRESS(2,COLUMN())),OFFSET($BN$2,0,0,ROW()-1,60),ROW()-1,FALSE))</f>
        <v/>
      </c>
      <c r="BJ188">
        <f ca="1">IF(AND(ISNUMBER($BJ$390),$B$208=1),$BJ$390,HLOOKUP(INDIRECT(ADDRESS(2,COLUMN())),OFFSET($BN$2,0,0,ROW()-1,60),ROW()-1,FALSE))</f>
        <v>0.11125159699999999</v>
      </c>
      <c r="BK188" t="str">
        <f ca="1">IF(AND(ISNUMBER($BK$390),$B$208=1),$BK$390,HLOOKUP(INDIRECT(ADDRESS(2,COLUMN())),OFFSET($BN$2,0,0,ROW()-1,60),ROW()-1,FALSE))</f>
        <v/>
      </c>
      <c r="BL188" t="str">
        <f ca="1">IF(AND(ISNUMBER($BL$390),$B$208=1),$BL$390,HLOOKUP(INDIRECT(ADDRESS(2,COLUMN())),OFFSET($BN$2,0,0,ROW()-1,60),ROW()-1,FALSE))</f>
        <v/>
      </c>
      <c r="BM188" t="str">
        <f ca="1">IF(AND(ISNUMBER($BM$390),$B$208=1),$BM$390,HLOOKUP(INDIRECT(ADDRESS(2,COLUMN())),OFFSET($BN$2,0,0,ROW()-1,60),ROW()-1,FALSE))</f>
        <v/>
      </c>
      <c r="BN188" t="str">
        <f>""</f>
        <v/>
      </c>
      <c r="BO188">
        <f>40776.24128</f>
        <v>40776.241280000002</v>
      </c>
      <c r="BP188">
        <f>38530.84449</f>
        <v>38530.844490000003</v>
      </c>
      <c r="BQ188">
        <f>38314.45358</f>
        <v>38314.453580000001</v>
      </c>
      <c r="BR188">
        <f>7328.065389</f>
        <v>7328.0653890000003</v>
      </c>
      <c r="BS188">
        <f>2853.470276</f>
        <v>2853.470276</v>
      </c>
      <c r="BT188">
        <f>0</f>
        <v>0</v>
      </c>
      <c r="BU188">
        <f>36188.93371</f>
        <v>36188.933709999998</v>
      </c>
      <c r="BV188">
        <f>1243.523384</f>
        <v>1243.5233840000001</v>
      </c>
      <c r="BW188">
        <f>4139.062613</f>
        <v>4139.0626130000001</v>
      </c>
      <c r="BX188">
        <f>6739.801968</f>
        <v>6739.8019679999998</v>
      </c>
      <c r="BY188">
        <f>3025.170827</f>
        <v>3025.1708269999999</v>
      </c>
      <c r="BZ188">
        <f>19.63139231</f>
        <v>19.631392309999999</v>
      </c>
      <c r="CA188">
        <f>17.3492562</f>
        <v>17.349256199999999</v>
      </c>
      <c r="CB188">
        <f>14.29643516</f>
        <v>14.29643516</v>
      </c>
      <c r="CC188">
        <f>3611.047297</f>
        <v>3611.0472970000001</v>
      </c>
      <c r="CD188">
        <f>2498.809833</f>
        <v>2498.8098329999998</v>
      </c>
      <c r="CE188">
        <f>11.6262067</f>
        <v>11.626206699999999</v>
      </c>
      <c r="CF188">
        <f>17.77260262</f>
        <v>17.772602620000001</v>
      </c>
      <c r="CG188">
        <f>0.36554067</f>
        <v>0.36554067000000001</v>
      </c>
      <c r="CH188">
        <f>0.380980418</f>
        <v>0.38098041799999999</v>
      </c>
      <c r="CI188">
        <f>186.9147538</f>
        <v>186.9147538</v>
      </c>
      <c r="CJ188">
        <f>379.0929819</f>
        <v>379.09298189999998</v>
      </c>
      <c r="CK188">
        <f>1.247702866</f>
        <v>1.247702866</v>
      </c>
      <c r="CL188">
        <f>998.5133648</f>
        <v>998.51336479999998</v>
      </c>
      <c r="CM188">
        <f>23.17541756</f>
        <v>23.17541756</v>
      </c>
      <c r="CN188">
        <f>25.82813248</f>
        <v>25.828132480000001</v>
      </c>
      <c r="CO188">
        <f>548.5471973</f>
        <v>548.54719729999999</v>
      </c>
      <c r="CP188">
        <f>864.5136312</f>
        <v>864.51363119999996</v>
      </c>
      <c r="CQ188">
        <f>86.23092914</f>
        <v>86.230929140000001</v>
      </c>
      <c r="CR188">
        <f>292.3447079</f>
        <v>292.3447079</v>
      </c>
      <c r="CS188">
        <f>673.9633201</f>
        <v>673.96332010000003</v>
      </c>
      <c r="CT188">
        <f>529.9658146</f>
        <v>529.96581460000004</v>
      </c>
      <c r="CU188">
        <f>942.4662079</f>
        <v>942.46620789999997</v>
      </c>
      <c r="CV188">
        <f>721.9541267</f>
        <v>721.95412669999996</v>
      </c>
      <c r="CW188">
        <f>486.8724749</f>
        <v>486.87247489999999</v>
      </c>
      <c r="CX188">
        <f>949.754479</f>
        <v>949.75447899999995</v>
      </c>
      <c r="CY188">
        <f>193.043872</f>
        <v>193.04387199999999</v>
      </c>
      <c r="CZ188">
        <f>208.0888548</f>
        <v>208.08885480000001</v>
      </c>
      <c r="DA188">
        <f>226.8351399</f>
        <v>226.8351399</v>
      </c>
      <c r="DB188">
        <f>1754.291163</f>
        <v>1754.2911630000001</v>
      </c>
      <c r="DC188">
        <f>255.8567388</f>
        <v>255.85673879999999</v>
      </c>
      <c r="DD188">
        <f>242.5366764</f>
        <v>242.5366764</v>
      </c>
      <c r="DE188">
        <f>274.0908529</f>
        <v>274.09085290000002</v>
      </c>
      <c r="DF188">
        <f>254.7210432</f>
        <v>254.7210432</v>
      </c>
      <c r="DG188">
        <f>299.7866125</f>
        <v>299.78661249999999</v>
      </c>
      <c r="DH188">
        <f>293.4822837</f>
        <v>293.48228369999998</v>
      </c>
      <c r="DI188">
        <f>407.0772982</f>
        <v>407.07729819999997</v>
      </c>
      <c r="DJ188">
        <f>753.7868059</f>
        <v>753.78680589999999</v>
      </c>
      <c r="DK188">
        <f>666.0252364</f>
        <v>666.02523640000004</v>
      </c>
      <c r="DL188">
        <f>739.9566938</f>
        <v>739.95669380000004</v>
      </c>
      <c r="DM188">
        <f>642.3288001</f>
        <v>642.32880009999997</v>
      </c>
      <c r="DN188">
        <f>311.0415024</f>
        <v>311.04150240000001</v>
      </c>
      <c r="DO188" t="str">
        <f>""</f>
        <v/>
      </c>
      <c r="DP188" t="str">
        <f>""</f>
        <v/>
      </c>
      <c r="DQ188" t="str">
        <f>""</f>
        <v/>
      </c>
      <c r="DR188">
        <f>0.111251597</f>
        <v>0.11125159699999999</v>
      </c>
      <c r="DS188" t="str">
        <f>""</f>
        <v/>
      </c>
      <c r="DT188" t="str">
        <f>""</f>
        <v/>
      </c>
      <c r="DU188" t="str">
        <f>""</f>
        <v/>
      </c>
    </row>
    <row r="189" spans="1:125" x14ac:dyDescent="0.25">
      <c r="A189" t="str">
        <f>"    Societe Generale SA"</f>
        <v xml:space="preserve">    Societe Generale SA</v>
      </c>
      <c r="B189" t="str">
        <f>"GLE FP Equity"</f>
        <v>GLE FP Equity</v>
      </c>
      <c r="C189" t="str">
        <f t="shared" si="12"/>
        <v>BS018</v>
      </c>
      <c r="D189" t="str">
        <f t="shared" si="13"/>
        <v>BS_OTHER_LOAN</v>
      </c>
      <c r="E189" t="str">
        <f t="shared" si="14"/>
        <v>Dynamic</v>
      </c>
      <c r="F189">
        <f ca="1">IF(AND(ISNUMBER($F$391),$B$208=1),$F$391,HLOOKUP(INDIRECT(ADDRESS(2,COLUMN())),OFFSET($BN$2,0,0,ROW()-1,60),ROW()-1,FALSE))</f>
        <v>431245</v>
      </c>
      <c r="G189" t="str">
        <f ca="1">IF(AND(ISNUMBER($G$391),$B$208=1),$G$391,HLOOKUP(INDIRECT(ADDRESS(2,COLUMN())),OFFSET($BN$2,0,0,ROW()-1,60),ROW()-1,FALSE))</f>
        <v/>
      </c>
      <c r="H189">
        <f ca="1">IF(AND(ISNUMBER($H$391),$B$208=1),$H$391,HLOOKUP(INDIRECT(ADDRESS(2,COLUMN())),OFFSET($BN$2,0,0,ROW()-1,60),ROW()-1,FALSE))</f>
        <v>436512</v>
      </c>
      <c r="I189" t="str">
        <f ca="1">IF(AND(ISNUMBER($I$391),$B$208=1),$I$391,HLOOKUP(INDIRECT(ADDRESS(2,COLUMN())),OFFSET($BN$2,0,0,ROW()-1,60),ROW()-1,FALSE))</f>
        <v/>
      </c>
      <c r="J189">
        <f ca="1">IF(AND(ISNUMBER($J$391),$B$208=1),$J$391,HLOOKUP(INDIRECT(ADDRESS(2,COLUMN())),OFFSET($BN$2,0,0,ROW()-1,60),ROW()-1,FALSE))</f>
        <v>464624</v>
      </c>
      <c r="K189" t="str">
        <f ca="1">IF(AND(ISNUMBER($K$391),$B$208=1),$K$391,HLOOKUP(INDIRECT(ADDRESS(2,COLUMN())),OFFSET($BN$2,0,0,ROW()-1,60),ROW()-1,FALSE))</f>
        <v/>
      </c>
      <c r="L189">
        <f ca="1">IF(AND(ISNUMBER($L$391),$B$208=1),$L$391,HLOOKUP(INDIRECT(ADDRESS(2,COLUMN())),OFFSET($BN$2,0,0,ROW()-1,60),ROW()-1,FALSE))</f>
        <v>468305</v>
      </c>
      <c r="M189" t="str">
        <f ca="1">IF(AND(ISNUMBER($M$391),$B$208=1),$M$391,HLOOKUP(INDIRECT(ADDRESS(2,COLUMN())),OFFSET($BN$2,0,0,ROW()-1,60),ROW()-1,FALSE))</f>
        <v/>
      </c>
      <c r="N189">
        <f ca="1">IF(AND(ISNUMBER($N$391),$B$208=1),$N$391,HLOOKUP(INDIRECT(ADDRESS(2,COLUMN())),OFFSET($BN$2,0,0,ROW()-1,60),ROW()-1,FALSE))</f>
        <v>478182</v>
      </c>
      <c r="O189" t="str">
        <f ca="1">IF(AND(ISNUMBER($O$391),$B$208=1),$O$391,HLOOKUP(INDIRECT(ADDRESS(2,COLUMN())),OFFSET($BN$2,0,0,ROW()-1,60),ROW()-1,FALSE))</f>
        <v/>
      </c>
      <c r="P189">
        <f ca="1">IF(AND(ISNUMBER($P$391),$B$208=1),$P$391,HLOOKUP(INDIRECT(ADDRESS(2,COLUMN())),OFFSET($BN$2,0,0,ROW()-1,60),ROW()-1,FALSE))</f>
        <v>476548</v>
      </c>
      <c r="Q189" t="str">
        <f ca="1">IF(AND(ISNUMBER($Q$391),$B$208=1),$Q$391,HLOOKUP(INDIRECT(ADDRESS(2,COLUMN())),OFFSET($BN$2,0,0,ROW()-1,60),ROW()-1,FALSE))</f>
        <v/>
      </c>
      <c r="R189">
        <f ca="1">IF(AND(ISNUMBER($R$391),$B$208=1),$R$391,HLOOKUP(INDIRECT(ADDRESS(2,COLUMN())),OFFSET($BN$2,0,0,ROW()-1,60),ROW()-1,FALSE))</f>
        <v>33908</v>
      </c>
      <c r="S189" t="str">
        <f ca="1">IF(AND(ISNUMBER($S$391),$B$208=1),$S$391,HLOOKUP(INDIRECT(ADDRESS(2,COLUMN())),OFFSET($BN$2,0,0,ROW()-1,60),ROW()-1,FALSE))</f>
        <v/>
      </c>
      <c r="T189">
        <f ca="1">IF(AND(ISNUMBER($T$391),$B$208=1),$T$391,HLOOKUP(INDIRECT(ADDRESS(2,COLUMN())),OFFSET($BN$2,0,0,ROW()-1,60),ROW()-1,FALSE))</f>
        <v>445421</v>
      </c>
      <c r="U189" t="str">
        <f ca="1">IF(AND(ISNUMBER($U$391),$B$208=1),$U$391,HLOOKUP(INDIRECT(ADDRESS(2,COLUMN())),OFFSET($BN$2,0,0,ROW()-1,60),ROW()-1,FALSE))</f>
        <v/>
      </c>
      <c r="V189">
        <f ca="1">IF(AND(ISNUMBER($V$391),$B$208=1),$V$391,HLOOKUP(INDIRECT(ADDRESS(2,COLUMN())),OFFSET($BN$2,0,0,ROW()-1,60),ROW()-1,FALSE))</f>
        <v>33524</v>
      </c>
      <c r="W189" t="str">
        <f ca="1">IF(AND(ISNUMBER($W$391),$B$208=1),$W$391,HLOOKUP(INDIRECT(ADDRESS(2,COLUMN())),OFFSET($BN$2,0,0,ROW()-1,60),ROW()-1,FALSE))</f>
        <v/>
      </c>
      <c r="X189">
        <f ca="1">IF(AND(ISNUMBER($X$391),$B$208=1),$X$391,HLOOKUP(INDIRECT(ADDRESS(2,COLUMN())),OFFSET($BN$2,0,0,ROW()-1,60),ROW()-1,FALSE))</f>
        <v>53675</v>
      </c>
      <c r="Y189" t="str">
        <f ca="1">IF(AND(ISNUMBER($Y$391),$B$208=1),$Y$391,HLOOKUP(INDIRECT(ADDRESS(2,COLUMN())),OFFSET($BN$2,0,0,ROW()-1,60),ROW()-1,FALSE))</f>
        <v/>
      </c>
      <c r="Z189">
        <f ca="1">IF(AND(ISNUMBER($Z$391),$B$208=1),$Z$391,HLOOKUP(INDIRECT(ADDRESS(2,COLUMN())),OFFSET($BN$2,0,0,ROW()-1,60),ROW()-1,FALSE))</f>
        <v>33698</v>
      </c>
      <c r="AA189" t="str">
        <f ca="1">IF(AND(ISNUMBER($AA$391),$B$208=1),$AA$391,HLOOKUP(INDIRECT(ADDRESS(2,COLUMN())),OFFSET($BN$2,0,0,ROW()-1,60),ROW()-1,FALSE))</f>
        <v/>
      </c>
      <c r="AB189">
        <f ca="1">IF(AND(ISNUMBER($AB$391),$B$208=1),$AB$391,HLOOKUP(INDIRECT(ADDRESS(2,COLUMN())),OFFSET($BN$2,0,0,ROW()-1,60),ROW()-1,FALSE))</f>
        <v>55320</v>
      </c>
      <c r="AC189" t="str">
        <f ca="1">IF(AND(ISNUMBER($AC$391),$B$208=1),$AC$391,HLOOKUP(INDIRECT(ADDRESS(2,COLUMN())),OFFSET($BN$2,0,0,ROW()-1,60),ROW()-1,FALSE))</f>
        <v/>
      </c>
      <c r="AD189">
        <f ca="1">IF(AND(ISNUMBER($AD$391),$B$208=1),$AD$391,HLOOKUP(INDIRECT(ADDRESS(2,COLUMN())),OFFSET($BN$2,0,0,ROW()-1,60),ROW()-1,FALSE))</f>
        <v>56267</v>
      </c>
      <c r="AE189" t="str">
        <f ca="1">IF(AND(ISNUMBER($AE$391),$B$208=1),$AE$391,HLOOKUP(INDIRECT(ADDRESS(2,COLUMN())),OFFSET($BN$2,0,0,ROW()-1,60),ROW()-1,FALSE))</f>
        <v/>
      </c>
      <c r="AF189">
        <f ca="1">IF(AND(ISNUMBER($AF$391),$B$208=1),$AF$391,HLOOKUP(INDIRECT(ADDRESS(2,COLUMN())),OFFSET($BN$2,0,0,ROW()-1,60),ROW()-1,FALSE))</f>
        <v>55416</v>
      </c>
      <c r="AG189" t="str">
        <f ca="1">IF(AND(ISNUMBER($AG$391),$B$208=1),$AG$391,HLOOKUP(INDIRECT(ADDRESS(2,COLUMN())),OFFSET($BN$2,0,0,ROW()-1,60),ROW()-1,FALSE))</f>
        <v/>
      </c>
      <c r="AH189">
        <f ca="1">IF(AND(ISNUMBER($AH$391),$B$208=1),$AH$391,HLOOKUP(INDIRECT(ADDRESS(2,COLUMN())),OFFSET($BN$2,0,0,ROW()-1,60),ROW()-1,FALSE))</f>
        <v>52303</v>
      </c>
      <c r="AI189" t="str">
        <f ca="1">IF(AND(ISNUMBER($AI$391),$B$208=1),$AI$391,HLOOKUP(INDIRECT(ADDRESS(2,COLUMN())),OFFSET($BN$2,0,0,ROW()-1,60),ROW()-1,FALSE))</f>
        <v/>
      </c>
      <c r="AJ189">
        <f ca="1">IF(AND(ISNUMBER($AJ$391),$B$208=1),$AJ$391,HLOOKUP(INDIRECT(ADDRESS(2,COLUMN())),OFFSET($BN$2,0,0,ROW()-1,60),ROW()-1,FALSE))</f>
        <v>57889</v>
      </c>
      <c r="AK189" t="str">
        <f ca="1">IF(AND(ISNUMBER($AK$391),$B$208=1),$AK$391,HLOOKUP(INDIRECT(ADDRESS(2,COLUMN())),OFFSET($BN$2,0,0,ROW()-1,60),ROW()-1,FALSE))</f>
        <v/>
      </c>
      <c r="AL189" t="str">
        <f ca="1">IF(AND(ISNUMBER($AL$391),$B$208=1),$AL$391,HLOOKUP(INDIRECT(ADDRESS(2,COLUMN())),OFFSET($BN$2,0,0,ROW()-1,60),ROW()-1,FALSE))</f>
        <v/>
      </c>
      <c r="AM189" t="str">
        <f ca="1">IF(AND(ISNUMBER($AM$391),$B$208=1),$AM$391,HLOOKUP(INDIRECT(ADDRESS(2,COLUMN())),OFFSET($BN$2,0,0,ROW()-1,60),ROW()-1,FALSE))</f>
        <v/>
      </c>
      <c r="AN189" t="str">
        <f ca="1">IF(AND(ISNUMBER($AN$391),$B$208=1),$AN$391,HLOOKUP(INDIRECT(ADDRESS(2,COLUMN())),OFFSET($BN$2,0,0,ROW()-1,60),ROW()-1,FALSE))</f>
        <v/>
      </c>
      <c r="AO189" t="str">
        <f ca="1">IF(AND(ISNUMBER($AO$391),$B$208=1),$AO$391,HLOOKUP(INDIRECT(ADDRESS(2,COLUMN())),OFFSET($BN$2,0,0,ROW()-1,60),ROW()-1,FALSE))</f>
        <v/>
      </c>
      <c r="AP189" t="str">
        <f ca="1">IF(AND(ISNUMBER($AP$391),$B$208=1),$AP$391,HLOOKUP(INDIRECT(ADDRESS(2,COLUMN())),OFFSET($BN$2,0,0,ROW()-1,60),ROW()-1,FALSE))</f>
        <v/>
      </c>
      <c r="AQ189" t="str">
        <f ca="1">IF(AND(ISNUMBER($AQ$391),$B$208=1),$AQ$391,HLOOKUP(INDIRECT(ADDRESS(2,COLUMN())),OFFSET($BN$2,0,0,ROW()-1,60),ROW()-1,FALSE))</f>
        <v/>
      </c>
      <c r="AR189" t="str">
        <f ca="1">IF(AND(ISNUMBER($AR$391),$B$208=1),$AR$391,HLOOKUP(INDIRECT(ADDRESS(2,COLUMN())),OFFSET($BN$2,0,0,ROW()-1,60),ROW()-1,FALSE))</f>
        <v/>
      </c>
      <c r="AS189" t="str">
        <f ca="1">IF(AND(ISNUMBER($AS$391),$B$208=1),$AS$391,HLOOKUP(INDIRECT(ADDRESS(2,COLUMN())),OFFSET($BN$2,0,0,ROW()-1,60),ROW()-1,FALSE))</f>
        <v/>
      </c>
      <c r="AT189" t="str">
        <f ca="1">IF(AND(ISNUMBER($AT$391),$B$208=1),$AT$391,HLOOKUP(INDIRECT(ADDRESS(2,COLUMN())),OFFSET($BN$2,0,0,ROW()-1,60),ROW()-1,FALSE))</f>
        <v/>
      </c>
      <c r="AU189" t="str">
        <f ca="1">IF(AND(ISNUMBER($AU$391),$B$208=1),$AU$391,HLOOKUP(INDIRECT(ADDRESS(2,COLUMN())),OFFSET($BN$2,0,0,ROW()-1,60),ROW()-1,FALSE))</f>
        <v/>
      </c>
      <c r="AV189" t="str">
        <f ca="1">IF(AND(ISNUMBER($AV$391),$B$208=1),$AV$391,HLOOKUP(INDIRECT(ADDRESS(2,COLUMN())),OFFSET($BN$2,0,0,ROW()-1,60),ROW()-1,FALSE))</f>
        <v/>
      </c>
      <c r="AW189" t="str">
        <f ca="1">IF(AND(ISNUMBER($AW$391),$B$208=1),$AW$391,HLOOKUP(INDIRECT(ADDRESS(2,COLUMN())),OFFSET($BN$2,0,0,ROW()-1,60),ROW()-1,FALSE))</f>
        <v/>
      </c>
      <c r="AX189" t="str">
        <f ca="1">IF(AND(ISNUMBER($AX$391),$B$208=1),$AX$391,HLOOKUP(INDIRECT(ADDRESS(2,COLUMN())),OFFSET($BN$2,0,0,ROW()-1,60),ROW()-1,FALSE))</f>
        <v/>
      </c>
      <c r="AY189" t="str">
        <f ca="1">IF(AND(ISNUMBER($AY$391),$B$208=1),$AY$391,HLOOKUP(INDIRECT(ADDRESS(2,COLUMN())),OFFSET($BN$2,0,0,ROW()-1,60),ROW()-1,FALSE))</f>
        <v/>
      </c>
      <c r="AZ189" t="str">
        <f ca="1">IF(AND(ISNUMBER($AZ$391),$B$208=1),$AZ$391,HLOOKUP(INDIRECT(ADDRESS(2,COLUMN())),OFFSET($BN$2,0,0,ROW()-1,60),ROW()-1,FALSE))</f>
        <v/>
      </c>
      <c r="BA189" t="str">
        <f ca="1">IF(AND(ISNUMBER($BA$391),$B$208=1),$BA$391,HLOOKUP(INDIRECT(ADDRESS(2,COLUMN())),OFFSET($BN$2,0,0,ROW()-1,60),ROW()-1,FALSE))</f>
        <v/>
      </c>
      <c r="BB189" t="str">
        <f ca="1">IF(AND(ISNUMBER($BB$391),$B$208=1),$BB$391,HLOOKUP(INDIRECT(ADDRESS(2,COLUMN())),OFFSET($BN$2,0,0,ROW()-1,60),ROW()-1,FALSE))</f>
        <v/>
      </c>
      <c r="BC189" t="str">
        <f ca="1">IF(AND(ISNUMBER($BC$391),$B$208=1),$BC$391,HLOOKUP(INDIRECT(ADDRESS(2,COLUMN())),OFFSET($BN$2,0,0,ROW()-1,60),ROW()-1,FALSE))</f>
        <v/>
      </c>
      <c r="BD189" t="str">
        <f ca="1">IF(AND(ISNUMBER($BD$391),$B$208=1),$BD$391,HLOOKUP(INDIRECT(ADDRESS(2,COLUMN())),OFFSET($BN$2,0,0,ROW()-1,60),ROW()-1,FALSE))</f>
        <v/>
      </c>
      <c r="BE189" t="str">
        <f ca="1">IF(AND(ISNUMBER($BE$391),$B$208=1),$BE$391,HLOOKUP(INDIRECT(ADDRESS(2,COLUMN())),OFFSET($BN$2,0,0,ROW()-1,60),ROW()-1,FALSE))</f>
        <v/>
      </c>
      <c r="BF189" t="str">
        <f ca="1">IF(AND(ISNUMBER($BF$391),$B$208=1),$BF$391,HLOOKUP(INDIRECT(ADDRESS(2,COLUMN())),OFFSET($BN$2,0,0,ROW()-1,60),ROW()-1,FALSE))</f>
        <v/>
      </c>
      <c r="BG189" t="str">
        <f ca="1">IF(AND(ISNUMBER($BG$391),$B$208=1),$BG$391,HLOOKUP(INDIRECT(ADDRESS(2,COLUMN())),OFFSET($BN$2,0,0,ROW()-1,60),ROW()-1,FALSE))</f>
        <v/>
      </c>
      <c r="BH189" t="str">
        <f ca="1">IF(AND(ISNUMBER($BH$391),$B$208=1),$BH$391,HLOOKUP(INDIRECT(ADDRESS(2,COLUMN())),OFFSET($BN$2,0,0,ROW()-1,60),ROW()-1,FALSE))</f>
        <v/>
      </c>
      <c r="BI189" t="str">
        <f ca="1">IF(AND(ISNUMBER($BI$391),$B$208=1),$BI$391,HLOOKUP(INDIRECT(ADDRESS(2,COLUMN())),OFFSET($BN$2,0,0,ROW()-1,60),ROW()-1,FALSE))</f>
        <v/>
      </c>
      <c r="BJ189" t="str">
        <f ca="1">IF(AND(ISNUMBER($BJ$391),$B$208=1),$BJ$391,HLOOKUP(INDIRECT(ADDRESS(2,COLUMN())),OFFSET($BN$2,0,0,ROW()-1,60),ROW()-1,FALSE))</f>
        <v/>
      </c>
      <c r="BK189" t="str">
        <f ca="1">IF(AND(ISNUMBER($BK$391),$B$208=1),$BK$391,HLOOKUP(INDIRECT(ADDRESS(2,COLUMN())),OFFSET($BN$2,0,0,ROW()-1,60),ROW()-1,FALSE))</f>
        <v/>
      </c>
      <c r="BL189" t="str">
        <f ca="1">IF(AND(ISNUMBER($BL$391),$B$208=1),$BL$391,HLOOKUP(INDIRECT(ADDRESS(2,COLUMN())),OFFSET($BN$2,0,0,ROW()-1,60),ROW()-1,FALSE))</f>
        <v/>
      </c>
      <c r="BM189" t="str">
        <f ca="1">IF(AND(ISNUMBER($BM$391),$B$208=1),$BM$391,HLOOKUP(INDIRECT(ADDRESS(2,COLUMN())),OFFSET($BN$2,0,0,ROW()-1,60),ROW()-1,FALSE))</f>
        <v/>
      </c>
      <c r="BN189">
        <f>431245</f>
        <v>431245</v>
      </c>
      <c r="BO189" t="str">
        <f>""</f>
        <v/>
      </c>
      <c r="BP189">
        <f>436512</f>
        <v>436512</v>
      </c>
      <c r="BQ189" t="str">
        <f>""</f>
        <v/>
      </c>
      <c r="BR189">
        <f>464624</f>
        <v>464624</v>
      </c>
      <c r="BS189" t="str">
        <f>""</f>
        <v/>
      </c>
      <c r="BT189">
        <f>468305</f>
        <v>468305</v>
      </c>
      <c r="BU189" t="str">
        <f>""</f>
        <v/>
      </c>
      <c r="BV189">
        <f>478182</f>
        <v>478182</v>
      </c>
      <c r="BW189" t="str">
        <f>""</f>
        <v/>
      </c>
      <c r="BX189">
        <f>476548</f>
        <v>476548</v>
      </c>
      <c r="BY189" t="str">
        <f>""</f>
        <v/>
      </c>
      <c r="BZ189">
        <f>33908</f>
        <v>33908</v>
      </c>
      <c r="CA189" t="str">
        <f>""</f>
        <v/>
      </c>
      <c r="CB189">
        <f>445421</f>
        <v>445421</v>
      </c>
      <c r="CC189" t="str">
        <f>""</f>
        <v/>
      </c>
      <c r="CD189">
        <f>33524</f>
        <v>33524</v>
      </c>
      <c r="CE189" t="str">
        <f>""</f>
        <v/>
      </c>
      <c r="CF189">
        <f>53675</f>
        <v>53675</v>
      </c>
      <c r="CG189" t="str">
        <f>""</f>
        <v/>
      </c>
      <c r="CH189">
        <f>33698</f>
        <v>33698</v>
      </c>
      <c r="CI189" t="str">
        <f>""</f>
        <v/>
      </c>
      <c r="CJ189">
        <f>55320</f>
        <v>55320</v>
      </c>
      <c r="CK189" t="str">
        <f>""</f>
        <v/>
      </c>
      <c r="CL189">
        <f>56267</f>
        <v>56267</v>
      </c>
      <c r="CM189" t="str">
        <f>""</f>
        <v/>
      </c>
      <c r="CN189">
        <f>55416</f>
        <v>55416</v>
      </c>
      <c r="CO189" t="str">
        <f>""</f>
        <v/>
      </c>
      <c r="CP189">
        <f>52303</f>
        <v>52303</v>
      </c>
      <c r="CQ189" t="str">
        <f>""</f>
        <v/>
      </c>
      <c r="CR189">
        <f>57889</f>
        <v>57889</v>
      </c>
      <c r="CS189" t="str">
        <f>""</f>
        <v/>
      </c>
      <c r="CT189" t="str">
        <f>""</f>
        <v/>
      </c>
      <c r="CU189" t="str">
        <f>""</f>
        <v/>
      </c>
      <c r="CV189" t="str">
        <f>""</f>
        <v/>
      </c>
      <c r="CW189" t="str">
        <f>""</f>
        <v/>
      </c>
      <c r="CX189" t="str">
        <f>""</f>
        <v/>
      </c>
      <c r="CY189" t="str">
        <f>""</f>
        <v/>
      </c>
      <c r="CZ189" t="str">
        <f>""</f>
        <v/>
      </c>
      <c r="DA189" t="str">
        <f>""</f>
        <v/>
      </c>
      <c r="DB189" t="str">
        <f>""</f>
        <v/>
      </c>
      <c r="DC189" t="str">
        <f>""</f>
        <v/>
      </c>
      <c r="DD189" t="str">
        <f>""</f>
        <v/>
      </c>
      <c r="DE189" t="str">
        <f>""</f>
        <v/>
      </c>
      <c r="DF189" t="str">
        <f>""</f>
        <v/>
      </c>
      <c r="DG189" t="str">
        <f>""</f>
        <v/>
      </c>
      <c r="DH189" t="str">
        <f>""</f>
        <v/>
      </c>
      <c r="DI189" t="str">
        <f>""</f>
        <v/>
      </c>
      <c r="DJ189" t="str">
        <f>""</f>
        <v/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 x14ac:dyDescent="0.25">
      <c r="A190" t="str">
        <f>"    Standard Chartered PLC"</f>
        <v xml:space="preserve">    Standard Chartered PLC</v>
      </c>
      <c r="B190" t="str">
        <f>"STAN LN Equity"</f>
        <v>STAN LN Equity</v>
      </c>
      <c r="C190" t="str">
        <f t="shared" si="12"/>
        <v>BS018</v>
      </c>
      <c r="D190" t="str">
        <f t="shared" si="13"/>
        <v>BS_OTHER_LOAN</v>
      </c>
      <c r="E190" t="str">
        <f t="shared" si="14"/>
        <v>Dynamic</v>
      </c>
      <c r="F190">
        <f ca="1">IF(AND(ISNUMBER($F$392),$B$208=1),$F$392,HLOOKUP(INDIRECT(ADDRESS(2,COLUMN())),OFFSET($BN$2,0,0,ROW()-1,60),ROW()-1,FALSE))</f>
        <v>23896.028600000001</v>
      </c>
      <c r="G190" t="str">
        <f ca="1">IF(AND(ISNUMBER($G$392),$B$208=1),$G$392,HLOOKUP(INDIRECT(ADDRESS(2,COLUMN())),OFFSET($BN$2,0,0,ROW()-1,60),ROW()-1,FALSE))</f>
        <v/>
      </c>
      <c r="H190">
        <f ca="1">IF(AND(ISNUMBER($H$392),$B$208=1),$H$392,HLOOKUP(INDIRECT(ADDRESS(2,COLUMN())),OFFSET($BN$2,0,0,ROW()-1,60),ROW()-1,FALSE))</f>
        <v>23998.69354</v>
      </c>
      <c r="I190" t="str">
        <f ca="1">IF(AND(ISNUMBER($I$392),$B$208=1),$I$392,HLOOKUP(INDIRECT(ADDRESS(2,COLUMN())),OFFSET($BN$2,0,0,ROW()-1,60),ROW()-1,FALSE))</f>
        <v/>
      </c>
      <c r="J190">
        <f ca="1">IF(AND(ISNUMBER($J$392),$B$208=1),$J$392,HLOOKUP(INDIRECT(ADDRESS(2,COLUMN())),OFFSET($BN$2,0,0,ROW()-1,60),ROW()-1,FALSE))</f>
        <v>24114.2444</v>
      </c>
      <c r="K190" t="str">
        <f ca="1">IF(AND(ISNUMBER($K$392),$B$208=1),$K$392,HLOOKUP(INDIRECT(ADDRESS(2,COLUMN())),OFFSET($BN$2,0,0,ROW()-1,60),ROW()-1,FALSE))</f>
        <v/>
      </c>
      <c r="L190">
        <f ca="1">IF(AND(ISNUMBER($L$392),$B$208=1),$L$392,HLOOKUP(INDIRECT(ADDRESS(2,COLUMN())),OFFSET($BN$2,0,0,ROW()-1,60),ROW()-1,FALSE))</f>
        <v>30183.183730000001</v>
      </c>
      <c r="M190" t="str">
        <f ca="1">IF(AND(ISNUMBER($M$392),$B$208=1),$M$392,HLOOKUP(INDIRECT(ADDRESS(2,COLUMN())),OFFSET($BN$2,0,0,ROW()-1,60),ROW()-1,FALSE))</f>
        <v/>
      </c>
      <c r="N190">
        <f ca="1">IF(AND(ISNUMBER($N$392),$B$208=1),$N$392,HLOOKUP(INDIRECT(ADDRESS(2,COLUMN())),OFFSET($BN$2,0,0,ROW()-1,60),ROW()-1,FALSE))</f>
        <v>22911.02605</v>
      </c>
      <c r="O190" t="str">
        <f ca="1">IF(AND(ISNUMBER($O$392),$B$208=1),$O$392,HLOOKUP(INDIRECT(ADDRESS(2,COLUMN())),OFFSET($BN$2,0,0,ROW()-1,60),ROW()-1,FALSE))</f>
        <v/>
      </c>
      <c r="P190">
        <f ca="1">IF(AND(ISNUMBER($P$392),$B$208=1),$P$392,HLOOKUP(INDIRECT(ADDRESS(2,COLUMN())),OFFSET($BN$2,0,0,ROW()-1,60),ROW()-1,FALSE))</f>
        <v>28299.151010000001</v>
      </c>
      <c r="Q190" t="str">
        <f ca="1">IF(AND(ISNUMBER($Q$392),$B$208=1),$Q$392,HLOOKUP(INDIRECT(ADDRESS(2,COLUMN())),OFFSET($BN$2,0,0,ROW()-1,60),ROW()-1,FALSE))</f>
        <v/>
      </c>
      <c r="R190">
        <f ca="1">IF(AND(ISNUMBER($R$392),$B$208=1),$R$392,HLOOKUP(INDIRECT(ADDRESS(2,COLUMN())),OFFSET($BN$2,0,0,ROW()-1,60),ROW()-1,FALSE))</f>
        <v>22599.683819999998</v>
      </c>
      <c r="S190" t="str">
        <f ca="1">IF(AND(ISNUMBER($S$392),$B$208=1),$S$392,HLOOKUP(INDIRECT(ADDRESS(2,COLUMN())),OFFSET($BN$2,0,0,ROW()-1,60),ROW()-1,FALSE))</f>
        <v/>
      </c>
      <c r="T190">
        <f ca="1">IF(AND(ISNUMBER($T$392),$B$208=1),$T$392,HLOOKUP(INDIRECT(ADDRESS(2,COLUMN())),OFFSET($BN$2,0,0,ROW()-1,60),ROW()-1,FALSE))</f>
        <v>23931.97738</v>
      </c>
      <c r="U190" t="str">
        <f ca="1">IF(AND(ISNUMBER($U$392),$B$208=1),$U$392,HLOOKUP(INDIRECT(ADDRESS(2,COLUMN())),OFFSET($BN$2,0,0,ROW()-1,60),ROW()-1,FALSE))</f>
        <v/>
      </c>
      <c r="V190">
        <f ca="1">IF(AND(ISNUMBER($V$392),$B$208=1),$V$392,HLOOKUP(INDIRECT(ADDRESS(2,COLUMN())),OFFSET($BN$2,0,0,ROW()-1,60),ROW()-1,FALSE))</f>
        <v>22954.60123</v>
      </c>
      <c r="W190" t="str">
        <f ca="1">IF(AND(ISNUMBER($W$392),$B$208=1),$W$392,HLOOKUP(INDIRECT(ADDRESS(2,COLUMN())),OFFSET($BN$2,0,0,ROW()-1,60),ROW()-1,FALSE))</f>
        <v/>
      </c>
      <c r="X190">
        <f ca="1">IF(AND(ISNUMBER($X$392),$B$208=1),$X$392,HLOOKUP(INDIRECT(ADDRESS(2,COLUMN())),OFFSET($BN$2,0,0,ROW()-1,60),ROW()-1,FALSE))</f>
        <v>22673.66361</v>
      </c>
      <c r="Y190" t="str">
        <f ca="1">IF(AND(ISNUMBER($Y$392),$B$208=1),$Y$392,HLOOKUP(INDIRECT(ADDRESS(2,COLUMN())),OFFSET($BN$2,0,0,ROW()-1,60),ROW()-1,FALSE))</f>
        <v/>
      </c>
      <c r="Z190">
        <f ca="1">IF(AND(ISNUMBER($Z$392),$B$208=1),$Z$392,HLOOKUP(INDIRECT(ADDRESS(2,COLUMN())),OFFSET($BN$2,0,0,ROW()-1,60),ROW()-1,FALSE))</f>
        <v>18860.984949999998</v>
      </c>
      <c r="AA190" t="str">
        <f ca="1">IF(AND(ISNUMBER($AA$392),$B$208=1),$AA$392,HLOOKUP(INDIRECT(ADDRESS(2,COLUMN())),OFFSET($BN$2,0,0,ROW()-1,60),ROW()-1,FALSE))</f>
        <v/>
      </c>
      <c r="AB190">
        <f ca="1">IF(AND(ISNUMBER($AB$392),$B$208=1),$AB$392,HLOOKUP(INDIRECT(ADDRESS(2,COLUMN())),OFFSET($BN$2,0,0,ROW()-1,60),ROW()-1,FALSE))</f>
        <v>14098.952370000001</v>
      </c>
      <c r="AC190" t="str">
        <f ca="1">IF(AND(ISNUMBER($AC$392),$B$208=1),$AC$392,HLOOKUP(INDIRECT(ADDRESS(2,COLUMN())),OFFSET($BN$2,0,0,ROW()-1,60),ROW()-1,FALSE))</f>
        <v/>
      </c>
      <c r="AD190">
        <f ca="1">IF(AND(ISNUMBER($AD$392),$B$208=1),$AD$392,HLOOKUP(INDIRECT(ADDRESS(2,COLUMN())),OFFSET($BN$2,0,0,ROW()-1,60),ROW()-1,FALSE))</f>
        <v>17608.278030000001</v>
      </c>
      <c r="AE190" t="str">
        <f ca="1">IF(AND(ISNUMBER($AE$392),$B$208=1),$AE$392,HLOOKUP(INDIRECT(ADDRESS(2,COLUMN())),OFFSET($BN$2,0,0,ROW()-1,60),ROW()-1,FALSE))</f>
        <v/>
      </c>
      <c r="AF190">
        <f ca="1">IF(AND(ISNUMBER($AF$392),$B$208=1),$AF$392,HLOOKUP(INDIRECT(ADDRESS(2,COLUMN())),OFFSET($BN$2,0,0,ROW()-1,60),ROW()-1,FALSE))</f>
        <v>10940.310009999999</v>
      </c>
      <c r="AG190" t="str">
        <f ca="1">IF(AND(ISNUMBER($AG$392),$B$208=1),$AG$392,HLOOKUP(INDIRECT(ADDRESS(2,COLUMN())),OFFSET($BN$2,0,0,ROW()-1,60),ROW()-1,FALSE))</f>
        <v/>
      </c>
      <c r="AH190">
        <f ca="1">IF(AND(ISNUMBER($AH$392),$B$208=1),$AH$392,HLOOKUP(INDIRECT(ADDRESS(2,COLUMN())),OFFSET($BN$2,0,0,ROW()-1,60),ROW()-1,FALSE))</f>
        <v>16350.856760000001</v>
      </c>
      <c r="AI190" t="str">
        <f ca="1">IF(AND(ISNUMBER($AI$392),$B$208=1),$AI$392,HLOOKUP(INDIRECT(ADDRESS(2,COLUMN())),OFFSET($BN$2,0,0,ROW()-1,60),ROW()-1,FALSE))</f>
        <v/>
      </c>
      <c r="AJ190">
        <f ca="1">IF(AND(ISNUMBER($AJ$392),$B$208=1),$AJ$392,HLOOKUP(INDIRECT(ADDRESS(2,COLUMN())),OFFSET($BN$2,0,0,ROW()-1,60),ROW()-1,FALSE))</f>
        <v>14348.5499</v>
      </c>
      <c r="AK190" t="str">
        <f ca="1">IF(AND(ISNUMBER($AK$392),$B$208=1),$AK$392,HLOOKUP(INDIRECT(ADDRESS(2,COLUMN())),OFFSET($BN$2,0,0,ROW()-1,60),ROW()-1,FALSE))</f>
        <v/>
      </c>
      <c r="AL190">
        <f ca="1">IF(AND(ISNUMBER($AL$392),$B$208=1),$AL$392,HLOOKUP(INDIRECT(ADDRESS(2,COLUMN())),OFFSET($BN$2,0,0,ROW()-1,60),ROW()-1,FALSE))</f>
        <v>11360.57647</v>
      </c>
      <c r="AM190" t="str">
        <f ca="1">IF(AND(ISNUMBER($AM$392),$B$208=1),$AM$392,HLOOKUP(INDIRECT(ADDRESS(2,COLUMN())),OFFSET($BN$2,0,0,ROW()-1,60),ROW()-1,FALSE))</f>
        <v/>
      </c>
      <c r="AN190">
        <f ca="1">IF(AND(ISNUMBER($AN$392),$B$208=1),$AN$392,HLOOKUP(INDIRECT(ADDRESS(2,COLUMN())),OFFSET($BN$2,0,0,ROW()-1,60),ROW()-1,FALSE))</f>
        <v>10257.382820000001</v>
      </c>
      <c r="AO190" t="str">
        <f ca="1">IF(AND(ISNUMBER($AO$392),$B$208=1),$AO$392,HLOOKUP(INDIRECT(ADDRESS(2,COLUMN())),OFFSET($BN$2,0,0,ROW()-1,60),ROW()-1,FALSE))</f>
        <v/>
      </c>
      <c r="AP190" t="str">
        <f ca="1">IF(AND(ISNUMBER($AP$392),$B$208=1),$AP$392,HLOOKUP(INDIRECT(ADDRESS(2,COLUMN())),OFFSET($BN$2,0,0,ROW()-1,60),ROW()-1,FALSE))</f>
        <v/>
      </c>
      <c r="AQ190" t="str">
        <f ca="1">IF(AND(ISNUMBER($AQ$392),$B$208=1),$AQ$392,HLOOKUP(INDIRECT(ADDRESS(2,COLUMN())),OFFSET($BN$2,0,0,ROW()-1,60),ROW()-1,FALSE))</f>
        <v/>
      </c>
      <c r="AR190" t="str">
        <f ca="1">IF(AND(ISNUMBER($AR$392),$B$208=1),$AR$392,HLOOKUP(INDIRECT(ADDRESS(2,COLUMN())),OFFSET($BN$2,0,0,ROW()-1,60),ROW()-1,FALSE))</f>
        <v/>
      </c>
      <c r="AS190" t="str">
        <f ca="1">IF(AND(ISNUMBER($AS$392),$B$208=1),$AS$392,HLOOKUP(INDIRECT(ADDRESS(2,COLUMN())),OFFSET($BN$2,0,0,ROW()-1,60),ROW()-1,FALSE))</f>
        <v/>
      </c>
      <c r="AT190" t="str">
        <f ca="1">IF(AND(ISNUMBER($AT$392),$B$208=1),$AT$392,HLOOKUP(INDIRECT(ADDRESS(2,COLUMN())),OFFSET($BN$2,0,0,ROW()-1,60),ROW()-1,FALSE))</f>
        <v/>
      </c>
      <c r="AU190" t="str">
        <f ca="1">IF(AND(ISNUMBER($AU$392),$B$208=1),$AU$392,HLOOKUP(INDIRECT(ADDRESS(2,COLUMN())),OFFSET($BN$2,0,0,ROW()-1,60),ROW()-1,FALSE))</f>
        <v/>
      </c>
      <c r="AV190" t="str">
        <f ca="1">IF(AND(ISNUMBER($AV$392),$B$208=1),$AV$392,HLOOKUP(INDIRECT(ADDRESS(2,COLUMN())),OFFSET($BN$2,0,0,ROW()-1,60),ROW()-1,FALSE))</f>
        <v/>
      </c>
      <c r="AW190" t="str">
        <f ca="1">IF(AND(ISNUMBER($AW$392),$B$208=1),$AW$392,HLOOKUP(INDIRECT(ADDRESS(2,COLUMN())),OFFSET($BN$2,0,0,ROW()-1,60),ROW()-1,FALSE))</f>
        <v/>
      </c>
      <c r="AX190" t="str">
        <f ca="1">IF(AND(ISNUMBER($AX$392),$B$208=1),$AX$392,HLOOKUP(INDIRECT(ADDRESS(2,COLUMN())),OFFSET($BN$2,0,0,ROW()-1,60),ROW()-1,FALSE))</f>
        <v/>
      </c>
      <c r="AY190" t="str">
        <f ca="1">IF(AND(ISNUMBER($AY$392),$B$208=1),$AY$392,HLOOKUP(INDIRECT(ADDRESS(2,COLUMN())),OFFSET($BN$2,0,0,ROW()-1,60),ROW()-1,FALSE))</f>
        <v/>
      </c>
      <c r="AZ190" t="str">
        <f ca="1">IF(AND(ISNUMBER($AZ$392),$B$208=1),$AZ$392,HLOOKUP(INDIRECT(ADDRESS(2,COLUMN())),OFFSET($BN$2,0,0,ROW()-1,60),ROW()-1,FALSE))</f>
        <v/>
      </c>
      <c r="BA190" t="str">
        <f ca="1">IF(AND(ISNUMBER($BA$392),$B$208=1),$BA$392,HLOOKUP(INDIRECT(ADDRESS(2,COLUMN())),OFFSET($BN$2,0,0,ROW()-1,60),ROW()-1,FALSE))</f>
        <v/>
      </c>
      <c r="BB190" t="str">
        <f ca="1">IF(AND(ISNUMBER($BB$392),$B$208=1),$BB$392,HLOOKUP(INDIRECT(ADDRESS(2,COLUMN())),OFFSET($BN$2,0,0,ROW()-1,60),ROW()-1,FALSE))</f>
        <v/>
      </c>
      <c r="BC190" t="str">
        <f ca="1">IF(AND(ISNUMBER($BC$392),$B$208=1),$BC$392,HLOOKUP(INDIRECT(ADDRESS(2,COLUMN())),OFFSET($BN$2,0,0,ROW()-1,60),ROW()-1,FALSE))</f>
        <v/>
      </c>
      <c r="BD190" t="str">
        <f ca="1">IF(AND(ISNUMBER($BD$392),$B$208=1),$BD$392,HLOOKUP(INDIRECT(ADDRESS(2,COLUMN())),OFFSET($BN$2,0,0,ROW()-1,60),ROW()-1,FALSE))</f>
        <v/>
      </c>
      <c r="BE190" t="str">
        <f ca="1">IF(AND(ISNUMBER($BE$392),$B$208=1),$BE$392,HLOOKUP(INDIRECT(ADDRESS(2,COLUMN())),OFFSET($BN$2,0,0,ROW()-1,60),ROW()-1,FALSE))</f>
        <v/>
      </c>
      <c r="BF190" t="str">
        <f ca="1">IF(AND(ISNUMBER($BF$392),$B$208=1),$BF$392,HLOOKUP(INDIRECT(ADDRESS(2,COLUMN())),OFFSET($BN$2,0,0,ROW()-1,60),ROW()-1,FALSE))</f>
        <v/>
      </c>
      <c r="BG190" t="str">
        <f ca="1">IF(AND(ISNUMBER($BG$392),$B$208=1),$BG$392,HLOOKUP(INDIRECT(ADDRESS(2,COLUMN())),OFFSET($BN$2,0,0,ROW()-1,60),ROW()-1,FALSE))</f>
        <v/>
      </c>
      <c r="BH190" t="str">
        <f ca="1">IF(AND(ISNUMBER($BH$392),$B$208=1),$BH$392,HLOOKUP(INDIRECT(ADDRESS(2,COLUMN())),OFFSET($BN$2,0,0,ROW()-1,60),ROW()-1,FALSE))</f>
        <v/>
      </c>
      <c r="BI190" t="str">
        <f ca="1">IF(AND(ISNUMBER($BI$392),$B$208=1),$BI$392,HLOOKUP(INDIRECT(ADDRESS(2,COLUMN())),OFFSET($BN$2,0,0,ROW()-1,60),ROW()-1,FALSE))</f>
        <v/>
      </c>
      <c r="BJ190" t="str">
        <f ca="1">IF(AND(ISNUMBER($BJ$392),$B$208=1),$BJ$392,HLOOKUP(INDIRECT(ADDRESS(2,COLUMN())),OFFSET($BN$2,0,0,ROW()-1,60),ROW()-1,FALSE))</f>
        <v/>
      </c>
      <c r="BK190" t="str">
        <f ca="1">IF(AND(ISNUMBER($BK$392),$B$208=1),$BK$392,HLOOKUP(INDIRECT(ADDRESS(2,COLUMN())),OFFSET($BN$2,0,0,ROW()-1,60),ROW()-1,FALSE))</f>
        <v/>
      </c>
      <c r="BL190" t="str">
        <f ca="1">IF(AND(ISNUMBER($BL$392),$B$208=1),$BL$392,HLOOKUP(INDIRECT(ADDRESS(2,COLUMN())),OFFSET($BN$2,0,0,ROW()-1,60),ROW()-1,FALSE))</f>
        <v/>
      </c>
      <c r="BM190" t="str">
        <f ca="1">IF(AND(ISNUMBER($BM$392),$B$208=1),$BM$392,HLOOKUP(INDIRECT(ADDRESS(2,COLUMN())),OFFSET($BN$2,0,0,ROW()-1,60),ROW()-1,FALSE))</f>
        <v/>
      </c>
      <c r="BN190">
        <f>23896.0286</f>
        <v>23896.028600000001</v>
      </c>
      <c r="BO190" t="str">
        <f>""</f>
        <v/>
      </c>
      <c r="BP190">
        <f>23998.69354</f>
        <v>23998.69354</v>
      </c>
      <c r="BQ190" t="str">
        <f>""</f>
        <v/>
      </c>
      <c r="BR190">
        <f>24114.2444</f>
        <v>24114.2444</v>
      </c>
      <c r="BS190" t="str">
        <f>""</f>
        <v/>
      </c>
      <c r="BT190">
        <f>30183.18373</f>
        <v>30183.183730000001</v>
      </c>
      <c r="BU190" t="str">
        <f>""</f>
        <v/>
      </c>
      <c r="BV190">
        <f>22911.02605</f>
        <v>22911.02605</v>
      </c>
      <c r="BW190" t="str">
        <f>""</f>
        <v/>
      </c>
      <c r="BX190">
        <f>28299.15101</f>
        <v>28299.151010000001</v>
      </c>
      <c r="BY190" t="str">
        <f>""</f>
        <v/>
      </c>
      <c r="BZ190">
        <f>22599.68382</f>
        <v>22599.683819999998</v>
      </c>
      <c r="CA190" t="str">
        <f>""</f>
        <v/>
      </c>
      <c r="CB190">
        <f>23931.97738</f>
        <v>23931.97738</v>
      </c>
      <c r="CC190" t="str">
        <f>""</f>
        <v/>
      </c>
      <c r="CD190">
        <f>22954.60123</f>
        <v>22954.60123</v>
      </c>
      <c r="CE190" t="str">
        <f>""</f>
        <v/>
      </c>
      <c r="CF190">
        <f>22673.66361</f>
        <v>22673.66361</v>
      </c>
      <c r="CG190" t="str">
        <f>""</f>
        <v/>
      </c>
      <c r="CH190">
        <f>18860.98495</f>
        <v>18860.984949999998</v>
      </c>
      <c r="CI190" t="str">
        <f>""</f>
        <v/>
      </c>
      <c r="CJ190">
        <f>14098.95237</f>
        <v>14098.952370000001</v>
      </c>
      <c r="CK190" t="str">
        <f>""</f>
        <v/>
      </c>
      <c r="CL190">
        <f>17608.27803</f>
        <v>17608.278030000001</v>
      </c>
      <c r="CM190" t="str">
        <f>""</f>
        <v/>
      </c>
      <c r="CN190">
        <f>10940.31001</f>
        <v>10940.310009999999</v>
      </c>
      <c r="CO190" t="str">
        <f>""</f>
        <v/>
      </c>
      <c r="CP190">
        <f>16350.85676</f>
        <v>16350.856760000001</v>
      </c>
      <c r="CQ190" t="str">
        <f>""</f>
        <v/>
      </c>
      <c r="CR190">
        <f>14348.5499</f>
        <v>14348.5499</v>
      </c>
      <c r="CS190" t="str">
        <f>""</f>
        <v/>
      </c>
      <c r="CT190">
        <f>11360.57647</f>
        <v>11360.57647</v>
      </c>
      <c r="CU190" t="str">
        <f>""</f>
        <v/>
      </c>
      <c r="CV190">
        <f>10257.38282</f>
        <v>10257.382820000001</v>
      </c>
      <c r="CW190" t="str">
        <f>""</f>
        <v/>
      </c>
      <c r="CX190" t="str">
        <f>""</f>
        <v/>
      </c>
      <c r="CY190" t="str">
        <f>""</f>
        <v/>
      </c>
      <c r="CZ190" t="str">
        <f>""</f>
        <v/>
      </c>
      <c r="DA190" t="str">
        <f>""</f>
        <v/>
      </c>
      <c r="DB190" t="str">
        <f>""</f>
        <v/>
      </c>
      <c r="DC190" t="str">
        <f>""</f>
        <v/>
      </c>
      <c r="DD190" t="str">
        <f>""</f>
        <v/>
      </c>
      <c r="DE190" t="str">
        <f>""</f>
        <v/>
      </c>
      <c r="DF190" t="str">
        <f>""</f>
        <v/>
      </c>
      <c r="DG190" t="str">
        <f>""</f>
        <v/>
      </c>
      <c r="DH190" t="str">
        <f>""</f>
        <v/>
      </c>
      <c r="DI190" t="str">
        <f>""</f>
        <v/>
      </c>
      <c r="DJ190" t="str">
        <f>""</f>
        <v/>
      </c>
      <c r="DK190" t="str">
        <f>""</f>
        <v/>
      </c>
      <c r="DL190" t="str">
        <f>""</f>
        <v/>
      </c>
      <c r="DM190" t="str">
        <f>""</f>
        <v/>
      </c>
      <c r="DN190" t="str">
        <f>""</f>
        <v/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 t="str">
        <f>""</f>
        <v/>
      </c>
    </row>
    <row r="191" spans="1:125" x14ac:dyDescent="0.25">
      <c r="A191" t="str">
        <f>"    UBS Group AG"</f>
        <v xml:space="preserve">    UBS Group AG</v>
      </c>
      <c r="B191" t="str">
        <f>"UBSG SW Equity"</f>
        <v>UBSG SW Equity</v>
      </c>
      <c r="C191" t="str">
        <f t="shared" si="12"/>
        <v>BS018</v>
      </c>
      <c r="D191" t="str">
        <f t="shared" si="13"/>
        <v>BS_OTHER_LOAN</v>
      </c>
      <c r="E191" t="str">
        <f t="shared" si="14"/>
        <v>Dynamic</v>
      </c>
      <c r="F191">
        <f ca="1">IF(AND(ISNUMBER($F$393),$B$208=1),$F$393,HLOOKUP(INDIRECT(ADDRESS(2,COLUMN())),OFFSET($BN$2,0,0,ROW()-1,60),ROW()-1,FALSE))</f>
        <v>239772.92490000001</v>
      </c>
      <c r="G191">
        <f ca="1">IF(AND(ISNUMBER($G$393),$B$208=1),$G$393,HLOOKUP(INDIRECT(ADDRESS(2,COLUMN())),OFFSET($BN$2,0,0,ROW()-1,60),ROW()-1,FALSE))</f>
        <v>233063.3297</v>
      </c>
      <c r="H191">
        <f ca="1">IF(AND(ISNUMBER($H$393),$B$208=1),$H$393,HLOOKUP(INDIRECT(ADDRESS(2,COLUMN())),OFFSET($BN$2,0,0,ROW()-1,60),ROW()-1,FALSE))</f>
        <v>242495.33410000001</v>
      </c>
      <c r="I191">
        <f ca="1">IF(AND(ISNUMBER($I$393),$B$208=1),$I$393,HLOOKUP(INDIRECT(ADDRESS(2,COLUMN())),OFFSET($BN$2,0,0,ROW()-1,60),ROW()-1,FALSE))</f>
        <v>244299.74969999999</v>
      </c>
      <c r="J191">
        <f ca="1">IF(AND(ISNUMBER($J$393),$B$208=1),$J$393,HLOOKUP(INDIRECT(ADDRESS(2,COLUMN())),OFFSET($BN$2,0,0,ROW()-1,60),ROW()-1,FALSE))</f>
        <v>247316.5221</v>
      </c>
      <c r="K191">
        <f ca="1">IF(AND(ISNUMBER($K$393),$B$208=1),$K$393,HLOOKUP(INDIRECT(ADDRESS(2,COLUMN())),OFFSET($BN$2,0,0,ROW()-1,60),ROW()-1,FALSE))</f>
        <v>257039.1378</v>
      </c>
      <c r="L191">
        <f ca="1">IF(AND(ISNUMBER($L$393),$B$208=1),$L$393,HLOOKUP(INDIRECT(ADDRESS(2,COLUMN())),OFFSET($BN$2,0,0,ROW()-1,60),ROW()-1,FALSE))</f>
        <v>277969.40830000001</v>
      </c>
      <c r="M191">
        <f ca="1">IF(AND(ISNUMBER($M$393),$B$208=1),$M$393,HLOOKUP(INDIRECT(ADDRESS(2,COLUMN())),OFFSET($BN$2,0,0,ROW()-1,60),ROW()-1,FALSE))</f>
        <v>166844.2359</v>
      </c>
      <c r="N191">
        <f ca="1">IF(AND(ISNUMBER($N$393),$B$208=1),$N$393,HLOOKUP(INDIRECT(ADDRESS(2,COLUMN())),OFFSET($BN$2,0,0,ROW()-1,60),ROW()-1,FALSE))</f>
        <v>170924.28339999999</v>
      </c>
      <c r="O191">
        <f ca="1">IF(AND(ISNUMBER($O$393),$B$208=1),$O$393,HLOOKUP(INDIRECT(ADDRESS(2,COLUMN())),OFFSET($BN$2,0,0,ROW()-1,60),ROW()-1,FALSE))</f>
        <v>185065.37280000001</v>
      </c>
      <c r="P191">
        <f ca="1">IF(AND(ISNUMBER($P$393),$B$208=1),$P$393,HLOOKUP(INDIRECT(ADDRESS(2,COLUMN())),OFFSET($BN$2,0,0,ROW()-1,60),ROW()-1,FALSE))</f>
        <v>180356.76809999999</v>
      </c>
      <c r="Q191">
        <f ca="1">IF(AND(ISNUMBER($Q$393),$B$208=1),$Q$393,HLOOKUP(INDIRECT(ADDRESS(2,COLUMN())),OFFSET($BN$2,0,0,ROW()-1,60),ROW()-1,FALSE))</f>
        <v>175115.50260000001</v>
      </c>
      <c r="R191">
        <f ca="1">IF(AND(ISNUMBER($R$393),$B$208=1),$R$393,HLOOKUP(INDIRECT(ADDRESS(2,COLUMN())),OFFSET($BN$2,0,0,ROW()-1,60),ROW()-1,FALSE))</f>
        <v>215549.79800000001</v>
      </c>
      <c r="S191">
        <f ca="1">IF(AND(ISNUMBER($S$393),$B$208=1),$S$393,HLOOKUP(INDIRECT(ADDRESS(2,COLUMN())),OFFSET($BN$2,0,0,ROW()-1,60),ROW()-1,FALSE))</f>
        <v>208333.7654</v>
      </c>
      <c r="T191">
        <f ca="1">IF(AND(ISNUMBER($T$393),$B$208=1),$T$393,HLOOKUP(INDIRECT(ADDRESS(2,COLUMN())),OFFSET($BN$2,0,0,ROW()-1,60),ROW()-1,FALSE))</f>
        <v>204045.06709999999</v>
      </c>
      <c r="U191">
        <f ca="1">IF(AND(ISNUMBER($U$393),$B$208=1),$U$393,HLOOKUP(INDIRECT(ADDRESS(2,COLUMN())),OFFSET($BN$2,0,0,ROW()-1,60),ROW()-1,FALSE))</f>
        <v>199297.87229999999</v>
      </c>
      <c r="V191">
        <f ca="1">IF(AND(ISNUMBER($V$393),$B$208=1),$V$393,HLOOKUP(INDIRECT(ADDRESS(2,COLUMN())),OFFSET($BN$2,0,0,ROW()-1,60),ROW()-1,FALSE))</f>
        <v>189172.1881</v>
      </c>
      <c r="W191">
        <f ca="1">IF(AND(ISNUMBER($W$393),$B$208=1),$W$393,HLOOKUP(INDIRECT(ADDRESS(2,COLUMN())),OFFSET($BN$2,0,0,ROW()-1,60),ROW()-1,FALSE))</f>
        <v>186690.8377</v>
      </c>
      <c r="X191">
        <f ca="1">IF(AND(ISNUMBER($X$393),$B$208=1),$X$393,HLOOKUP(INDIRECT(ADDRESS(2,COLUMN())),OFFSET($BN$2,0,0,ROW()-1,60),ROW()-1,FALSE))</f>
        <v>185630.16990000001</v>
      </c>
      <c r="Y191">
        <f ca="1">IF(AND(ISNUMBER($Y$393),$B$208=1),$Y$393,HLOOKUP(INDIRECT(ADDRESS(2,COLUMN())),OFFSET($BN$2,0,0,ROW()-1,60),ROW()-1,FALSE))</f>
        <v>187157.96189999999</v>
      </c>
      <c r="Z191">
        <f ca="1">IF(AND(ISNUMBER($Z$393),$B$208=1),$Z$393,HLOOKUP(INDIRECT(ADDRESS(2,COLUMN())),OFFSET($BN$2,0,0,ROW()-1,60),ROW()-1,FALSE))</f>
        <v>172327.0104</v>
      </c>
      <c r="AA191">
        <f ca="1">IF(AND(ISNUMBER($AA$393),$B$208=1),$AA$393,HLOOKUP(INDIRECT(ADDRESS(2,COLUMN())),OFFSET($BN$2,0,0,ROW()-1,60),ROW()-1,FALSE))</f>
        <v>294374.94270000001</v>
      </c>
      <c r="AB191">
        <f ca="1">IF(AND(ISNUMBER($AB$393),$B$208=1),$AB$393,HLOOKUP(INDIRECT(ADDRESS(2,COLUMN())),OFFSET($BN$2,0,0,ROW()-1,60),ROW()-1,FALSE))</f>
        <v>284716.9645</v>
      </c>
      <c r="AC191">
        <f ca="1">IF(AND(ISNUMBER($AC$393),$B$208=1),$AC$393,HLOOKUP(INDIRECT(ADDRESS(2,COLUMN())),OFFSET($BN$2,0,0,ROW()-1,60),ROW()-1,FALSE))</f>
        <v>284438.10710000002</v>
      </c>
      <c r="AD191">
        <f ca="1">IF(AND(ISNUMBER($AD$393),$B$208=1),$AD$393,HLOOKUP(INDIRECT(ADDRESS(2,COLUMN())),OFFSET($BN$2,0,0,ROW()-1,60),ROW()-1,FALSE))</f>
        <v>118541.73940000001</v>
      </c>
      <c r="AE191">
        <f ca="1">IF(AND(ISNUMBER($AE$393),$B$208=1),$AE$393,HLOOKUP(INDIRECT(ADDRESS(2,COLUMN())),OFFSET($BN$2,0,0,ROW()-1,60),ROW()-1,FALSE))</f>
        <v>120556.2252</v>
      </c>
      <c r="AF191">
        <f ca="1">IF(AND(ISNUMBER($AF$393),$B$208=1),$AF$393,HLOOKUP(INDIRECT(ADDRESS(2,COLUMN())),OFFSET($BN$2,0,0,ROW()-1,60),ROW()-1,FALSE))</f>
        <v>273099.2549</v>
      </c>
      <c r="AG191">
        <f ca="1">IF(AND(ISNUMBER($AG$393),$B$208=1),$AG$393,HLOOKUP(INDIRECT(ADDRESS(2,COLUMN())),OFFSET($BN$2,0,0,ROW()-1,60),ROW()-1,FALSE))</f>
        <v>257010.62710000001</v>
      </c>
      <c r="AH191">
        <f ca="1">IF(AND(ISNUMBER($AH$393),$B$208=1),$AH$393,HLOOKUP(INDIRECT(ADDRESS(2,COLUMN())),OFFSET($BN$2,0,0,ROW()-1,60),ROW()-1,FALSE))</f>
        <v>130658.7922</v>
      </c>
      <c r="AI191" t="str">
        <f ca="1">IF(AND(ISNUMBER($AI$393),$B$208=1),$AI$393,HLOOKUP(INDIRECT(ADDRESS(2,COLUMN())),OFFSET($BN$2,0,0,ROW()-1,60),ROW()-1,FALSE))</f>
        <v/>
      </c>
      <c r="AJ191" t="str">
        <f ca="1">IF(AND(ISNUMBER($AJ$393),$B$208=1),$AJ$393,HLOOKUP(INDIRECT(ADDRESS(2,COLUMN())),OFFSET($BN$2,0,0,ROW()-1,60),ROW()-1,FALSE))</f>
        <v/>
      </c>
      <c r="AK191" t="str">
        <f ca="1">IF(AND(ISNUMBER($AK$393),$B$208=1),$AK$393,HLOOKUP(INDIRECT(ADDRESS(2,COLUMN())),OFFSET($BN$2,0,0,ROW()-1,60),ROW()-1,FALSE))</f>
        <v/>
      </c>
      <c r="AL191">
        <f ca="1">IF(AND(ISNUMBER($AL$393),$B$208=1),$AL$393,HLOOKUP(INDIRECT(ADDRESS(2,COLUMN())),OFFSET($BN$2,0,0,ROW()-1,60),ROW()-1,FALSE))</f>
        <v>135116.96669999999</v>
      </c>
      <c r="AM191" t="str">
        <f ca="1">IF(AND(ISNUMBER($AM$393),$B$208=1),$AM$393,HLOOKUP(INDIRECT(ADDRESS(2,COLUMN())),OFFSET($BN$2,0,0,ROW()-1,60),ROW()-1,FALSE))</f>
        <v/>
      </c>
      <c r="AN191" t="str">
        <f ca="1">IF(AND(ISNUMBER($AN$393),$B$208=1),$AN$393,HLOOKUP(INDIRECT(ADDRESS(2,COLUMN())),OFFSET($BN$2,0,0,ROW()-1,60),ROW()-1,FALSE))</f>
        <v/>
      </c>
      <c r="AO191" t="str">
        <f ca="1">IF(AND(ISNUMBER($AO$393),$B$208=1),$AO$393,HLOOKUP(INDIRECT(ADDRESS(2,COLUMN())),OFFSET($BN$2,0,0,ROW()-1,60),ROW()-1,FALSE))</f>
        <v/>
      </c>
      <c r="AP191">
        <f ca="1">IF(AND(ISNUMBER($AP$393),$B$208=1),$AP$393,HLOOKUP(INDIRECT(ADDRESS(2,COLUMN())),OFFSET($BN$2,0,0,ROW()-1,60),ROW()-1,FALSE))</f>
        <v>137650.35089999999</v>
      </c>
      <c r="AQ191" t="str">
        <f ca="1">IF(AND(ISNUMBER($AQ$393),$B$208=1),$AQ$393,HLOOKUP(INDIRECT(ADDRESS(2,COLUMN())),OFFSET($BN$2,0,0,ROW()-1,60),ROW()-1,FALSE))</f>
        <v/>
      </c>
      <c r="AR191" t="str">
        <f ca="1">IF(AND(ISNUMBER($AR$393),$B$208=1),$AR$393,HLOOKUP(INDIRECT(ADDRESS(2,COLUMN())),OFFSET($BN$2,0,0,ROW()-1,60),ROW()-1,FALSE))</f>
        <v/>
      </c>
      <c r="AS191" t="str">
        <f ca="1">IF(AND(ISNUMBER($AS$393),$B$208=1),$AS$393,HLOOKUP(INDIRECT(ADDRESS(2,COLUMN())),OFFSET($BN$2,0,0,ROW()-1,60),ROW()-1,FALSE))</f>
        <v/>
      </c>
      <c r="AT191">
        <f ca="1">IF(AND(ISNUMBER($AT$393),$B$208=1),$AT$393,HLOOKUP(INDIRECT(ADDRESS(2,COLUMN())),OFFSET($BN$2,0,0,ROW()-1,60),ROW()-1,FALSE))</f>
        <v>126144.68919999999</v>
      </c>
      <c r="AU191" t="str">
        <f ca="1">IF(AND(ISNUMBER($AU$393),$B$208=1),$AU$393,HLOOKUP(INDIRECT(ADDRESS(2,COLUMN())),OFFSET($BN$2,0,0,ROW()-1,60),ROW()-1,FALSE))</f>
        <v/>
      </c>
      <c r="AV191" t="str">
        <f ca="1">IF(AND(ISNUMBER($AV$393),$B$208=1),$AV$393,HLOOKUP(INDIRECT(ADDRESS(2,COLUMN())),OFFSET($BN$2,0,0,ROW()-1,60),ROW()-1,FALSE))</f>
        <v/>
      </c>
      <c r="AW191" t="str">
        <f ca="1">IF(AND(ISNUMBER($AW$393),$B$208=1),$AW$393,HLOOKUP(INDIRECT(ADDRESS(2,COLUMN())),OFFSET($BN$2,0,0,ROW()-1,60),ROW()-1,FALSE))</f>
        <v/>
      </c>
      <c r="AX191">
        <f ca="1">IF(AND(ISNUMBER($AX$393),$B$208=1),$AX$393,HLOOKUP(INDIRECT(ADDRESS(2,COLUMN())),OFFSET($BN$2,0,0,ROW()-1,60),ROW()-1,FALSE))</f>
        <v>104121.4274</v>
      </c>
      <c r="AY191" t="str">
        <f ca="1">IF(AND(ISNUMBER($AY$393),$B$208=1),$AY$393,HLOOKUP(INDIRECT(ADDRESS(2,COLUMN())),OFFSET($BN$2,0,0,ROW()-1,60),ROW()-1,FALSE))</f>
        <v/>
      </c>
      <c r="AZ191" t="str">
        <f ca="1">IF(AND(ISNUMBER($AZ$393),$B$208=1),$AZ$393,HLOOKUP(INDIRECT(ADDRESS(2,COLUMN())),OFFSET($BN$2,0,0,ROW()-1,60),ROW()-1,FALSE))</f>
        <v/>
      </c>
      <c r="BA191" t="str">
        <f ca="1">IF(AND(ISNUMBER($BA$393),$B$208=1),$BA$393,HLOOKUP(INDIRECT(ADDRESS(2,COLUMN())),OFFSET($BN$2,0,0,ROW()-1,60),ROW()-1,FALSE))</f>
        <v/>
      </c>
      <c r="BB191">
        <f ca="1">IF(AND(ISNUMBER($BB$393),$B$208=1),$BB$393,HLOOKUP(INDIRECT(ADDRESS(2,COLUMN())),OFFSET($BN$2,0,0,ROW()-1,60),ROW()-1,FALSE))</f>
        <v>104517.1903</v>
      </c>
      <c r="BC191" t="str">
        <f ca="1">IF(AND(ISNUMBER($BC$393),$B$208=1),$BC$393,HLOOKUP(INDIRECT(ADDRESS(2,COLUMN())),OFFSET($BN$2,0,0,ROW()-1,60),ROW()-1,FALSE))</f>
        <v/>
      </c>
      <c r="BD191" t="str">
        <f ca="1">IF(AND(ISNUMBER($BD$393),$B$208=1),$BD$393,HLOOKUP(INDIRECT(ADDRESS(2,COLUMN())),OFFSET($BN$2,0,0,ROW()-1,60),ROW()-1,FALSE))</f>
        <v/>
      </c>
      <c r="BE191" t="str">
        <f ca="1">IF(AND(ISNUMBER($BE$393),$B$208=1),$BE$393,HLOOKUP(INDIRECT(ADDRESS(2,COLUMN())),OFFSET($BN$2,0,0,ROW()-1,60),ROW()-1,FALSE))</f>
        <v/>
      </c>
      <c r="BF191">
        <f ca="1">IF(AND(ISNUMBER($BF$393),$B$208=1),$BF$393,HLOOKUP(INDIRECT(ADDRESS(2,COLUMN())),OFFSET($BN$2,0,0,ROW()-1,60),ROW()-1,FALSE))</f>
        <v>98973.725149999998</v>
      </c>
      <c r="BG191" t="str">
        <f ca="1">IF(AND(ISNUMBER($BG$393),$B$208=1),$BG$393,HLOOKUP(INDIRECT(ADDRESS(2,COLUMN())),OFFSET($BN$2,0,0,ROW()-1,60),ROW()-1,FALSE))</f>
        <v/>
      </c>
      <c r="BH191" t="str">
        <f ca="1">IF(AND(ISNUMBER($BH$393),$B$208=1),$BH$393,HLOOKUP(INDIRECT(ADDRESS(2,COLUMN())),OFFSET($BN$2,0,0,ROW()-1,60),ROW()-1,FALSE))</f>
        <v/>
      </c>
      <c r="BI191" t="str">
        <f ca="1">IF(AND(ISNUMBER($BI$393),$B$208=1),$BI$393,HLOOKUP(INDIRECT(ADDRESS(2,COLUMN())),OFFSET($BN$2,0,0,ROW()-1,60),ROW()-1,FALSE))</f>
        <v/>
      </c>
      <c r="BJ191">
        <f ca="1">IF(AND(ISNUMBER($BJ$393),$B$208=1),$BJ$393,HLOOKUP(INDIRECT(ADDRESS(2,COLUMN())),OFFSET($BN$2,0,0,ROW()-1,60),ROW()-1,FALSE))</f>
        <v>97018.168000000005</v>
      </c>
      <c r="BK191" t="str">
        <f ca="1">IF(AND(ISNUMBER($BK$393),$B$208=1),$BK$393,HLOOKUP(INDIRECT(ADDRESS(2,COLUMN())),OFFSET($BN$2,0,0,ROW()-1,60),ROW()-1,FALSE))</f>
        <v/>
      </c>
      <c r="BL191" t="str">
        <f ca="1">IF(AND(ISNUMBER($BL$393),$B$208=1),$BL$393,HLOOKUP(INDIRECT(ADDRESS(2,COLUMN())),OFFSET($BN$2,0,0,ROW()-1,60),ROW()-1,FALSE))</f>
        <v/>
      </c>
      <c r="BM191" t="str">
        <f ca="1">IF(AND(ISNUMBER($BM$393),$B$208=1),$BM$393,HLOOKUP(INDIRECT(ADDRESS(2,COLUMN())),OFFSET($BN$2,0,0,ROW()-1,60),ROW()-1,FALSE))</f>
        <v/>
      </c>
      <c r="BN191">
        <f>239772.9249</f>
        <v>239772.92490000001</v>
      </c>
      <c r="BO191">
        <f>233063.3297</f>
        <v>233063.3297</v>
      </c>
      <c r="BP191">
        <f>242495.3341</f>
        <v>242495.33410000001</v>
      </c>
      <c r="BQ191">
        <f>244299.7497</f>
        <v>244299.74969999999</v>
      </c>
      <c r="BR191">
        <f>247316.5221</f>
        <v>247316.5221</v>
      </c>
      <c r="BS191">
        <f>257039.1378</f>
        <v>257039.1378</v>
      </c>
      <c r="BT191">
        <f>277969.4083</f>
        <v>277969.40830000001</v>
      </c>
      <c r="BU191">
        <f>166844.2359</f>
        <v>166844.2359</v>
      </c>
      <c r="BV191">
        <f>170924.2834</f>
        <v>170924.28339999999</v>
      </c>
      <c r="BW191">
        <f>185065.3728</f>
        <v>185065.37280000001</v>
      </c>
      <c r="BX191">
        <f>180356.7681</f>
        <v>180356.76809999999</v>
      </c>
      <c r="BY191">
        <f>175115.5026</f>
        <v>175115.50260000001</v>
      </c>
      <c r="BZ191">
        <f>215549.798</f>
        <v>215549.79800000001</v>
      </c>
      <c r="CA191">
        <f>208333.7654</f>
        <v>208333.7654</v>
      </c>
      <c r="CB191">
        <f>204045.0671</f>
        <v>204045.06709999999</v>
      </c>
      <c r="CC191">
        <f>199297.8723</f>
        <v>199297.87229999999</v>
      </c>
      <c r="CD191">
        <f>189172.1881</f>
        <v>189172.1881</v>
      </c>
      <c r="CE191">
        <f>186690.8377</f>
        <v>186690.8377</v>
      </c>
      <c r="CF191">
        <f>185630.1699</f>
        <v>185630.16990000001</v>
      </c>
      <c r="CG191">
        <f>187157.9619</f>
        <v>187157.96189999999</v>
      </c>
      <c r="CH191">
        <f>172327.0104</f>
        <v>172327.0104</v>
      </c>
      <c r="CI191">
        <f>294374.9427</f>
        <v>294374.94270000001</v>
      </c>
      <c r="CJ191">
        <f>284716.9645</f>
        <v>284716.9645</v>
      </c>
      <c r="CK191">
        <f>284438.1071</f>
        <v>284438.10710000002</v>
      </c>
      <c r="CL191">
        <f>118541.7394</f>
        <v>118541.73940000001</v>
      </c>
      <c r="CM191">
        <f>120556.2252</f>
        <v>120556.2252</v>
      </c>
      <c r="CN191">
        <f>273099.2549</f>
        <v>273099.2549</v>
      </c>
      <c r="CO191">
        <f>257010.6271</f>
        <v>257010.62710000001</v>
      </c>
      <c r="CP191">
        <f>130658.7922</f>
        <v>130658.7922</v>
      </c>
      <c r="CQ191" t="str">
        <f>""</f>
        <v/>
      </c>
      <c r="CR191" t="str">
        <f>""</f>
        <v/>
      </c>
      <c r="CS191" t="str">
        <f>""</f>
        <v/>
      </c>
      <c r="CT191">
        <f>135116.9667</f>
        <v>135116.96669999999</v>
      </c>
      <c r="CU191" t="str">
        <f>""</f>
        <v/>
      </c>
      <c r="CV191" t="str">
        <f>""</f>
        <v/>
      </c>
      <c r="CW191" t="str">
        <f>""</f>
        <v/>
      </c>
      <c r="CX191">
        <f>137650.3509</f>
        <v>137650.35089999999</v>
      </c>
      <c r="CY191" t="str">
        <f>""</f>
        <v/>
      </c>
      <c r="CZ191" t="str">
        <f>""</f>
        <v/>
      </c>
      <c r="DA191" t="str">
        <f>""</f>
        <v/>
      </c>
      <c r="DB191">
        <f>126144.6892</f>
        <v>126144.68919999999</v>
      </c>
      <c r="DC191" t="str">
        <f>""</f>
        <v/>
      </c>
      <c r="DD191" t="str">
        <f>""</f>
        <v/>
      </c>
      <c r="DE191" t="str">
        <f>""</f>
        <v/>
      </c>
      <c r="DF191">
        <f>104121.4274</f>
        <v>104121.4274</v>
      </c>
      <c r="DG191" t="str">
        <f>""</f>
        <v/>
      </c>
      <c r="DH191" t="str">
        <f>""</f>
        <v/>
      </c>
      <c r="DI191" t="str">
        <f>""</f>
        <v/>
      </c>
      <c r="DJ191">
        <f>104517.1903</f>
        <v>104517.1903</v>
      </c>
      <c r="DK191" t="str">
        <f>""</f>
        <v/>
      </c>
      <c r="DL191" t="str">
        <f>""</f>
        <v/>
      </c>
      <c r="DM191" t="str">
        <f>""</f>
        <v/>
      </c>
      <c r="DN191">
        <f>98973.72515</f>
        <v>98973.725149999998</v>
      </c>
      <c r="DO191" t="str">
        <f>""</f>
        <v/>
      </c>
      <c r="DP191" t="str">
        <f>""</f>
        <v/>
      </c>
      <c r="DQ191" t="str">
        <f>""</f>
        <v/>
      </c>
      <c r="DR191">
        <f>97018.168</f>
        <v>97018.168000000005</v>
      </c>
      <c r="DS191" t="str">
        <f>""</f>
        <v/>
      </c>
      <c r="DT191" t="str">
        <f>""</f>
        <v/>
      </c>
      <c r="DU191" t="str">
        <f>""</f>
        <v/>
      </c>
    </row>
    <row r="192" spans="1:125" x14ac:dyDescent="0.25">
      <c r="A192" t="str">
        <f>"    UniCredit SpA"</f>
        <v xml:space="preserve">    UniCredit SpA</v>
      </c>
      <c r="B192" t="str">
        <f>"UCG IM Equity"</f>
        <v>UCG IM Equity</v>
      </c>
      <c r="C192" t="str">
        <f t="shared" si="12"/>
        <v>BS018</v>
      </c>
      <c r="D192" t="str">
        <f t="shared" si="13"/>
        <v>BS_OTHER_LOAN</v>
      </c>
      <c r="E192" t="str">
        <f t="shared" si="14"/>
        <v>Dynamic</v>
      </c>
      <c r="F192">
        <f ca="1">IF(AND(ISNUMBER($F$394),$B$208=1),$F$394,HLOOKUP(INDIRECT(ADDRESS(2,COLUMN())),OFFSET($BN$2,0,0,ROW()-1,60),ROW()-1,FALSE))</f>
        <v>189894</v>
      </c>
      <c r="G192" t="str">
        <f ca="1">IF(AND(ISNUMBER($G$394),$B$208=1),$G$394,HLOOKUP(INDIRECT(ADDRESS(2,COLUMN())),OFFSET($BN$2,0,0,ROW()-1,60),ROW()-1,FALSE))</f>
        <v/>
      </c>
      <c r="H192">
        <f ca="1">IF(AND(ISNUMBER($H$394),$B$208=1),$H$394,HLOOKUP(INDIRECT(ADDRESS(2,COLUMN())),OFFSET($BN$2,0,0,ROW()-1,60),ROW()-1,FALSE))</f>
        <v>188973</v>
      </c>
      <c r="I192" t="str">
        <f ca="1">IF(AND(ISNUMBER($I$394),$B$208=1),$I$394,HLOOKUP(INDIRECT(ADDRESS(2,COLUMN())),OFFSET($BN$2,0,0,ROW()-1,60),ROW()-1,FALSE))</f>
        <v/>
      </c>
      <c r="J192">
        <f ca="1">IF(AND(ISNUMBER($J$394),$B$208=1),$J$394,HLOOKUP(INDIRECT(ADDRESS(2,COLUMN())),OFFSET($BN$2,0,0,ROW()-1,60),ROW()-1,FALSE))</f>
        <v>193208</v>
      </c>
      <c r="K192" t="str">
        <f ca="1">IF(AND(ISNUMBER($K$394),$B$208=1),$K$394,HLOOKUP(INDIRECT(ADDRESS(2,COLUMN())),OFFSET($BN$2,0,0,ROW()-1,60),ROW()-1,FALSE))</f>
        <v/>
      </c>
      <c r="L192">
        <f ca="1">IF(AND(ISNUMBER($L$394),$B$208=1),$L$394,HLOOKUP(INDIRECT(ADDRESS(2,COLUMN())),OFFSET($BN$2,0,0,ROW()-1,60),ROW()-1,FALSE))</f>
        <v>200101</v>
      </c>
      <c r="M192" t="str">
        <f ca="1">IF(AND(ISNUMBER($M$394),$B$208=1),$M$394,HLOOKUP(INDIRECT(ADDRESS(2,COLUMN())),OFFSET($BN$2,0,0,ROW()-1,60),ROW()-1,FALSE))</f>
        <v/>
      </c>
      <c r="N192">
        <f ca="1">IF(AND(ISNUMBER($N$394),$B$208=1),$N$394,HLOOKUP(INDIRECT(ADDRESS(2,COLUMN())),OFFSET($BN$2,0,0,ROW()-1,60),ROW()-1,FALSE))</f>
        <v>209860</v>
      </c>
      <c r="O192" t="str">
        <f ca="1">IF(AND(ISNUMBER($O$394),$B$208=1),$O$394,HLOOKUP(INDIRECT(ADDRESS(2,COLUMN())),OFFSET($BN$2,0,0,ROW()-1,60),ROW()-1,FALSE))</f>
        <v/>
      </c>
      <c r="P192">
        <f ca="1">IF(AND(ISNUMBER($P$394),$B$208=1),$P$394,HLOOKUP(INDIRECT(ADDRESS(2,COLUMN())),OFFSET($BN$2,0,0,ROW()-1,60),ROW()-1,FALSE))</f>
        <v>212832</v>
      </c>
      <c r="Q192" t="str">
        <f ca="1">IF(AND(ISNUMBER($Q$394),$B$208=1),$Q$394,HLOOKUP(INDIRECT(ADDRESS(2,COLUMN())),OFFSET($BN$2,0,0,ROW()-1,60),ROW()-1,FALSE))</f>
        <v/>
      </c>
      <c r="R192">
        <f ca="1">IF(AND(ISNUMBER($R$394),$B$208=1),$R$394,HLOOKUP(INDIRECT(ADDRESS(2,COLUMN())),OFFSET($BN$2,0,0,ROW()-1,60),ROW()-1,FALSE))</f>
        <v>215324</v>
      </c>
      <c r="S192" t="str">
        <f ca="1">IF(AND(ISNUMBER($S$394),$B$208=1),$S$394,HLOOKUP(INDIRECT(ADDRESS(2,COLUMN())),OFFSET($BN$2,0,0,ROW()-1,60),ROW()-1,FALSE))</f>
        <v/>
      </c>
      <c r="T192">
        <f ca="1">IF(AND(ISNUMBER($T$394),$B$208=1),$T$394,HLOOKUP(INDIRECT(ADDRESS(2,COLUMN())),OFFSET($BN$2,0,0,ROW()-1,60),ROW()-1,FALSE))</f>
        <v>209015</v>
      </c>
      <c r="U192" t="str">
        <f ca="1">IF(AND(ISNUMBER($U$394),$B$208=1),$U$394,HLOOKUP(INDIRECT(ADDRESS(2,COLUMN())),OFFSET($BN$2,0,0,ROW()-1,60),ROW()-1,FALSE))</f>
        <v/>
      </c>
      <c r="V192">
        <f ca="1">IF(AND(ISNUMBER($V$394),$B$208=1),$V$394,HLOOKUP(INDIRECT(ADDRESS(2,COLUMN())),OFFSET($BN$2,0,0,ROW()-1,60),ROW()-1,FALSE))</f>
        <v>209466</v>
      </c>
      <c r="W192" t="str">
        <f ca="1">IF(AND(ISNUMBER($W$394),$B$208=1),$W$394,HLOOKUP(INDIRECT(ADDRESS(2,COLUMN())),OFFSET($BN$2,0,0,ROW()-1,60),ROW()-1,FALSE))</f>
        <v/>
      </c>
      <c r="X192">
        <f ca="1">IF(AND(ISNUMBER($X$394),$B$208=1),$X$394,HLOOKUP(INDIRECT(ADDRESS(2,COLUMN())),OFFSET($BN$2,0,0,ROW()-1,60),ROW()-1,FALSE))</f>
        <v>226584</v>
      </c>
      <c r="Y192" t="str">
        <f ca="1">IF(AND(ISNUMBER($Y$394),$B$208=1),$Y$394,HLOOKUP(INDIRECT(ADDRESS(2,COLUMN())),OFFSET($BN$2,0,0,ROW()-1,60),ROW()-1,FALSE))</f>
        <v/>
      </c>
      <c r="Z192">
        <f ca="1">IF(AND(ISNUMBER($Z$394),$B$208=1),$Z$394,HLOOKUP(INDIRECT(ADDRESS(2,COLUMN())),OFFSET($BN$2,0,0,ROW()-1,60),ROW()-1,FALSE))</f>
        <v>220370</v>
      </c>
      <c r="AA192" t="str">
        <f ca="1">IF(AND(ISNUMBER($AA$394),$B$208=1),$AA$394,HLOOKUP(INDIRECT(ADDRESS(2,COLUMN())),OFFSET($BN$2,0,0,ROW()-1,60),ROW()-1,FALSE))</f>
        <v/>
      </c>
      <c r="AB192">
        <f ca="1">IF(AND(ISNUMBER($AB$394),$B$208=1),$AB$394,HLOOKUP(INDIRECT(ADDRESS(2,COLUMN())),OFFSET($BN$2,0,0,ROW()-1,60),ROW()-1,FALSE))</f>
        <v>232376</v>
      </c>
      <c r="AC192" t="str">
        <f ca="1">IF(AND(ISNUMBER($AC$394),$B$208=1),$AC$394,HLOOKUP(INDIRECT(ADDRESS(2,COLUMN())),OFFSET($BN$2,0,0,ROW()-1,60),ROW()-1,FALSE))</f>
        <v/>
      </c>
      <c r="AD192">
        <f ca="1">IF(AND(ISNUMBER($AD$394),$B$208=1),$AD$394,HLOOKUP(INDIRECT(ADDRESS(2,COLUMN())),OFFSET($BN$2,0,0,ROW()-1,60),ROW()-1,FALSE))</f>
        <v>236594</v>
      </c>
      <c r="AE192" t="str">
        <f ca="1">IF(AND(ISNUMBER($AE$394),$B$208=1),$AE$394,HLOOKUP(INDIRECT(ADDRESS(2,COLUMN())),OFFSET($BN$2,0,0,ROW()-1,60),ROW()-1,FALSE))</f>
        <v/>
      </c>
      <c r="AF192">
        <f ca="1">IF(AND(ISNUMBER($AF$394),$B$208=1),$AF$394,HLOOKUP(INDIRECT(ADDRESS(2,COLUMN())),OFFSET($BN$2,0,0,ROW()-1,60),ROW()-1,FALSE))</f>
        <v>269083.04599999997</v>
      </c>
      <c r="AG192" t="str">
        <f ca="1">IF(AND(ISNUMBER($AG$394),$B$208=1),$AG$394,HLOOKUP(INDIRECT(ADDRESS(2,COLUMN())),OFFSET($BN$2,0,0,ROW()-1,60),ROW()-1,FALSE))</f>
        <v/>
      </c>
      <c r="AH192" t="str">
        <f ca="1">IF(AND(ISNUMBER($AH$394),$B$208=1),$AH$394,HLOOKUP(INDIRECT(ADDRESS(2,COLUMN())),OFFSET($BN$2,0,0,ROW()-1,60),ROW()-1,FALSE))</f>
        <v/>
      </c>
      <c r="AI192" t="str">
        <f ca="1">IF(AND(ISNUMBER($AI$394),$B$208=1),$AI$394,HLOOKUP(INDIRECT(ADDRESS(2,COLUMN())),OFFSET($BN$2,0,0,ROW()-1,60),ROW()-1,FALSE))</f>
        <v/>
      </c>
      <c r="AJ192" t="str">
        <f ca="1">IF(AND(ISNUMBER($AJ$394),$B$208=1),$AJ$394,HLOOKUP(INDIRECT(ADDRESS(2,COLUMN())),OFFSET($BN$2,0,0,ROW()-1,60),ROW()-1,FALSE))</f>
        <v/>
      </c>
      <c r="AK192" t="str">
        <f ca="1">IF(AND(ISNUMBER($AK$394),$B$208=1),$AK$394,HLOOKUP(INDIRECT(ADDRESS(2,COLUMN())),OFFSET($BN$2,0,0,ROW()-1,60),ROW()-1,FALSE))</f>
        <v/>
      </c>
      <c r="AL192" t="str">
        <f ca="1">IF(AND(ISNUMBER($AL$394),$B$208=1),$AL$394,HLOOKUP(INDIRECT(ADDRESS(2,COLUMN())),OFFSET($BN$2,0,0,ROW()-1,60),ROW()-1,FALSE))</f>
        <v/>
      </c>
      <c r="AM192" t="str">
        <f ca="1">IF(AND(ISNUMBER($AM$394),$B$208=1),$AM$394,HLOOKUP(INDIRECT(ADDRESS(2,COLUMN())),OFFSET($BN$2,0,0,ROW()-1,60),ROW()-1,FALSE))</f>
        <v/>
      </c>
      <c r="AN192" t="str">
        <f ca="1">IF(AND(ISNUMBER($AN$394),$B$208=1),$AN$394,HLOOKUP(INDIRECT(ADDRESS(2,COLUMN())),OFFSET($BN$2,0,0,ROW()-1,60),ROW()-1,FALSE))</f>
        <v/>
      </c>
      <c r="AO192" t="str">
        <f ca="1">IF(AND(ISNUMBER($AO$394),$B$208=1),$AO$394,HLOOKUP(INDIRECT(ADDRESS(2,COLUMN())),OFFSET($BN$2,0,0,ROW()-1,60),ROW()-1,FALSE))</f>
        <v/>
      </c>
      <c r="AP192" t="str">
        <f ca="1">IF(AND(ISNUMBER($AP$394),$B$208=1),$AP$394,HLOOKUP(INDIRECT(ADDRESS(2,COLUMN())),OFFSET($BN$2,0,0,ROW()-1,60),ROW()-1,FALSE))</f>
        <v/>
      </c>
      <c r="AQ192" t="str">
        <f ca="1">IF(AND(ISNUMBER($AQ$394),$B$208=1),$AQ$394,HLOOKUP(INDIRECT(ADDRESS(2,COLUMN())),OFFSET($BN$2,0,0,ROW()-1,60),ROW()-1,FALSE))</f>
        <v/>
      </c>
      <c r="AR192" t="str">
        <f ca="1">IF(AND(ISNUMBER($AR$394),$B$208=1),$AR$394,HLOOKUP(INDIRECT(ADDRESS(2,COLUMN())),OFFSET($BN$2,0,0,ROW()-1,60),ROW()-1,FALSE))</f>
        <v/>
      </c>
      <c r="AS192" t="str">
        <f ca="1">IF(AND(ISNUMBER($AS$394),$B$208=1),$AS$394,HLOOKUP(INDIRECT(ADDRESS(2,COLUMN())),OFFSET($BN$2,0,0,ROW()-1,60),ROW()-1,FALSE))</f>
        <v/>
      </c>
      <c r="AT192" t="str">
        <f ca="1">IF(AND(ISNUMBER($AT$394),$B$208=1),$AT$394,HLOOKUP(INDIRECT(ADDRESS(2,COLUMN())),OFFSET($BN$2,0,0,ROW()-1,60),ROW()-1,FALSE))</f>
        <v/>
      </c>
      <c r="AU192" t="str">
        <f ca="1">IF(AND(ISNUMBER($AU$394),$B$208=1),$AU$394,HLOOKUP(INDIRECT(ADDRESS(2,COLUMN())),OFFSET($BN$2,0,0,ROW()-1,60),ROW()-1,FALSE))</f>
        <v/>
      </c>
      <c r="AV192" t="str">
        <f ca="1">IF(AND(ISNUMBER($AV$394),$B$208=1),$AV$394,HLOOKUP(INDIRECT(ADDRESS(2,COLUMN())),OFFSET($BN$2,0,0,ROW()-1,60),ROW()-1,FALSE))</f>
        <v/>
      </c>
      <c r="AW192" t="str">
        <f ca="1">IF(AND(ISNUMBER($AW$394),$B$208=1),$AW$394,HLOOKUP(INDIRECT(ADDRESS(2,COLUMN())),OFFSET($BN$2,0,0,ROW()-1,60),ROW()-1,FALSE))</f>
        <v/>
      </c>
      <c r="AX192" t="str">
        <f ca="1">IF(AND(ISNUMBER($AX$394),$B$208=1),$AX$394,HLOOKUP(INDIRECT(ADDRESS(2,COLUMN())),OFFSET($BN$2,0,0,ROW()-1,60),ROW()-1,FALSE))</f>
        <v/>
      </c>
      <c r="AY192" t="str">
        <f ca="1">IF(AND(ISNUMBER($AY$394),$B$208=1),$AY$394,HLOOKUP(INDIRECT(ADDRESS(2,COLUMN())),OFFSET($BN$2,0,0,ROW()-1,60),ROW()-1,FALSE))</f>
        <v/>
      </c>
      <c r="AZ192" t="str">
        <f ca="1">IF(AND(ISNUMBER($AZ$394),$B$208=1),$AZ$394,HLOOKUP(INDIRECT(ADDRESS(2,COLUMN())),OFFSET($BN$2,0,0,ROW()-1,60),ROW()-1,FALSE))</f>
        <v/>
      </c>
      <c r="BA192" t="str">
        <f ca="1">IF(AND(ISNUMBER($BA$394),$B$208=1),$BA$394,HLOOKUP(INDIRECT(ADDRESS(2,COLUMN())),OFFSET($BN$2,0,0,ROW()-1,60),ROW()-1,FALSE))</f>
        <v/>
      </c>
      <c r="BB192" t="str">
        <f ca="1">IF(AND(ISNUMBER($BB$394),$B$208=1),$BB$394,HLOOKUP(INDIRECT(ADDRESS(2,COLUMN())),OFFSET($BN$2,0,0,ROW()-1,60),ROW()-1,FALSE))</f>
        <v/>
      </c>
      <c r="BC192" t="str">
        <f ca="1">IF(AND(ISNUMBER($BC$394),$B$208=1),$BC$394,HLOOKUP(INDIRECT(ADDRESS(2,COLUMN())),OFFSET($BN$2,0,0,ROW()-1,60),ROW()-1,FALSE))</f>
        <v/>
      </c>
      <c r="BD192" t="str">
        <f ca="1">IF(AND(ISNUMBER($BD$394),$B$208=1),$BD$394,HLOOKUP(INDIRECT(ADDRESS(2,COLUMN())),OFFSET($BN$2,0,0,ROW()-1,60),ROW()-1,FALSE))</f>
        <v/>
      </c>
      <c r="BE192" t="str">
        <f ca="1">IF(AND(ISNUMBER($BE$394),$B$208=1),$BE$394,HLOOKUP(INDIRECT(ADDRESS(2,COLUMN())),OFFSET($BN$2,0,0,ROW()-1,60),ROW()-1,FALSE))</f>
        <v/>
      </c>
      <c r="BF192" t="str">
        <f ca="1">IF(AND(ISNUMBER($BF$394),$B$208=1),$BF$394,HLOOKUP(INDIRECT(ADDRESS(2,COLUMN())),OFFSET($BN$2,0,0,ROW()-1,60),ROW()-1,FALSE))</f>
        <v/>
      </c>
      <c r="BG192" t="str">
        <f ca="1">IF(AND(ISNUMBER($BG$394),$B$208=1),$BG$394,HLOOKUP(INDIRECT(ADDRESS(2,COLUMN())),OFFSET($BN$2,0,0,ROW()-1,60),ROW()-1,FALSE))</f>
        <v/>
      </c>
      <c r="BH192" t="str">
        <f ca="1">IF(AND(ISNUMBER($BH$394),$B$208=1),$BH$394,HLOOKUP(INDIRECT(ADDRESS(2,COLUMN())),OFFSET($BN$2,0,0,ROW()-1,60),ROW()-1,FALSE))</f>
        <v/>
      </c>
      <c r="BI192" t="str">
        <f ca="1">IF(AND(ISNUMBER($BI$394),$B$208=1),$BI$394,HLOOKUP(INDIRECT(ADDRESS(2,COLUMN())),OFFSET($BN$2,0,0,ROW()-1,60),ROW()-1,FALSE))</f>
        <v/>
      </c>
      <c r="BJ192" t="str">
        <f ca="1">IF(AND(ISNUMBER($BJ$394),$B$208=1),$BJ$394,HLOOKUP(INDIRECT(ADDRESS(2,COLUMN())),OFFSET($BN$2,0,0,ROW()-1,60),ROW()-1,FALSE))</f>
        <v/>
      </c>
      <c r="BK192" t="str">
        <f ca="1">IF(AND(ISNUMBER($BK$394),$B$208=1),$BK$394,HLOOKUP(INDIRECT(ADDRESS(2,COLUMN())),OFFSET($BN$2,0,0,ROW()-1,60),ROW()-1,FALSE))</f>
        <v/>
      </c>
      <c r="BL192" t="str">
        <f ca="1">IF(AND(ISNUMBER($BL$394),$B$208=1),$BL$394,HLOOKUP(INDIRECT(ADDRESS(2,COLUMN())),OFFSET($BN$2,0,0,ROW()-1,60),ROW()-1,FALSE))</f>
        <v/>
      </c>
      <c r="BM192" t="str">
        <f ca="1">IF(AND(ISNUMBER($BM$394),$B$208=1),$BM$394,HLOOKUP(INDIRECT(ADDRESS(2,COLUMN())),OFFSET($BN$2,0,0,ROW()-1,60),ROW()-1,FALSE))</f>
        <v/>
      </c>
      <c r="BN192">
        <f>189894</f>
        <v>189894</v>
      </c>
      <c r="BO192" t="str">
        <f>""</f>
        <v/>
      </c>
      <c r="BP192">
        <f>188973</f>
        <v>188973</v>
      </c>
      <c r="BQ192" t="str">
        <f>""</f>
        <v/>
      </c>
      <c r="BR192">
        <f>193208</f>
        <v>193208</v>
      </c>
      <c r="BS192" t="str">
        <f>""</f>
        <v/>
      </c>
      <c r="BT192">
        <f>200101</f>
        <v>200101</v>
      </c>
      <c r="BU192" t="str">
        <f>""</f>
        <v/>
      </c>
      <c r="BV192">
        <f>209860</f>
        <v>209860</v>
      </c>
      <c r="BW192" t="str">
        <f>""</f>
        <v/>
      </c>
      <c r="BX192">
        <f>212832</f>
        <v>212832</v>
      </c>
      <c r="BY192" t="str">
        <f>""</f>
        <v/>
      </c>
      <c r="BZ192">
        <f>215324</f>
        <v>215324</v>
      </c>
      <c r="CA192" t="str">
        <f>""</f>
        <v/>
      </c>
      <c r="CB192">
        <f>209015</f>
        <v>209015</v>
      </c>
      <c r="CC192" t="str">
        <f>""</f>
        <v/>
      </c>
      <c r="CD192">
        <f>209466</f>
        <v>209466</v>
      </c>
      <c r="CE192" t="str">
        <f>""</f>
        <v/>
      </c>
      <c r="CF192">
        <f>226584</f>
        <v>226584</v>
      </c>
      <c r="CG192" t="str">
        <f>""</f>
        <v/>
      </c>
      <c r="CH192">
        <f>220370</f>
        <v>220370</v>
      </c>
      <c r="CI192" t="str">
        <f>""</f>
        <v/>
      </c>
      <c r="CJ192">
        <f>232376</f>
        <v>232376</v>
      </c>
      <c r="CK192" t="str">
        <f>""</f>
        <v/>
      </c>
      <c r="CL192">
        <f>236594</f>
        <v>236594</v>
      </c>
      <c r="CM192" t="str">
        <f>""</f>
        <v/>
      </c>
      <c r="CN192">
        <f>269083.046</f>
        <v>269083.04599999997</v>
      </c>
      <c r="CO192" t="str">
        <f>""</f>
        <v/>
      </c>
      <c r="CP192" t="str">
        <f>""</f>
        <v/>
      </c>
      <c r="CQ192" t="str">
        <f>""</f>
        <v/>
      </c>
      <c r="CR192" t="str">
        <f>""</f>
        <v/>
      </c>
      <c r="CS192" t="str">
        <f>""</f>
        <v/>
      </c>
      <c r="CT192" t="str">
        <f>""</f>
        <v/>
      </c>
      <c r="CU192" t="str">
        <f>""</f>
        <v/>
      </c>
      <c r="CV192" t="str">
        <f>""</f>
        <v/>
      </c>
      <c r="CW192" t="str">
        <f>""</f>
        <v/>
      </c>
      <c r="CX192" t="str">
        <f>""</f>
        <v/>
      </c>
      <c r="CY192" t="str">
        <f>""</f>
        <v/>
      </c>
      <c r="CZ192" t="str">
        <f>""</f>
        <v/>
      </c>
      <c r="DA192" t="str">
        <f>""</f>
        <v/>
      </c>
      <c r="DB192" t="str">
        <f>""</f>
        <v/>
      </c>
      <c r="DC192" t="str">
        <f>""</f>
        <v/>
      </c>
      <c r="DD192" t="str">
        <f>""</f>
        <v/>
      </c>
      <c r="DE192" t="str">
        <f>""</f>
        <v/>
      </c>
      <c r="DF192" t="str">
        <f>""</f>
        <v/>
      </c>
      <c r="DG192" t="str">
        <f>""</f>
        <v/>
      </c>
      <c r="DH192" t="str">
        <f>""</f>
        <v/>
      </c>
      <c r="DI192" t="str">
        <f>""</f>
        <v/>
      </c>
      <c r="DJ192" t="str">
        <f>""</f>
        <v/>
      </c>
      <c r="DK192" t="str">
        <f>""</f>
        <v/>
      </c>
      <c r="DL192" t="str">
        <f>""</f>
        <v/>
      </c>
      <c r="DM192" t="str">
        <f>""</f>
        <v/>
      </c>
      <c r="DN192" t="str">
        <f>""</f>
        <v/>
      </c>
      <c r="DO192" t="str">
        <f>""</f>
        <v/>
      </c>
      <c r="DP192" t="str">
        <f>""</f>
        <v/>
      </c>
      <c r="DQ192" t="str">
        <f>""</f>
        <v/>
      </c>
      <c r="DR192" t="str">
        <f>""</f>
        <v/>
      </c>
      <c r="DS192" t="str">
        <f>""</f>
        <v/>
      </c>
      <c r="DT192" t="str">
        <f>""</f>
        <v/>
      </c>
      <c r="DU192" t="str">
        <f>""</f>
        <v/>
      </c>
    </row>
    <row r="193" spans="1:125" x14ac:dyDescent="0.25"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  <c r="BT193" t="str">
        <f>""</f>
        <v/>
      </c>
      <c r="BU193" t="str">
        <f>""</f>
        <v/>
      </c>
      <c r="BV193" t="str">
        <f>""</f>
        <v/>
      </c>
      <c r="BW193" t="str">
        <f>""</f>
        <v/>
      </c>
      <c r="BX193" t="str">
        <f>""</f>
        <v/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""</f>
        <v/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  <c r="CH193" t="str">
        <f>""</f>
        <v/>
      </c>
      <c r="CI193" t="str">
        <f>""</f>
        <v/>
      </c>
      <c r="CJ193" t="str">
        <f>""</f>
        <v/>
      </c>
      <c r="CK193" t="str">
        <f>""</f>
        <v/>
      </c>
      <c r="CL193" t="str">
        <f>""</f>
        <v/>
      </c>
      <c r="CM193" t="str">
        <f>""</f>
        <v/>
      </c>
      <c r="CN193" t="str">
        <f>""</f>
        <v/>
      </c>
      <c r="CO193" t="str">
        <f>""</f>
        <v/>
      </c>
      <c r="CP193" t="str">
        <f>""</f>
        <v/>
      </c>
      <c r="CQ193" t="str">
        <f>""</f>
        <v/>
      </c>
      <c r="CR193" t="str">
        <f>""</f>
        <v/>
      </c>
      <c r="CS193" t="str">
        <f>""</f>
        <v/>
      </c>
      <c r="CT193" t="str">
        <f>""</f>
        <v/>
      </c>
      <c r="CU193" t="str">
        <f>""</f>
        <v/>
      </c>
      <c r="CV193" t="str">
        <f>""</f>
        <v/>
      </c>
      <c r="CW193" t="str">
        <f>""</f>
        <v/>
      </c>
      <c r="CX193" t="str">
        <f>""</f>
        <v/>
      </c>
      <c r="CY193" t="str">
        <f>""</f>
        <v/>
      </c>
      <c r="CZ193" t="str">
        <f>""</f>
        <v/>
      </c>
      <c r="DA193" t="str">
        <f>""</f>
        <v/>
      </c>
      <c r="DB193" t="str">
        <f>""</f>
        <v/>
      </c>
      <c r="DC193" t="str">
        <f>""</f>
        <v/>
      </c>
      <c r="DD193" t="str">
        <f>""</f>
        <v/>
      </c>
      <c r="DE193" t="str">
        <f>""</f>
        <v/>
      </c>
      <c r="DF193" t="str">
        <f>""</f>
        <v/>
      </c>
      <c r="DG193" t="str">
        <f>""</f>
        <v/>
      </c>
      <c r="DH193" t="str">
        <f>""</f>
        <v/>
      </c>
      <c r="DI193" t="str">
        <f>""</f>
        <v/>
      </c>
      <c r="DJ193" t="str">
        <f>""</f>
        <v/>
      </c>
      <c r="DK193" t="str">
        <f>""</f>
        <v/>
      </c>
      <c r="DL193" t="str">
        <f>""</f>
        <v/>
      </c>
      <c r="DM193" t="str">
        <f>""</f>
        <v/>
      </c>
      <c r="DN193" t="str">
        <f>""</f>
        <v/>
      </c>
      <c r="DO193" t="str">
        <f>""</f>
        <v/>
      </c>
      <c r="DP193" t="str">
        <f>""</f>
        <v/>
      </c>
      <c r="DQ193" t="str">
        <f>""</f>
        <v/>
      </c>
      <c r="DR193" t="str">
        <f>""</f>
        <v/>
      </c>
      <c r="DS193" t="str">
        <f>""</f>
        <v/>
      </c>
      <c r="DT193" t="str">
        <f>""</f>
        <v/>
      </c>
      <c r="DU193" t="str">
        <f>""</f>
        <v/>
      </c>
    </row>
    <row r="194" spans="1:125" x14ac:dyDescent="0.25"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  <c r="BT194" t="str">
        <f>""</f>
        <v/>
      </c>
      <c r="BU194" t="str">
        <f>""</f>
        <v/>
      </c>
      <c r="BV194" t="str">
        <f>""</f>
        <v/>
      </c>
      <c r="BW194" t="str">
        <f>""</f>
        <v/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  <c r="CH194" t="str">
        <f>""</f>
        <v/>
      </c>
      <c r="CI194" t="str">
        <f>""</f>
        <v/>
      </c>
      <c r="CJ194" t="str">
        <f>""</f>
        <v/>
      </c>
      <c r="CK194" t="str">
        <f>""</f>
        <v/>
      </c>
      <c r="CL194" t="str">
        <f>""</f>
        <v/>
      </c>
      <c r="CM194" t="str">
        <f>""</f>
        <v/>
      </c>
      <c r="CN194" t="str">
        <f>""</f>
        <v/>
      </c>
      <c r="CO194" t="str">
        <f>""</f>
        <v/>
      </c>
      <c r="CP194" t="str">
        <f>""</f>
        <v/>
      </c>
      <c r="CQ194" t="str">
        <f>""</f>
        <v/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 t="str">
        <f>""</f>
        <v/>
      </c>
      <c r="CZ194" t="str">
        <f>""</f>
        <v/>
      </c>
      <c r="DA194" t="str">
        <f>""</f>
        <v/>
      </c>
      <c r="DB194" t="str">
        <f>""</f>
        <v/>
      </c>
      <c r="DC194" t="str">
        <f>""</f>
        <v/>
      </c>
      <c r="DD194" t="str">
        <f>""</f>
        <v/>
      </c>
      <c r="DE194" t="str">
        <f>""</f>
        <v/>
      </c>
      <c r="DF194" t="str">
        <f>""</f>
        <v/>
      </c>
      <c r="DG194" t="str">
        <f>""</f>
        <v/>
      </c>
      <c r="DH194" t="str">
        <f>""</f>
        <v/>
      </c>
      <c r="DI194" t="str">
        <f>""</f>
        <v/>
      </c>
      <c r="DJ194" t="str">
        <f>""</f>
        <v/>
      </c>
      <c r="DK194" t="str">
        <f>""</f>
        <v/>
      </c>
      <c r="DL194" t="str">
        <f>""</f>
        <v/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1:125" x14ac:dyDescent="0.25"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  <c r="BT195" t="str">
        <f>""</f>
        <v/>
      </c>
      <c r="BU195" t="str">
        <f>""</f>
        <v/>
      </c>
      <c r="BV195" t="str">
        <f>""</f>
        <v/>
      </c>
      <c r="BW195" t="str">
        <f>""</f>
        <v/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  <c r="CH195" t="str">
        <f>""</f>
        <v/>
      </c>
      <c r="CI195" t="str">
        <f>""</f>
        <v/>
      </c>
      <c r="CJ195" t="str">
        <f>""</f>
        <v/>
      </c>
      <c r="CK195" t="str">
        <f>""</f>
        <v/>
      </c>
      <c r="CL195" t="str">
        <f>""</f>
        <v/>
      </c>
      <c r="CM195" t="str">
        <f>""</f>
        <v/>
      </c>
      <c r="CN195" t="str">
        <f>""</f>
        <v/>
      </c>
      <c r="CO195" t="str">
        <f>""</f>
        <v/>
      </c>
      <c r="CP195" t="str">
        <f>""</f>
        <v/>
      </c>
      <c r="CQ195" t="str">
        <f>""</f>
        <v/>
      </c>
      <c r="CR195" t="str">
        <f>""</f>
        <v/>
      </c>
      <c r="CS195" t="str">
        <f>""</f>
        <v/>
      </c>
      <c r="CT195" t="str">
        <f>""</f>
        <v/>
      </c>
      <c r="CU195" t="str">
        <f>""</f>
        <v/>
      </c>
      <c r="CV195" t="str">
        <f>""</f>
        <v/>
      </c>
      <c r="CW195" t="str">
        <f>""</f>
        <v/>
      </c>
      <c r="CX195" t="str">
        <f>""</f>
        <v/>
      </c>
      <c r="CY195" t="str">
        <f>""</f>
        <v/>
      </c>
      <c r="CZ195" t="str">
        <f>""</f>
        <v/>
      </c>
      <c r="DA195" t="str">
        <f>""</f>
        <v/>
      </c>
      <c r="DB195" t="str">
        <f>""</f>
        <v/>
      </c>
      <c r="DC195" t="str">
        <f>""</f>
        <v/>
      </c>
      <c r="DD195" t="str">
        <f>""</f>
        <v/>
      </c>
      <c r="DE195" t="str">
        <f>""</f>
        <v/>
      </c>
      <c r="DF195" t="str">
        <f>""</f>
        <v/>
      </c>
      <c r="DG195" t="str">
        <f>""</f>
        <v/>
      </c>
      <c r="DH195" t="str">
        <f>""</f>
        <v/>
      </c>
      <c r="DI195" t="str">
        <f>""</f>
        <v/>
      </c>
      <c r="DJ195" t="str">
        <f>""</f>
        <v/>
      </c>
      <c r="DK195" t="str">
        <f>""</f>
        <v/>
      </c>
      <c r="DL195" t="str">
        <f>""</f>
        <v/>
      </c>
      <c r="DM195" t="str">
        <f>""</f>
        <v/>
      </c>
      <c r="DN195" t="str">
        <f>""</f>
        <v/>
      </c>
      <c r="DO195" t="str">
        <f>""</f>
        <v/>
      </c>
      <c r="DP195" t="str">
        <f>""</f>
        <v/>
      </c>
      <c r="DQ195" t="str">
        <f>""</f>
        <v/>
      </c>
      <c r="DR195" t="str">
        <f>""</f>
        <v/>
      </c>
      <c r="DS195" t="str">
        <f>""</f>
        <v/>
      </c>
      <c r="DT195" t="str">
        <f>""</f>
        <v/>
      </c>
      <c r="DU195" t="str">
        <f>""</f>
        <v/>
      </c>
    </row>
    <row r="196" spans="1:125" x14ac:dyDescent="0.25"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  <c r="BT196" t="str">
        <f>""</f>
        <v/>
      </c>
      <c r="BU196" t="str">
        <f>""</f>
        <v/>
      </c>
      <c r="BV196" t="str">
        <f>""</f>
        <v/>
      </c>
      <c r="BW196" t="str">
        <f>""</f>
        <v/>
      </c>
      <c r="BX196" t="str">
        <f>""</f>
        <v/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  <c r="CH196" t="str">
        <f>""</f>
        <v/>
      </c>
      <c r="CI196" t="str">
        <f>""</f>
        <v/>
      </c>
      <c r="CJ196" t="str">
        <f>""</f>
        <v/>
      </c>
      <c r="CK196" t="str">
        <f>""</f>
        <v/>
      </c>
      <c r="CL196" t="str">
        <f>""</f>
        <v/>
      </c>
      <c r="CM196" t="str">
        <f>""</f>
        <v/>
      </c>
      <c r="CN196" t="str">
        <f>""</f>
        <v/>
      </c>
      <c r="CO196" t="str">
        <f>""</f>
        <v/>
      </c>
      <c r="CP196" t="str">
        <f>""</f>
        <v/>
      </c>
      <c r="CQ196" t="str">
        <f>""</f>
        <v/>
      </c>
      <c r="CR196" t="str">
        <f>""</f>
        <v/>
      </c>
      <c r="CS196" t="str">
        <f>""</f>
        <v/>
      </c>
      <c r="CT196" t="str">
        <f>""</f>
        <v/>
      </c>
      <c r="CU196" t="str">
        <f>""</f>
        <v/>
      </c>
      <c r="CV196" t="str">
        <f>""</f>
        <v/>
      </c>
      <c r="CW196" t="str">
        <f>""</f>
        <v/>
      </c>
      <c r="CX196" t="str">
        <f>""</f>
        <v/>
      </c>
      <c r="CY196" t="str">
        <f>""</f>
        <v/>
      </c>
      <c r="CZ196" t="str">
        <f>""</f>
        <v/>
      </c>
      <c r="DA196" t="str">
        <f>""</f>
        <v/>
      </c>
      <c r="DB196" t="str">
        <f>""</f>
        <v/>
      </c>
      <c r="DC196" t="str">
        <f>""</f>
        <v/>
      </c>
      <c r="DD196" t="str">
        <f>""</f>
        <v/>
      </c>
      <c r="DE196" t="str">
        <f>""</f>
        <v/>
      </c>
      <c r="DF196" t="str">
        <f>""</f>
        <v/>
      </c>
      <c r="DG196" t="str">
        <f>""</f>
        <v/>
      </c>
      <c r="DH196" t="str">
        <f>""</f>
        <v/>
      </c>
      <c r="DI196" t="str">
        <f>""</f>
        <v/>
      </c>
      <c r="DJ196" t="str">
        <f>""</f>
        <v/>
      </c>
      <c r="DK196" t="str">
        <f>""</f>
        <v/>
      </c>
      <c r="DL196" t="str">
        <f>""</f>
        <v/>
      </c>
      <c r="DM196" t="str">
        <f>""</f>
        <v/>
      </c>
      <c r="DN196" t="str">
        <f>""</f>
        <v/>
      </c>
      <c r="DO196" t="str">
        <f>""</f>
        <v/>
      </c>
      <c r="DP196" t="str">
        <f>""</f>
        <v/>
      </c>
      <c r="DQ196" t="str">
        <f>""</f>
        <v/>
      </c>
      <c r="DR196" t="str">
        <f>""</f>
        <v/>
      </c>
      <c r="DS196" t="str">
        <f>""</f>
        <v/>
      </c>
      <c r="DT196" t="str">
        <f>""</f>
        <v/>
      </c>
      <c r="DU196" t="str">
        <f>""</f>
        <v/>
      </c>
    </row>
    <row r="197" spans="1:125" x14ac:dyDescent="0.25"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  <c r="BT197" t="str">
        <f>""</f>
        <v/>
      </c>
      <c r="BU197" t="str">
        <f>""</f>
        <v/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  <c r="CI197" t="str">
        <f>""</f>
        <v/>
      </c>
      <c r="CJ197" t="str">
        <f>""</f>
        <v/>
      </c>
      <c r="CK197" t="str">
        <f>""</f>
        <v/>
      </c>
      <c r="CL197" t="str">
        <f>""</f>
        <v/>
      </c>
      <c r="CM197" t="str">
        <f>""</f>
        <v/>
      </c>
      <c r="CN197" t="str">
        <f>""</f>
        <v/>
      </c>
      <c r="CO197" t="str">
        <f>""</f>
        <v/>
      </c>
      <c r="CP197" t="str">
        <f>""</f>
        <v/>
      </c>
      <c r="CQ197" t="str">
        <f>""</f>
        <v/>
      </c>
      <c r="CR197" t="str">
        <f>""</f>
        <v/>
      </c>
      <c r="CS197" t="str">
        <f>""</f>
        <v/>
      </c>
      <c r="CT197" t="str">
        <f>""</f>
        <v/>
      </c>
      <c r="CU197" t="str">
        <f>""</f>
        <v/>
      </c>
      <c r="CV197" t="str">
        <f>""</f>
        <v/>
      </c>
      <c r="CW197" t="str">
        <f>""</f>
        <v/>
      </c>
      <c r="CX197" t="str">
        <f>""</f>
        <v/>
      </c>
      <c r="CY197" t="str">
        <f>""</f>
        <v/>
      </c>
      <c r="CZ197" t="str">
        <f>""</f>
        <v/>
      </c>
      <c r="DA197" t="str">
        <f>""</f>
        <v/>
      </c>
      <c r="DB197" t="str">
        <f>""</f>
        <v/>
      </c>
      <c r="DC197" t="str">
        <f>""</f>
        <v/>
      </c>
      <c r="DD197" t="str">
        <f>""</f>
        <v/>
      </c>
      <c r="DE197" t="str">
        <f>""</f>
        <v/>
      </c>
      <c r="DF197" t="str">
        <f>""</f>
        <v/>
      </c>
      <c r="DG197" t="str">
        <f>""</f>
        <v/>
      </c>
      <c r="DH197" t="str">
        <f>""</f>
        <v/>
      </c>
      <c r="DI197" t="str">
        <f>""</f>
        <v/>
      </c>
      <c r="DJ197" t="str">
        <f>""</f>
        <v/>
      </c>
      <c r="DK197" t="str">
        <f>""</f>
        <v/>
      </c>
      <c r="DL197" t="str">
        <f>""</f>
        <v/>
      </c>
      <c r="DM197" t="str">
        <f>""</f>
        <v/>
      </c>
      <c r="DN197" t="str">
        <f>""</f>
        <v/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1:125" x14ac:dyDescent="0.25"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  <c r="BT198" t="str">
        <f>""</f>
        <v/>
      </c>
      <c r="BU198" t="str">
        <f>""</f>
        <v/>
      </c>
      <c r="BV198" t="str">
        <f>""</f>
        <v/>
      </c>
      <c r="BW198" t="str">
        <f>""</f>
        <v/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  <c r="CH198" t="str">
        <f>""</f>
        <v/>
      </c>
      <c r="CI198" t="str">
        <f>""</f>
        <v/>
      </c>
      <c r="CJ198" t="str">
        <f>""</f>
        <v/>
      </c>
      <c r="CK198" t="str">
        <f>""</f>
        <v/>
      </c>
      <c r="CL198" t="str">
        <f>""</f>
        <v/>
      </c>
      <c r="CM198" t="str">
        <f>""</f>
        <v/>
      </c>
      <c r="CN198" t="str">
        <f>""</f>
        <v/>
      </c>
      <c r="CO198" t="str">
        <f>""</f>
        <v/>
      </c>
      <c r="CP198" t="str">
        <f>""</f>
        <v/>
      </c>
      <c r="CQ198" t="str">
        <f>""</f>
        <v/>
      </c>
      <c r="CR198" t="str">
        <f>""</f>
        <v/>
      </c>
      <c r="CS198" t="str">
        <f>""</f>
        <v/>
      </c>
      <c r="CT198" t="str">
        <f>""</f>
        <v/>
      </c>
      <c r="CU198" t="str">
        <f>""</f>
        <v/>
      </c>
      <c r="CV198" t="str">
        <f>""</f>
        <v/>
      </c>
      <c r="CW198" t="str">
        <f>""</f>
        <v/>
      </c>
      <c r="CX198" t="str">
        <f>""</f>
        <v/>
      </c>
      <c r="CY198" t="str">
        <f>""</f>
        <v/>
      </c>
      <c r="CZ198" t="str">
        <f>""</f>
        <v/>
      </c>
      <c r="DA198" t="str">
        <f>""</f>
        <v/>
      </c>
      <c r="DB198" t="str">
        <f>""</f>
        <v/>
      </c>
      <c r="DC198" t="str">
        <f>""</f>
        <v/>
      </c>
      <c r="DD198" t="str">
        <f>""</f>
        <v/>
      </c>
      <c r="DE198" t="str">
        <f>""</f>
        <v/>
      </c>
      <c r="DF198" t="str">
        <f>""</f>
        <v/>
      </c>
      <c r="DG198" t="str">
        <f>""</f>
        <v/>
      </c>
      <c r="DH198" t="str">
        <f>""</f>
        <v/>
      </c>
      <c r="DI198" t="str">
        <f>""</f>
        <v/>
      </c>
      <c r="DJ198" t="str">
        <f>""</f>
        <v/>
      </c>
      <c r="DK198" t="str">
        <f>""</f>
        <v/>
      </c>
      <c r="DL198" t="str">
        <f>""</f>
        <v/>
      </c>
      <c r="DM198" t="str">
        <f>""</f>
        <v/>
      </c>
      <c r="DN198" t="str">
        <f>""</f>
        <v/>
      </c>
      <c r="DO198" t="str">
        <f>""</f>
        <v/>
      </c>
      <c r="DP198" t="str">
        <f>""</f>
        <v/>
      </c>
      <c r="DQ198" t="str">
        <f>""</f>
        <v/>
      </c>
      <c r="DR198" t="str">
        <f>""</f>
        <v/>
      </c>
      <c r="DS198" t="str">
        <f>""</f>
        <v/>
      </c>
      <c r="DT198" t="str">
        <f>""</f>
        <v/>
      </c>
      <c r="DU198" t="str">
        <f>""</f>
        <v/>
      </c>
    </row>
    <row r="199" spans="1:125" x14ac:dyDescent="0.25"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  <c r="BT199" t="str">
        <f>""</f>
        <v/>
      </c>
      <c r="BU199" t="str">
        <f>""</f>
        <v/>
      </c>
      <c r="BV199" t="str">
        <f>""</f>
        <v/>
      </c>
      <c r="BW199" t="str">
        <f>""</f>
        <v/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  <c r="CH199" t="str">
        <f>""</f>
        <v/>
      </c>
      <c r="CI199" t="str">
        <f>""</f>
        <v/>
      </c>
      <c r="CJ199" t="str">
        <f>""</f>
        <v/>
      </c>
      <c r="CK199" t="str">
        <f>""</f>
        <v/>
      </c>
      <c r="CL199" t="str">
        <f>""</f>
        <v/>
      </c>
      <c r="CM199" t="str">
        <f>""</f>
        <v/>
      </c>
      <c r="CN199" t="str">
        <f>""</f>
        <v/>
      </c>
      <c r="CO199" t="str">
        <f>""</f>
        <v/>
      </c>
      <c r="CP199" t="str">
        <f>""</f>
        <v/>
      </c>
      <c r="CQ199" t="str">
        <f>""</f>
        <v/>
      </c>
      <c r="CR199" t="str">
        <f>""</f>
        <v/>
      </c>
      <c r="CS199" t="str">
        <f>""</f>
        <v/>
      </c>
      <c r="CT199" t="str">
        <f>""</f>
        <v/>
      </c>
      <c r="CU199" t="str">
        <f>""</f>
        <v/>
      </c>
      <c r="CV199" t="str">
        <f>""</f>
        <v/>
      </c>
      <c r="CW199" t="str">
        <f>""</f>
        <v/>
      </c>
      <c r="CX199" t="str">
        <f>""</f>
        <v/>
      </c>
      <c r="CY199" t="str">
        <f>""</f>
        <v/>
      </c>
      <c r="CZ199" t="str">
        <f>""</f>
        <v/>
      </c>
      <c r="DA199" t="str">
        <f>""</f>
        <v/>
      </c>
      <c r="DB199" t="str">
        <f>""</f>
        <v/>
      </c>
      <c r="DC199" t="str">
        <f>""</f>
        <v/>
      </c>
      <c r="DD199" t="str">
        <f>""</f>
        <v/>
      </c>
      <c r="DE199" t="str">
        <f>""</f>
        <v/>
      </c>
      <c r="DF199" t="str">
        <f>""</f>
        <v/>
      </c>
      <c r="DG199" t="str">
        <f>""</f>
        <v/>
      </c>
      <c r="DH199" t="str">
        <f>""</f>
        <v/>
      </c>
      <c r="DI199" t="str">
        <f>""</f>
        <v/>
      </c>
      <c r="DJ199" t="str">
        <f>""</f>
        <v/>
      </c>
      <c r="DK199" t="str">
        <f>""</f>
        <v/>
      </c>
      <c r="DL199" t="str">
        <f>""</f>
        <v/>
      </c>
      <c r="DM199" t="str">
        <f>""</f>
        <v/>
      </c>
      <c r="DN199" t="str">
        <f>""</f>
        <v/>
      </c>
      <c r="DO199" t="str">
        <f>""</f>
        <v/>
      </c>
      <c r="DP199" t="str">
        <f>""</f>
        <v/>
      </c>
      <c r="DQ199" t="str">
        <f>""</f>
        <v/>
      </c>
      <c r="DR199" t="str">
        <f>""</f>
        <v/>
      </c>
      <c r="DS199" t="str">
        <f>""</f>
        <v/>
      </c>
      <c r="DT199" t="str">
        <f>""</f>
        <v/>
      </c>
      <c r="DU199" t="str">
        <f>""</f>
        <v/>
      </c>
    </row>
    <row r="200" spans="1:125" x14ac:dyDescent="0.25">
      <c r="A200" t="str">
        <f t="shared" ref="A200:AF200" si="15">"~~~~~~~~~~"</f>
        <v>~~~~~~~~~~</v>
      </c>
      <c r="B200" t="str">
        <f t="shared" si="15"/>
        <v>~~~~~~~~~~</v>
      </c>
      <c r="C200" t="str">
        <f t="shared" si="15"/>
        <v>~~~~~~~~~~</v>
      </c>
      <c r="D200" t="str">
        <f t="shared" si="15"/>
        <v>~~~~~~~~~~</v>
      </c>
      <c r="E200" t="str">
        <f t="shared" si="15"/>
        <v>~~~~~~~~~~</v>
      </c>
      <c r="F200" t="str">
        <f t="shared" si="15"/>
        <v>~~~~~~~~~~</v>
      </c>
      <c r="G200" t="str">
        <f t="shared" si="15"/>
        <v>~~~~~~~~~~</v>
      </c>
      <c r="H200" t="str">
        <f t="shared" si="15"/>
        <v>~~~~~~~~~~</v>
      </c>
      <c r="I200" t="str">
        <f t="shared" si="15"/>
        <v>~~~~~~~~~~</v>
      </c>
      <c r="J200" t="str">
        <f t="shared" si="15"/>
        <v>~~~~~~~~~~</v>
      </c>
      <c r="K200" t="str">
        <f t="shared" si="15"/>
        <v>~~~~~~~~~~</v>
      </c>
      <c r="L200" t="str">
        <f t="shared" si="15"/>
        <v>~~~~~~~~~~</v>
      </c>
      <c r="M200" t="str">
        <f t="shared" si="15"/>
        <v>~~~~~~~~~~</v>
      </c>
      <c r="N200" t="str">
        <f t="shared" si="15"/>
        <v>~~~~~~~~~~</v>
      </c>
      <c r="O200" t="str">
        <f t="shared" si="15"/>
        <v>~~~~~~~~~~</v>
      </c>
      <c r="P200" t="str">
        <f t="shared" si="15"/>
        <v>~~~~~~~~~~</v>
      </c>
      <c r="Q200" t="str">
        <f t="shared" si="15"/>
        <v>~~~~~~~~~~</v>
      </c>
      <c r="R200" t="str">
        <f t="shared" si="15"/>
        <v>~~~~~~~~~~</v>
      </c>
      <c r="S200" t="str">
        <f t="shared" si="15"/>
        <v>~~~~~~~~~~</v>
      </c>
      <c r="T200" t="str">
        <f t="shared" si="15"/>
        <v>~~~~~~~~~~</v>
      </c>
      <c r="U200" t="str">
        <f t="shared" si="15"/>
        <v>~~~~~~~~~~</v>
      </c>
      <c r="V200" t="str">
        <f t="shared" si="15"/>
        <v>~~~~~~~~~~</v>
      </c>
      <c r="W200" t="str">
        <f t="shared" si="15"/>
        <v>~~~~~~~~~~</v>
      </c>
      <c r="X200" t="str">
        <f t="shared" si="15"/>
        <v>~~~~~~~~~~</v>
      </c>
      <c r="Y200" t="str">
        <f t="shared" si="15"/>
        <v>~~~~~~~~~~</v>
      </c>
      <c r="Z200" t="str">
        <f t="shared" si="15"/>
        <v>~~~~~~~~~~</v>
      </c>
      <c r="AA200" t="str">
        <f t="shared" si="15"/>
        <v>~~~~~~~~~~</v>
      </c>
      <c r="AB200" t="str">
        <f t="shared" si="15"/>
        <v>~~~~~~~~~~</v>
      </c>
      <c r="AC200" t="str">
        <f t="shared" si="15"/>
        <v>~~~~~~~~~~</v>
      </c>
      <c r="AD200" t="str">
        <f t="shared" si="15"/>
        <v>~~~~~~~~~~</v>
      </c>
      <c r="AE200" t="str">
        <f t="shared" si="15"/>
        <v>~~~~~~~~~~</v>
      </c>
      <c r="AF200" t="str">
        <f t="shared" si="15"/>
        <v>~~~~~~~~~~</v>
      </c>
      <c r="AG200" t="str">
        <f t="shared" ref="AG200:BM200" si="16">"~~~~~~~~~~"</f>
        <v>~~~~~~~~~~</v>
      </c>
      <c r="AH200" t="str">
        <f t="shared" si="16"/>
        <v>~~~~~~~~~~</v>
      </c>
      <c r="AI200" t="str">
        <f t="shared" si="16"/>
        <v>~~~~~~~~~~</v>
      </c>
      <c r="AJ200" t="str">
        <f t="shared" si="16"/>
        <v>~~~~~~~~~~</v>
      </c>
      <c r="AK200" t="str">
        <f t="shared" si="16"/>
        <v>~~~~~~~~~~</v>
      </c>
      <c r="AL200" t="str">
        <f t="shared" si="16"/>
        <v>~~~~~~~~~~</v>
      </c>
      <c r="AM200" t="str">
        <f t="shared" si="16"/>
        <v>~~~~~~~~~~</v>
      </c>
      <c r="AN200" t="str">
        <f t="shared" si="16"/>
        <v>~~~~~~~~~~</v>
      </c>
      <c r="AO200" t="str">
        <f t="shared" si="16"/>
        <v>~~~~~~~~~~</v>
      </c>
      <c r="AP200" t="str">
        <f t="shared" si="16"/>
        <v>~~~~~~~~~~</v>
      </c>
      <c r="AQ200" t="str">
        <f t="shared" si="16"/>
        <v>~~~~~~~~~~</v>
      </c>
      <c r="AR200" t="str">
        <f t="shared" si="16"/>
        <v>~~~~~~~~~~</v>
      </c>
      <c r="AS200" t="str">
        <f t="shared" si="16"/>
        <v>~~~~~~~~~~</v>
      </c>
      <c r="AT200" t="str">
        <f t="shared" si="16"/>
        <v>~~~~~~~~~~</v>
      </c>
      <c r="AU200" t="str">
        <f t="shared" si="16"/>
        <v>~~~~~~~~~~</v>
      </c>
      <c r="AV200" t="str">
        <f t="shared" si="16"/>
        <v>~~~~~~~~~~</v>
      </c>
      <c r="AW200" t="str">
        <f t="shared" si="16"/>
        <v>~~~~~~~~~~</v>
      </c>
      <c r="AX200" t="str">
        <f t="shared" si="16"/>
        <v>~~~~~~~~~~</v>
      </c>
      <c r="AY200" t="str">
        <f t="shared" si="16"/>
        <v>~~~~~~~~~~</v>
      </c>
      <c r="AZ200" t="str">
        <f t="shared" si="16"/>
        <v>~~~~~~~~~~</v>
      </c>
      <c r="BA200" t="str">
        <f t="shared" si="16"/>
        <v>~~~~~~~~~~</v>
      </c>
      <c r="BB200" t="str">
        <f t="shared" si="16"/>
        <v>~~~~~~~~~~</v>
      </c>
      <c r="BC200" t="str">
        <f t="shared" si="16"/>
        <v>~~~~~~~~~~</v>
      </c>
      <c r="BD200" t="str">
        <f t="shared" si="16"/>
        <v>~~~~~~~~~~</v>
      </c>
      <c r="BE200" t="str">
        <f t="shared" si="16"/>
        <v>~~~~~~~~~~</v>
      </c>
      <c r="BF200" t="str">
        <f t="shared" si="16"/>
        <v>~~~~~~~~~~</v>
      </c>
      <c r="BG200" t="str">
        <f t="shared" si="16"/>
        <v>~~~~~~~~~~</v>
      </c>
      <c r="BH200" t="str">
        <f t="shared" si="16"/>
        <v>~~~~~~~~~~</v>
      </c>
      <c r="BI200" t="str">
        <f t="shared" si="16"/>
        <v>~~~~~~~~~~</v>
      </c>
      <c r="BJ200" t="str">
        <f t="shared" si="16"/>
        <v>~~~~~~~~~~</v>
      </c>
      <c r="BK200" t="str">
        <f t="shared" si="16"/>
        <v>~~~~~~~~~~</v>
      </c>
      <c r="BL200" t="str">
        <f t="shared" si="16"/>
        <v>~~~~~~~~~~</v>
      </c>
      <c r="BM200" t="str">
        <f t="shared" si="16"/>
        <v>~~~~~~~~~~</v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  <c r="BT200" t="str">
        <f>""</f>
        <v/>
      </c>
      <c r="BU200" t="str">
        <f>""</f>
        <v/>
      </c>
      <c r="BV200" t="str">
        <f>""</f>
        <v/>
      </c>
      <c r="BW200" t="str">
        <f>""</f>
        <v/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  <c r="CH200" t="str">
        <f>""</f>
        <v/>
      </c>
      <c r="CI200" t="str">
        <f>""</f>
        <v/>
      </c>
      <c r="CJ200" t="str">
        <f>""</f>
        <v/>
      </c>
      <c r="CK200" t="str">
        <f>""</f>
        <v/>
      </c>
      <c r="CL200" t="str">
        <f>""</f>
        <v/>
      </c>
      <c r="CM200" t="str">
        <f>""</f>
        <v/>
      </c>
      <c r="CN200" t="str">
        <f>""</f>
        <v/>
      </c>
      <c r="CO200" t="str">
        <f>""</f>
        <v/>
      </c>
      <c r="CP200" t="str">
        <f>""</f>
        <v/>
      </c>
      <c r="CQ200" t="str">
        <f>""</f>
        <v/>
      </c>
      <c r="CR200" t="str">
        <f>""</f>
        <v/>
      </c>
      <c r="CS200" t="str">
        <f>""</f>
        <v/>
      </c>
      <c r="CT200" t="str">
        <f>""</f>
        <v/>
      </c>
      <c r="CU200" t="str">
        <f>""</f>
        <v/>
      </c>
      <c r="CV200" t="str">
        <f>""</f>
        <v/>
      </c>
      <c r="CW200" t="str">
        <f>""</f>
        <v/>
      </c>
      <c r="CX200" t="str">
        <f>""</f>
        <v/>
      </c>
      <c r="CY200" t="str">
        <f>""</f>
        <v/>
      </c>
      <c r="CZ200" t="str">
        <f>""</f>
        <v/>
      </c>
      <c r="DA200" t="str">
        <f>""</f>
        <v/>
      </c>
      <c r="DB200" t="str">
        <f>""</f>
        <v/>
      </c>
      <c r="DC200" t="str">
        <f>""</f>
        <v/>
      </c>
      <c r="DD200" t="str">
        <f>""</f>
        <v/>
      </c>
      <c r="DE200" t="str">
        <f>""</f>
        <v/>
      </c>
      <c r="DF200" t="str">
        <f>""</f>
        <v/>
      </c>
      <c r="DG200" t="str">
        <f>""</f>
        <v/>
      </c>
      <c r="DH200" t="str">
        <f>""</f>
        <v/>
      </c>
      <c r="DI200" t="str">
        <f>""</f>
        <v/>
      </c>
      <c r="DJ200" t="str">
        <f>""</f>
        <v/>
      </c>
      <c r="DK200" t="str">
        <f>""</f>
        <v/>
      </c>
      <c r="DL200" t="str">
        <f>""</f>
        <v/>
      </c>
      <c r="DM200" t="str">
        <f>""</f>
        <v/>
      </c>
      <c r="DN200" t="str">
        <f>""</f>
        <v/>
      </c>
      <c r="DO200" t="str">
        <f>""</f>
        <v/>
      </c>
      <c r="DP200" t="str">
        <f>""</f>
        <v/>
      </c>
      <c r="DQ200" t="str">
        <f>""</f>
        <v/>
      </c>
      <c r="DR200" t="str">
        <f>""</f>
        <v/>
      </c>
      <c r="DS200" t="str">
        <f>""</f>
        <v/>
      </c>
      <c r="DT200" t="str">
        <f>""</f>
        <v/>
      </c>
      <c r="DU200" t="str">
        <f>""</f>
        <v/>
      </c>
    </row>
    <row r="201" spans="1:125" x14ac:dyDescent="0.25">
      <c r="A201" t="str">
        <f>"All rows below have been added for reference by formula rows above."</f>
        <v>All rows below have been added for reference by formula rows above.</v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  <c r="CH201" t="str">
        <f>""</f>
        <v/>
      </c>
      <c r="CI201" t="str">
        <f>""</f>
        <v/>
      </c>
      <c r="CJ201" t="str">
        <f>""</f>
        <v/>
      </c>
      <c r="CK201" t="str">
        <f>""</f>
        <v/>
      </c>
      <c r="CL201" t="str">
        <f>""</f>
        <v/>
      </c>
      <c r="CM201" t="str">
        <f>""</f>
        <v/>
      </c>
      <c r="CN201" t="str">
        <f>""</f>
        <v/>
      </c>
      <c r="CO201" t="str">
        <f>""</f>
        <v/>
      </c>
      <c r="CP201" t="str">
        <f>""</f>
        <v/>
      </c>
      <c r="CQ201" t="str">
        <f>""</f>
        <v/>
      </c>
      <c r="CR201" t="str">
        <f>""</f>
        <v/>
      </c>
      <c r="CS201" t="str">
        <f>""</f>
        <v/>
      </c>
      <c r="CT201" t="str">
        <f>""</f>
        <v/>
      </c>
      <c r="CU201" t="str">
        <f>""</f>
        <v/>
      </c>
      <c r="CV201" t="str">
        <f>""</f>
        <v/>
      </c>
      <c r="CW201" t="str">
        <f>""</f>
        <v/>
      </c>
      <c r="CX201" t="str">
        <f>""</f>
        <v/>
      </c>
      <c r="CY201" t="str">
        <f>""</f>
        <v/>
      </c>
      <c r="CZ201" t="str">
        <f>""</f>
        <v/>
      </c>
      <c r="DA201" t="str">
        <f>""</f>
        <v/>
      </c>
      <c r="DB201" t="str">
        <f>""</f>
        <v/>
      </c>
      <c r="DC201" t="str">
        <f>""</f>
        <v/>
      </c>
      <c r="DD201" t="str">
        <f>""</f>
        <v/>
      </c>
      <c r="DE201" t="str">
        <f>""</f>
        <v/>
      </c>
      <c r="DF201" t="str">
        <f>""</f>
        <v/>
      </c>
      <c r="DG201" t="str">
        <f>""</f>
        <v/>
      </c>
      <c r="DH201" t="str">
        <f>""</f>
        <v/>
      </c>
      <c r="DI201" t="str">
        <f>""</f>
        <v/>
      </c>
      <c r="DJ201" t="str">
        <f>""</f>
        <v/>
      </c>
      <c r="DK201" t="str">
        <f>""</f>
        <v/>
      </c>
      <c r="DL201" t="str">
        <f>""</f>
        <v/>
      </c>
      <c r="DM201" t="str">
        <f>""</f>
        <v/>
      </c>
      <c r="DN201" t="str">
        <f>""</f>
        <v/>
      </c>
      <c r="DO201" t="str">
        <f>""</f>
        <v/>
      </c>
      <c r="DP201" t="str">
        <f>""</f>
        <v/>
      </c>
      <c r="DQ201" t="str">
        <f>""</f>
        <v/>
      </c>
      <c r="DR201" t="str">
        <f>""</f>
        <v/>
      </c>
      <c r="DS201" t="str">
        <f>""</f>
        <v/>
      </c>
      <c r="DT201" t="str">
        <f>""</f>
        <v/>
      </c>
      <c r="DU201" t="str">
        <f>""</f>
        <v/>
      </c>
    </row>
    <row r="202" spans="1:125" x14ac:dyDescent="0.25">
      <c r="A202">
        <f>RTD("bloomberg.ccyreader", "", "#track", "DBG", "BIHITX", "1.0","RepeatHit")</f>
        <v>0</v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  <c r="BT202" t="str">
        <f>""</f>
        <v/>
      </c>
      <c r="BU202" t="str">
        <f>""</f>
        <v/>
      </c>
      <c r="BV202" t="str">
        <f>""</f>
        <v/>
      </c>
      <c r="BW202" t="str">
        <f>""</f>
        <v/>
      </c>
      <c r="BX202" t="str">
        <f>""</f>
        <v/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  <c r="CH202" t="str">
        <f>""</f>
        <v/>
      </c>
      <c r="CI202" t="str">
        <f>""</f>
        <v/>
      </c>
      <c r="CJ202" t="str">
        <f>""</f>
        <v/>
      </c>
      <c r="CK202" t="str">
        <f>""</f>
        <v/>
      </c>
      <c r="CL202" t="str">
        <f>""</f>
        <v/>
      </c>
      <c r="CM202" t="str">
        <f>""</f>
        <v/>
      </c>
      <c r="CN202" t="str">
        <f>""</f>
        <v/>
      </c>
      <c r="CO202" t="str">
        <f>""</f>
        <v/>
      </c>
      <c r="CP202" t="str">
        <f>""</f>
        <v/>
      </c>
      <c r="CQ202" t="str">
        <f>""</f>
        <v/>
      </c>
      <c r="CR202" t="str">
        <f>""</f>
        <v/>
      </c>
      <c r="CS202" t="str">
        <f>""</f>
        <v/>
      </c>
      <c r="CT202" t="str">
        <f>""</f>
        <v/>
      </c>
      <c r="CU202" t="str">
        <f>""</f>
        <v/>
      </c>
      <c r="CV202" t="str">
        <f>""</f>
        <v/>
      </c>
      <c r="CW202" t="str">
        <f>""</f>
        <v/>
      </c>
      <c r="CX202" t="str">
        <f>""</f>
        <v/>
      </c>
      <c r="CY202" t="str">
        <f>""</f>
        <v/>
      </c>
      <c r="CZ202" t="str">
        <f>""</f>
        <v/>
      </c>
      <c r="DA202" t="str">
        <f>""</f>
        <v/>
      </c>
      <c r="DB202" t="str">
        <f>""</f>
        <v/>
      </c>
      <c r="DC202" t="str">
        <f>""</f>
        <v/>
      </c>
      <c r="DD202" t="str">
        <f>""</f>
        <v/>
      </c>
      <c r="DE202" t="str">
        <f>""</f>
        <v/>
      </c>
      <c r="DF202" t="str">
        <f>""</f>
        <v/>
      </c>
      <c r="DG202" t="str">
        <f>""</f>
        <v/>
      </c>
      <c r="DH202" t="str">
        <f>""</f>
        <v/>
      </c>
      <c r="DI202" t="str">
        <f>""</f>
        <v/>
      </c>
      <c r="DJ202" t="str">
        <f>""</f>
        <v/>
      </c>
      <c r="DK202" t="str">
        <f>""</f>
        <v/>
      </c>
      <c r="DL202" t="str">
        <f>""</f>
        <v/>
      </c>
      <c r="DM202" t="str">
        <f>""</f>
        <v/>
      </c>
      <c r="DN202" t="str">
        <f>""</f>
        <v/>
      </c>
      <c r="DO202" t="str">
        <f>""</f>
        <v/>
      </c>
      <c r="DP202" t="str">
        <f>""</f>
        <v/>
      </c>
      <c r="DQ202" t="str">
        <f>""</f>
        <v/>
      </c>
      <c r="DR202" t="str">
        <f>""</f>
        <v/>
      </c>
      <c r="DS202" t="str">
        <f>""</f>
        <v/>
      </c>
      <c r="DT202" t="str">
        <f>""</f>
        <v/>
      </c>
      <c r="DU202" t="str">
        <f>""</f>
        <v/>
      </c>
    </row>
    <row r="203" spans="1:125" x14ac:dyDescent="0.25">
      <c r="A203" t="str">
        <f>"Currency"</f>
        <v>Currency</v>
      </c>
      <c r="B203" t="str">
        <f>"EUR"</f>
        <v>EUR</v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  <c r="BT203" t="str">
        <f>""</f>
        <v/>
      </c>
      <c r="BU203" t="str">
        <f>""</f>
        <v/>
      </c>
      <c r="BV203" t="str">
        <f>""</f>
        <v/>
      </c>
      <c r="BW203" t="str">
        <f>""</f>
        <v/>
      </c>
      <c r="BX203" t="str">
        <f>""</f>
        <v/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  <c r="CH203" t="str">
        <f>""</f>
        <v/>
      </c>
      <c r="CI203" t="str">
        <f>""</f>
        <v/>
      </c>
      <c r="CJ203" t="str">
        <f>""</f>
        <v/>
      </c>
      <c r="CK203" t="str">
        <f>""</f>
        <v/>
      </c>
      <c r="CL203" t="str">
        <f>""</f>
        <v/>
      </c>
      <c r="CM203" t="str">
        <f>""</f>
        <v/>
      </c>
      <c r="CN203" t="str">
        <f>""</f>
        <v/>
      </c>
      <c r="CO203" t="str">
        <f>""</f>
        <v/>
      </c>
      <c r="CP203" t="str">
        <f>""</f>
        <v/>
      </c>
      <c r="CQ203" t="str">
        <f>""</f>
        <v/>
      </c>
      <c r="CR203" t="str">
        <f>""</f>
        <v/>
      </c>
      <c r="CS203" t="str">
        <f>""</f>
        <v/>
      </c>
      <c r="CT203" t="str">
        <f>""</f>
        <v/>
      </c>
      <c r="CU203" t="str">
        <f>""</f>
        <v/>
      </c>
      <c r="CV203" t="str">
        <f>""</f>
        <v/>
      </c>
      <c r="CW203" t="str">
        <f>""</f>
        <v/>
      </c>
      <c r="CX203" t="str">
        <f>""</f>
        <v/>
      </c>
      <c r="CY203" t="str">
        <f>""</f>
        <v/>
      </c>
      <c r="CZ203" t="str">
        <f>""</f>
        <v/>
      </c>
      <c r="DA203" t="str">
        <f>""</f>
        <v/>
      </c>
      <c r="DB203" t="str">
        <f>""</f>
        <v/>
      </c>
      <c r="DC203" t="str">
        <f>""</f>
        <v/>
      </c>
      <c r="DD203" t="str">
        <f>""</f>
        <v/>
      </c>
      <c r="DE203" t="str">
        <f>""</f>
        <v/>
      </c>
      <c r="DF203" t="str">
        <f>""</f>
        <v/>
      </c>
      <c r="DG203" t="str">
        <f>""</f>
        <v/>
      </c>
      <c r="DH203" t="str">
        <f>""</f>
        <v/>
      </c>
      <c r="DI203" t="str">
        <f>""</f>
        <v/>
      </c>
      <c r="DJ203" t="str">
        <f>""</f>
        <v/>
      </c>
      <c r="DK203" t="str">
        <f>""</f>
        <v/>
      </c>
      <c r="DL203" t="str">
        <f>""</f>
        <v/>
      </c>
      <c r="DM203" t="str">
        <f>""</f>
        <v/>
      </c>
      <c r="DN203" t="str">
        <f>""</f>
        <v/>
      </c>
      <c r="DO203" t="str">
        <f>""</f>
        <v/>
      </c>
      <c r="DP203" t="str">
        <f>""</f>
        <v/>
      </c>
      <c r="DQ203" t="str">
        <f>""</f>
        <v/>
      </c>
      <c r="DR203" t="str">
        <f>""</f>
        <v/>
      </c>
      <c r="DS203" t="str">
        <f>""</f>
        <v/>
      </c>
      <c r="DT203" t="str">
        <f>""</f>
        <v/>
      </c>
      <c r="DU203" t="str">
        <f>""</f>
        <v/>
      </c>
    </row>
    <row r="204" spans="1:125" x14ac:dyDescent="0.25">
      <c r="A204" t="str">
        <f>"Periodicity"</f>
        <v>Periodicity</v>
      </c>
      <c r="B204" t="str">
        <f>"CQ"</f>
        <v>CQ</v>
      </c>
      <c r="C204" t="str">
        <f>"AQ"</f>
        <v>AQ</v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  <c r="BT204" t="str">
        <f>""</f>
        <v/>
      </c>
      <c r="BU204" t="str">
        <f>""</f>
        <v/>
      </c>
      <c r="BV204" t="str">
        <f>""</f>
        <v/>
      </c>
      <c r="BW204" t="str">
        <f>""</f>
        <v/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  <c r="CH204" t="str">
        <f>""</f>
        <v/>
      </c>
      <c r="CI204" t="str">
        <f>""</f>
        <v/>
      </c>
      <c r="CJ204" t="str">
        <f>""</f>
        <v/>
      </c>
      <c r="CK204" t="str">
        <f>""</f>
        <v/>
      </c>
      <c r="CL204" t="str">
        <f>""</f>
        <v/>
      </c>
      <c r="CM204" t="str">
        <f>""</f>
        <v/>
      </c>
      <c r="CN204" t="str">
        <f>""</f>
        <v/>
      </c>
      <c r="CO204" t="str">
        <f>""</f>
        <v/>
      </c>
      <c r="CP204" t="str">
        <f>""</f>
        <v/>
      </c>
      <c r="CQ204" t="str">
        <f>""</f>
        <v/>
      </c>
      <c r="CR204" t="str">
        <f>""</f>
        <v/>
      </c>
      <c r="CS204" t="str">
        <f>""</f>
        <v/>
      </c>
      <c r="CT204" t="str">
        <f>""</f>
        <v/>
      </c>
      <c r="CU204" t="str">
        <f>""</f>
        <v/>
      </c>
      <c r="CV204" t="str">
        <f>""</f>
        <v/>
      </c>
      <c r="CW204" t="str">
        <f>""</f>
        <v/>
      </c>
      <c r="CX204" t="str">
        <f>""</f>
        <v/>
      </c>
      <c r="CY204" t="str">
        <f>""</f>
        <v/>
      </c>
      <c r="CZ204" t="str">
        <f>""</f>
        <v/>
      </c>
      <c r="DA204" t="str">
        <f>""</f>
        <v/>
      </c>
      <c r="DB204" t="str">
        <f>""</f>
        <v/>
      </c>
      <c r="DC204" t="str">
        <f>""</f>
        <v/>
      </c>
      <c r="DD204" t="str">
        <f>""</f>
        <v/>
      </c>
      <c r="DE204" t="str">
        <f>""</f>
        <v/>
      </c>
      <c r="DF204" t="str">
        <f>""</f>
        <v/>
      </c>
      <c r="DG204" t="str">
        <f>""</f>
        <v/>
      </c>
      <c r="DH204" t="str">
        <f>""</f>
        <v/>
      </c>
      <c r="DI204" t="str">
        <f>""</f>
        <v/>
      </c>
      <c r="DJ204" t="str">
        <f>""</f>
        <v/>
      </c>
      <c r="DK204" t="str">
        <f>""</f>
        <v/>
      </c>
      <c r="DL204" t="str">
        <f>""</f>
        <v/>
      </c>
      <c r="DM204" t="str">
        <f>""</f>
        <v/>
      </c>
      <c r="DN204" t="str">
        <f>""</f>
        <v/>
      </c>
      <c r="DO204" t="str">
        <f>""</f>
        <v/>
      </c>
      <c r="DP204" t="str">
        <f>""</f>
        <v/>
      </c>
      <c r="DQ204" t="str">
        <f>""</f>
        <v/>
      </c>
      <c r="DR204" t="str">
        <f>""</f>
        <v/>
      </c>
      <c r="DS204" t="str">
        <f>""</f>
        <v/>
      </c>
      <c r="DT204" t="str">
        <f>""</f>
        <v/>
      </c>
      <c r="DU204" t="str">
        <f>""</f>
        <v/>
      </c>
    </row>
    <row r="205" spans="1:125" x14ac:dyDescent="0.25">
      <c r="A205" t="str">
        <f>"Number of Periods"</f>
        <v>Number of Periods</v>
      </c>
      <c r="B205">
        <f>60</f>
        <v>60</v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  <c r="BT205" t="str">
        <f>""</f>
        <v/>
      </c>
      <c r="BU205" t="str">
        <f>""</f>
        <v/>
      </c>
      <c r="BV205" t="str">
        <f>""</f>
        <v/>
      </c>
      <c r="BW205" t="str">
        <f>""</f>
        <v/>
      </c>
      <c r="BX205" t="str">
        <f>""</f>
        <v/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  <c r="CH205" t="str">
        <f>""</f>
        <v/>
      </c>
      <c r="CI205" t="str">
        <f>""</f>
        <v/>
      </c>
      <c r="CJ205" t="str">
        <f>""</f>
        <v/>
      </c>
      <c r="CK205" t="str">
        <f>""</f>
        <v/>
      </c>
      <c r="CL205" t="str">
        <f>""</f>
        <v/>
      </c>
      <c r="CM205" t="str">
        <f>""</f>
        <v/>
      </c>
      <c r="CN205" t="str">
        <f>""</f>
        <v/>
      </c>
      <c r="CO205" t="str">
        <f>""</f>
        <v/>
      </c>
      <c r="CP205" t="str">
        <f>""</f>
        <v/>
      </c>
      <c r="CQ205" t="str">
        <f>""</f>
        <v/>
      </c>
      <c r="CR205" t="str">
        <f>""</f>
        <v/>
      </c>
      <c r="CS205" t="str">
        <f>""</f>
        <v/>
      </c>
      <c r="CT205" t="str">
        <f>""</f>
        <v/>
      </c>
      <c r="CU205" t="str">
        <f>""</f>
        <v/>
      </c>
      <c r="CV205" t="str">
        <f>""</f>
        <v/>
      </c>
      <c r="CW205" t="str">
        <f>""</f>
        <v/>
      </c>
      <c r="CX205" t="str">
        <f>""</f>
        <v/>
      </c>
      <c r="CY205" t="str">
        <f>""</f>
        <v/>
      </c>
      <c r="CZ205" t="str">
        <f>""</f>
        <v/>
      </c>
      <c r="DA205" t="str">
        <f>""</f>
        <v/>
      </c>
      <c r="DB205" t="str">
        <f>""</f>
        <v/>
      </c>
      <c r="DC205" t="str">
        <f>""</f>
        <v/>
      </c>
      <c r="DD205" t="str">
        <f>""</f>
        <v/>
      </c>
      <c r="DE205" t="str">
        <f>""</f>
        <v/>
      </c>
      <c r="DF205" t="str">
        <f>""</f>
        <v/>
      </c>
      <c r="DG205" t="str">
        <f>""</f>
        <v/>
      </c>
      <c r="DH205" t="str">
        <f>""</f>
        <v/>
      </c>
      <c r="DI205" t="str">
        <f>""</f>
        <v/>
      </c>
      <c r="DJ205" t="str">
        <f>""</f>
        <v/>
      </c>
      <c r="DK205" t="str">
        <f>""</f>
        <v/>
      </c>
      <c r="DL205" t="str">
        <f>""</f>
        <v/>
      </c>
      <c r="DM205" t="str">
        <f>""</f>
        <v/>
      </c>
      <c r="DN205" t="str">
        <f>""</f>
        <v/>
      </c>
      <c r="DO205" t="str">
        <f>""</f>
        <v/>
      </c>
      <c r="DP205" t="str">
        <f>""</f>
        <v/>
      </c>
      <c r="DQ205" t="str">
        <f>""</f>
        <v/>
      </c>
      <c r="DR205" t="str">
        <f>""</f>
        <v/>
      </c>
      <c r="DS205" t="str">
        <f>""</f>
        <v/>
      </c>
      <c r="DT205" t="str">
        <f>""</f>
        <v/>
      </c>
      <c r="DU205" t="str">
        <f>""</f>
        <v/>
      </c>
    </row>
    <row r="206" spans="1:125" x14ac:dyDescent="0.25">
      <c r="A206" t="str">
        <f>"Start Date"</f>
        <v>Start Date</v>
      </c>
      <c r="B206" t="str">
        <f>CONCATENATE("-",$B$205,$B$204)</f>
        <v>-60CQ</v>
      </c>
      <c r="C206" t="str">
        <f>CONCATENATE("-",$B$205,$C$204)</f>
        <v>-60AQ</v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  <c r="CH206" t="str">
        <f>""</f>
        <v/>
      </c>
      <c r="CI206" t="str">
        <f>""</f>
        <v/>
      </c>
      <c r="CJ206" t="str">
        <f>""</f>
        <v/>
      </c>
      <c r="CK206" t="str">
        <f>""</f>
        <v/>
      </c>
      <c r="CL206" t="str">
        <f>""</f>
        <v/>
      </c>
      <c r="CM206" t="str">
        <f>""</f>
        <v/>
      </c>
      <c r="CN206" t="str">
        <f>""</f>
        <v/>
      </c>
      <c r="CO206" t="str">
        <f>""</f>
        <v/>
      </c>
      <c r="CP206" t="str">
        <f>""</f>
        <v/>
      </c>
      <c r="CQ206" t="str">
        <f>""</f>
        <v/>
      </c>
      <c r="CR206" t="str">
        <f>""</f>
        <v/>
      </c>
      <c r="CS206" t="str">
        <f>""</f>
        <v/>
      </c>
      <c r="CT206" t="str">
        <f>""</f>
        <v/>
      </c>
      <c r="CU206" t="str">
        <f>""</f>
        <v/>
      </c>
      <c r="CV206" t="str">
        <f>""</f>
        <v/>
      </c>
      <c r="CW206" t="str">
        <f>""</f>
        <v/>
      </c>
      <c r="CX206" t="str">
        <f>""</f>
        <v/>
      </c>
      <c r="CY206" t="str">
        <f>""</f>
        <v/>
      </c>
      <c r="CZ206" t="str">
        <f>""</f>
        <v/>
      </c>
      <c r="DA206" t="str">
        <f>""</f>
        <v/>
      </c>
      <c r="DB206" t="str">
        <f>""</f>
        <v/>
      </c>
      <c r="DC206" t="str">
        <f>""</f>
        <v/>
      </c>
      <c r="DD206" t="str">
        <f>""</f>
        <v/>
      </c>
      <c r="DE206" t="str">
        <f>""</f>
        <v/>
      </c>
      <c r="DF206" t="str">
        <f>""</f>
        <v/>
      </c>
      <c r="DG206" t="str">
        <f>""</f>
        <v/>
      </c>
      <c r="DH206" t="str">
        <f>""</f>
        <v/>
      </c>
      <c r="DI206" t="str">
        <f>""</f>
        <v/>
      </c>
      <c r="DJ206" t="str">
        <f>""</f>
        <v/>
      </c>
      <c r="DK206" t="str">
        <f>""</f>
        <v/>
      </c>
      <c r="DL206" t="str">
        <f>""</f>
        <v/>
      </c>
      <c r="DM206" t="str">
        <f>""</f>
        <v/>
      </c>
      <c r="DN206" t="str">
        <f>""</f>
        <v/>
      </c>
      <c r="DO206" t="str">
        <f>""</f>
        <v/>
      </c>
      <c r="DP206" t="str">
        <f>""</f>
        <v/>
      </c>
      <c r="DQ206" t="str">
        <f>""</f>
        <v/>
      </c>
      <c r="DR206" t="str">
        <f>""</f>
        <v/>
      </c>
      <c r="DS206" t="str">
        <f>""</f>
        <v/>
      </c>
      <c r="DT206" t="str">
        <f>""</f>
        <v/>
      </c>
      <c r="DU206" t="str">
        <f>""</f>
        <v/>
      </c>
    </row>
    <row r="207" spans="1:125" x14ac:dyDescent="0.25">
      <c r="A207" t="str">
        <f>"End Date"</f>
        <v>End Date</v>
      </c>
      <c r="B207">
        <f ca="1">TODAY()</f>
        <v>45740</v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  <c r="BT207" t="str">
        <f>""</f>
        <v/>
      </c>
      <c r="BU207" t="str">
        <f>""</f>
        <v/>
      </c>
      <c r="BV207" t="str">
        <f>""</f>
        <v/>
      </c>
      <c r="BW207" t="str">
        <f>""</f>
        <v/>
      </c>
      <c r="BX207" t="str">
        <f>""</f>
        <v/>
      </c>
      <c r="BY207" t="str">
        <f>""</f>
        <v/>
      </c>
      <c r="BZ207" t="str">
        <f>""</f>
        <v/>
      </c>
      <c r="CA207" t="str">
        <f>""</f>
        <v/>
      </c>
      <c r="CB207" t="str">
        <f>""</f>
        <v/>
      </c>
      <c r="CC207" t="str">
        <f>""</f>
        <v/>
      </c>
      <c r="CD207" t="str">
        <f>""</f>
        <v/>
      </c>
      <c r="CE207" t="str">
        <f>""</f>
        <v/>
      </c>
      <c r="CF207" t="str">
        <f>""</f>
        <v/>
      </c>
      <c r="CG207" t="str">
        <f>""</f>
        <v/>
      </c>
      <c r="CH207" t="str">
        <f>""</f>
        <v/>
      </c>
      <c r="CI207" t="str">
        <f>""</f>
        <v/>
      </c>
      <c r="CJ207" t="str">
        <f>""</f>
        <v/>
      </c>
      <c r="CK207" t="str">
        <f>""</f>
        <v/>
      </c>
      <c r="CL207" t="str">
        <f>""</f>
        <v/>
      </c>
      <c r="CM207" t="str">
        <f>""</f>
        <v/>
      </c>
      <c r="CN207" t="str">
        <f>""</f>
        <v/>
      </c>
      <c r="CO207" t="str">
        <f>""</f>
        <v/>
      </c>
      <c r="CP207" t="str">
        <f>""</f>
        <v/>
      </c>
      <c r="CQ207" t="str">
        <f>""</f>
        <v/>
      </c>
      <c r="CR207" t="str">
        <f>""</f>
        <v/>
      </c>
      <c r="CS207" t="str">
        <f>""</f>
        <v/>
      </c>
      <c r="CT207" t="str">
        <f>""</f>
        <v/>
      </c>
      <c r="CU207" t="str">
        <f>""</f>
        <v/>
      </c>
      <c r="CV207" t="str">
        <f>""</f>
        <v/>
      </c>
      <c r="CW207" t="str">
        <f>""</f>
        <v/>
      </c>
      <c r="CX207" t="str">
        <f>""</f>
        <v/>
      </c>
      <c r="CY207" t="str">
        <f>""</f>
        <v/>
      </c>
      <c r="CZ207" t="str">
        <f>""</f>
        <v/>
      </c>
      <c r="DA207" t="str">
        <f>""</f>
        <v/>
      </c>
      <c r="DB207" t="str">
        <f>""</f>
        <v/>
      </c>
      <c r="DC207" t="str">
        <f>""</f>
        <v/>
      </c>
      <c r="DD207" t="str">
        <f>""</f>
        <v/>
      </c>
      <c r="DE207" t="str">
        <f>""</f>
        <v/>
      </c>
      <c r="DF207" t="str">
        <f>""</f>
        <v/>
      </c>
      <c r="DG207" t="str">
        <f>""</f>
        <v/>
      </c>
      <c r="DH207" t="str">
        <f>""</f>
        <v/>
      </c>
      <c r="DI207" t="str">
        <f>""</f>
        <v/>
      </c>
      <c r="DJ207" t="str">
        <f>""</f>
        <v/>
      </c>
      <c r="DK207" t="str">
        <f>""</f>
        <v/>
      </c>
      <c r="DL207" t="str">
        <f>""</f>
        <v/>
      </c>
      <c r="DM207" t="str">
        <f>""</f>
        <v/>
      </c>
      <c r="DN207" t="str">
        <f>""</f>
        <v/>
      </c>
      <c r="DO207" t="str">
        <f>""</f>
        <v/>
      </c>
      <c r="DP207" t="str">
        <f>""</f>
        <v/>
      </c>
      <c r="DQ207" t="str">
        <f>""</f>
        <v/>
      </c>
      <c r="DR207" t="str">
        <f>""</f>
        <v/>
      </c>
      <c r="DS207" t="str">
        <f>""</f>
        <v/>
      </c>
      <c r="DT207" t="str">
        <f>""</f>
        <v/>
      </c>
      <c r="DU207" t="str">
        <f>""</f>
        <v/>
      </c>
    </row>
    <row r="208" spans="1:125" x14ac:dyDescent="0.25">
      <c r="A208" t="str">
        <f>"HeaderStatus"</f>
        <v>HeaderStatus</v>
      </c>
      <c r="B208">
        <f ca="1">$B$414*$B$422</f>
        <v>4</v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  <c r="BT208" t="str">
        <f>""</f>
        <v/>
      </c>
      <c r="BU208" t="str">
        <f>""</f>
        <v/>
      </c>
      <c r="BV208" t="str">
        <f>""</f>
        <v/>
      </c>
      <c r="BW208" t="str">
        <f>""</f>
        <v/>
      </c>
      <c r="BX208" t="str">
        <f>""</f>
        <v/>
      </c>
      <c r="BY208" t="str">
        <f>""</f>
        <v/>
      </c>
      <c r="BZ208" t="str">
        <f>""</f>
        <v/>
      </c>
      <c r="CA208" t="str">
        <f>""</f>
        <v/>
      </c>
      <c r="CB208" t="str">
        <f>""</f>
        <v/>
      </c>
      <c r="CC208" t="str">
        <f>""</f>
        <v/>
      </c>
      <c r="CD208" t="str">
        <f>""</f>
        <v/>
      </c>
      <c r="CE208" t="str">
        <f>""</f>
        <v/>
      </c>
      <c r="CF208" t="str">
        <f>""</f>
        <v/>
      </c>
      <c r="CG208" t="str">
        <f>""</f>
        <v/>
      </c>
      <c r="CH208" t="str">
        <f>""</f>
        <v/>
      </c>
      <c r="CI208" t="str">
        <f>""</f>
        <v/>
      </c>
      <c r="CJ208" t="str">
        <f>""</f>
        <v/>
      </c>
      <c r="CK208" t="str">
        <f>""</f>
        <v/>
      </c>
      <c r="CL208" t="str">
        <f>""</f>
        <v/>
      </c>
      <c r="CM208" t="str">
        <f>""</f>
        <v/>
      </c>
      <c r="CN208" t="str">
        <f>""</f>
        <v/>
      </c>
      <c r="CO208" t="str">
        <f>""</f>
        <v/>
      </c>
      <c r="CP208" t="str">
        <f>""</f>
        <v/>
      </c>
      <c r="CQ208" t="str">
        <f>""</f>
        <v/>
      </c>
      <c r="CR208" t="str">
        <f>""</f>
        <v/>
      </c>
      <c r="CS208" t="str">
        <f>""</f>
        <v/>
      </c>
      <c r="CT208" t="str">
        <f>""</f>
        <v/>
      </c>
      <c r="CU208" t="str">
        <f>""</f>
        <v/>
      </c>
      <c r="CV208" t="str">
        <f>""</f>
        <v/>
      </c>
      <c r="CW208" t="str">
        <f>""</f>
        <v/>
      </c>
      <c r="CX208" t="str">
        <f>""</f>
        <v/>
      </c>
      <c r="CY208" t="str">
        <f>""</f>
        <v/>
      </c>
      <c r="CZ208" t="str">
        <f>""</f>
        <v/>
      </c>
      <c r="DA208" t="str">
        <f>""</f>
        <v/>
      </c>
      <c r="DB208" t="str">
        <f>""</f>
        <v/>
      </c>
      <c r="DC208" t="str">
        <f>""</f>
        <v/>
      </c>
      <c r="DD208" t="str">
        <f>""</f>
        <v/>
      </c>
      <c r="DE208" t="str">
        <f>""</f>
        <v/>
      </c>
      <c r="DF208" t="str">
        <f>""</f>
        <v/>
      </c>
      <c r="DG208" t="str">
        <f>""</f>
        <v/>
      </c>
      <c r="DH208" t="str">
        <f>""</f>
        <v/>
      </c>
      <c r="DI208" t="str">
        <f>""</f>
        <v/>
      </c>
      <c r="DJ208" t="str">
        <f>""</f>
        <v/>
      </c>
      <c r="DK208" t="str">
        <f>""</f>
        <v/>
      </c>
      <c r="DL208" t="str">
        <f>""</f>
        <v/>
      </c>
      <c r="DM208" t="str">
        <f>""</f>
        <v/>
      </c>
      <c r="DN208" t="str">
        <f>""</f>
        <v/>
      </c>
      <c r="DO208" t="str">
        <f>""</f>
        <v/>
      </c>
      <c r="DP208" t="str">
        <f>""</f>
        <v/>
      </c>
      <c r="DQ208" t="str">
        <f>""</f>
        <v/>
      </c>
      <c r="DR208" t="str">
        <f>""</f>
        <v/>
      </c>
      <c r="DS208" t="str">
        <f>""</f>
        <v/>
      </c>
      <c r="DT208" t="str">
        <f>""</f>
        <v/>
      </c>
      <c r="DU208" t="str">
        <f>""</f>
        <v/>
      </c>
    </row>
    <row r="209" spans="1:125" x14ac:dyDescent="0.25"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  <c r="BT209" t="str">
        <f>""</f>
        <v/>
      </c>
      <c r="BU209" t="str">
        <f>""</f>
        <v/>
      </c>
      <c r="BV209" t="str">
        <f>""</f>
        <v/>
      </c>
      <c r="BW209" t="str">
        <f>""</f>
        <v/>
      </c>
      <c r="BX209" t="str">
        <f>""</f>
        <v/>
      </c>
      <c r="BY209" t="str">
        <f>""</f>
        <v/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  <c r="CI209" t="str">
        <f>""</f>
        <v/>
      </c>
      <c r="CJ209" t="str">
        <f>""</f>
        <v/>
      </c>
      <c r="CK209" t="str">
        <f>""</f>
        <v/>
      </c>
      <c r="CL209" t="str">
        <f>""</f>
        <v/>
      </c>
      <c r="CM209" t="str">
        <f>""</f>
        <v/>
      </c>
      <c r="CN209" t="str">
        <f>""</f>
        <v/>
      </c>
      <c r="CO209" t="str">
        <f>""</f>
        <v/>
      </c>
      <c r="CP209" t="str">
        <f>""</f>
        <v/>
      </c>
      <c r="CQ209" t="str">
        <f>""</f>
        <v/>
      </c>
      <c r="CR209" t="str">
        <f>""</f>
        <v/>
      </c>
      <c r="CS209" t="str">
        <f>""</f>
        <v/>
      </c>
      <c r="CT209" t="str">
        <f>""</f>
        <v/>
      </c>
      <c r="CU209" t="str">
        <f>""</f>
        <v/>
      </c>
      <c r="CV209" t="str">
        <f>""</f>
        <v/>
      </c>
      <c r="CW209" t="str">
        <f>""</f>
        <v/>
      </c>
      <c r="CX209" t="str">
        <f>""</f>
        <v/>
      </c>
      <c r="CY209" t="str">
        <f>""</f>
        <v/>
      </c>
      <c r="CZ209" t="str">
        <f>""</f>
        <v/>
      </c>
      <c r="DA209" t="str">
        <f>""</f>
        <v/>
      </c>
      <c r="DB209" t="str">
        <f>""</f>
        <v/>
      </c>
      <c r="DC209" t="str">
        <f>""</f>
        <v/>
      </c>
      <c r="DD209" t="str">
        <f>""</f>
        <v/>
      </c>
      <c r="DE209" t="str">
        <f>""</f>
        <v/>
      </c>
      <c r="DF209" t="str">
        <f>""</f>
        <v/>
      </c>
      <c r="DG209" t="str">
        <f>""</f>
        <v/>
      </c>
      <c r="DH209" t="str">
        <f>""</f>
        <v/>
      </c>
      <c r="DI209" t="str">
        <f>""</f>
        <v/>
      </c>
      <c r="DJ209" t="str">
        <f>""</f>
        <v/>
      </c>
      <c r="DK209" t="str">
        <f>""</f>
        <v/>
      </c>
      <c r="DL209" t="str">
        <f>""</f>
        <v/>
      </c>
      <c r="DM209" t="str">
        <f>""</f>
        <v/>
      </c>
      <c r="DN209" t="str">
        <f>""</f>
        <v/>
      </c>
      <c r="DO209" t="str">
        <f>""</f>
        <v/>
      </c>
      <c r="DP209" t="str">
        <f>""</f>
        <v/>
      </c>
      <c r="DQ209" t="str">
        <f>""</f>
        <v/>
      </c>
      <c r="DR209" t="str">
        <f>""</f>
        <v/>
      </c>
      <c r="DS209" t="str">
        <f>""</f>
        <v/>
      </c>
      <c r="DT209" t="str">
        <f>""</f>
        <v/>
      </c>
      <c r="DU209" t="str">
        <f>""</f>
        <v/>
      </c>
    </row>
    <row r="210" spans="1:125" x14ac:dyDescent="0.25">
      <c r="A210" t="str">
        <f>$A$4</f>
        <v xml:space="preserve">    ABN AMRO Bank NV</v>
      </c>
      <c r="B210" t="str">
        <f>$B$4</f>
        <v>ABN NA Equity</v>
      </c>
      <c r="C210" t="str">
        <f>$C$4</f>
        <v>BM105</v>
      </c>
      <c r="D210" t="str">
        <f>$D$4</f>
        <v>BS_TRADING_ASSETS</v>
      </c>
      <c r="E210" t="str">
        <f>$E$4</f>
        <v>Dynamic</v>
      </c>
      <c r="F210">
        <f ca="1">_xll.BDH($B$4,$C$4,$B$206,$B$207,CONCATENATE("Per=",$B$204),"Dts=H","Dir=H",CONCATENATE("Points=",$B$205),"Sort=R","Days=A","Fill=B",CONCATENATE("FX=", $B$203),"cols=60;rows=1")</f>
        <v>2503</v>
      </c>
      <c r="G210">
        <v>3095</v>
      </c>
      <c r="H210">
        <v>2109</v>
      </c>
      <c r="I210">
        <v>2309</v>
      </c>
      <c r="J210">
        <v>1371</v>
      </c>
      <c r="K210">
        <v>1739</v>
      </c>
      <c r="L210">
        <v>1711</v>
      </c>
      <c r="M210">
        <v>1398</v>
      </c>
      <c r="N210">
        <v>907</v>
      </c>
      <c r="O210">
        <v>1946</v>
      </c>
      <c r="P210">
        <v>2421</v>
      </c>
      <c r="Q210">
        <v>2063</v>
      </c>
      <c r="R210">
        <v>1155</v>
      </c>
      <c r="S210">
        <v>2435</v>
      </c>
      <c r="T210">
        <v>2385</v>
      </c>
      <c r="U210">
        <v>2195</v>
      </c>
      <c r="V210">
        <v>1315</v>
      </c>
      <c r="W210">
        <v>2765</v>
      </c>
      <c r="X210">
        <v>3397</v>
      </c>
      <c r="Y210">
        <v>1988</v>
      </c>
      <c r="Z210">
        <v>1137</v>
      </c>
      <c r="AA210">
        <v>1963</v>
      </c>
      <c r="AB210">
        <v>1698</v>
      </c>
      <c r="AC210">
        <v>1618</v>
      </c>
      <c r="AD210">
        <v>495</v>
      </c>
      <c r="AE210">
        <v>1283</v>
      </c>
      <c r="AF210">
        <v>1430</v>
      </c>
      <c r="AG210">
        <v>1708</v>
      </c>
      <c r="AH210">
        <v>1600</v>
      </c>
      <c r="AI210">
        <v>4478</v>
      </c>
      <c r="AJ210">
        <v>4658</v>
      </c>
      <c r="AK210">
        <v>3667</v>
      </c>
      <c r="AL210">
        <v>1607</v>
      </c>
      <c r="AM210">
        <v>3914</v>
      </c>
      <c r="AN210">
        <v>38919</v>
      </c>
      <c r="AO210">
        <v>3412</v>
      </c>
      <c r="AP210">
        <v>1706</v>
      </c>
      <c r="AQ210">
        <v>8592</v>
      </c>
      <c r="AR210">
        <v>6648</v>
      </c>
      <c r="AS210">
        <v>13459</v>
      </c>
      <c r="AW210">
        <v>27656</v>
      </c>
      <c r="AZ210">
        <v>26336</v>
      </c>
      <c r="BA210">
        <v>28222</v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  <c r="BT210" t="str">
        <f>""</f>
        <v/>
      </c>
      <c r="BU210" t="str">
        <f>""</f>
        <v/>
      </c>
      <c r="BV210" t="str">
        <f>""</f>
        <v/>
      </c>
      <c r="BW210" t="str">
        <f>""</f>
        <v/>
      </c>
      <c r="BX210" t="str">
        <f>""</f>
        <v/>
      </c>
      <c r="BY210" t="str">
        <f>""</f>
        <v/>
      </c>
      <c r="BZ210" t="str">
        <f>""</f>
        <v/>
      </c>
      <c r="CA210" t="str">
        <f>""</f>
        <v/>
      </c>
      <c r="CB210" t="str">
        <f>""</f>
        <v/>
      </c>
      <c r="CC210" t="str">
        <f>""</f>
        <v/>
      </c>
      <c r="CD210" t="str">
        <f>""</f>
        <v/>
      </c>
      <c r="CE210" t="str">
        <f>""</f>
        <v/>
      </c>
      <c r="CF210" t="str">
        <f>""</f>
        <v/>
      </c>
      <c r="CG210" t="str">
        <f>""</f>
        <v/>
      </c>
      <c r="CH210" t="str">
        <f>""</f>
        <v/>
      </c>
      <c r="CI210" t="str">
        <f>""</f>
        <v/>
      </c>
      <c r="CJ210" t="str">
        <f>""</f>
        <v/>
      </c>
      <c r="CK210" t="str">
        <f>""</f>
        <v/>
      </c>
      <c r="CL210" t="str">
        <f>""</f>
        <v/>
      </c>
      <c r="CM210" t="str">
        <f>""</f>
        <v/>
      </c>
      <c r="CN210" t="str">
        <f>""</f>
        <v/>
      </c>
      <c r="CO210" t="str">
        <f>""</f>
        <v/>
      </c>
      <c r="CP210" t="str">
        <f>""</f>
        <v/>
      </c>
      <c r="CQ210" t="str">
        <f>""</f>
        <v/>
      </c>
      <c r="CR210" t="str">
        <f>""</f>
        <v/>
      </c>
      <c r="CS210" t="str">
        <f>""</f>
        <v/>
      </c>
      <c r="CT210" t="str">
        <f>""</f>
        <v/>
      </c>
      <c r="CU210" t="str">
        <f>""</f>
        <v/>
      </c>
      <c r="CV210" t="str">
        <f>""</f>
        <v/>
      </c>
      <c r="CW210" t="str">
        <f>""</f>
        <v/>
      </c>
      <c r="CX210" t="str">
        <f>""</f>
        <v/>
      </c>
      <c r="CY210" t="str">
        <f>""</f>
        <v/>
      </c>
      <c r="CZ210" t="str">
        <f>""</f>
        <v/>
      </c>
      <c r="DA210" t="str">
        <f>""</f>
        <v/>
      </c>
      <c r="DB210" t="str">
        <f>""</f>
        <v/>
      </c>
      <c r="DC210" t="str">
        <f>""</f>
        <v/>
      </c>
      <c r="DD210" t="str">
        <f>""</f>
        <v/>
      </c>
      <c r="DE210" t="str">
        <f>""</f>
        <v/>
      </c>
      <c r="DF210" t="str">
        <f>""</f>
        <v/>
      </c>
      <c r="DG210" t="str">
        <f>""</f>
        <v/>
      </c>
      <c r="DH210" t="str">
        <f>""</f>
        <v/>
      </c>
      <c r="DI210" t="str">
        <f>""</f>
        <v/>
      </c>
      <c r="DJ210" t="str">
        <f>""</f>
        <v/>
      </c>
      <c r="DK210" t="str">
        <f>""</f>
        <v/>
      </c>
      <c r="DL210" t="str">
        <f>""</f>
        <v/>
      </c>
      <c r="DM210" t="str">
        <f>""</f>
        <v/>
      </c>
      <c r="DN210" t="str">
        <f>""</f>
        <v/>
      </c>
      <c r="DO210" t="str">
        <f>""</f>
        <v/>
      </c>
      <c r="DP210" t="str">
        <f>""</f>
        <v/>
      </c>
      <c r="DQ210" t="str">
        <f>""</f>
        <v/>
      </c>
      <c r="DR210" t="str">
        <f>""</f>
        <v/>
      </c>
      <c r="DS210" t="str">
        <f>""</f>
        <v/>
      </c>
      <c r="DT210" t="str">
        <f>""</f>
        <v/>
      </c>
      <c r="DU210" t="str">
        <f>""</f>
        <v/>
      </c>
    </row>
    <row r="211" spans="1:125" x14ac:dyDescent="0.25">
      <c r="A211" t="str">
        <f>$A$5</f>
        <v xml:space="preserve">    AIB Group PLC</v>
      </c>
      <c r="B211" t="str">
        <f>$B$5</f>
        <v>AIBG ID Equity</v>
      </c>
      <c r="C211" t="str">
        <f>$C$5</f>
        <v>BM105</v>
      </c>
      <c r="D211" t="str">
        <f>$D$5</f>
        <v>BS_TRADING_ASSETS</v>
      </c>
      <c r="E211" t="str">
        <f>$E$5</f>
        <v>Dynamic</v>
      </c>
      <c r="F211" t="str">
        <f ca="1">_xll.BDH($B$5,$C$5,$B$206,$B$207,CONCATENATE("Per=",$B$204),"Dts=H","Dir=H",CONCATENATE("Points=",$B$205),"Sort=R","Days=A","Fill=B",CONCATENATE("FX=", $B$203) )</f>
        <v/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  <c r="BT211" t="str">
        <f>""</f>
        <v/>
      </c>
      <c r="BU211" t="str">
        <f>""</f>
        <v/>
      </c>
      <c r="BV211" t="str">
        <f>""</f>
        <v/>
      </c>
      <c r="BW211" t="str">
        <f>""</f>
        <v/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  <c r="CI211" t="str">
        <f>""</f>
        <v/>
      </c>
      <c r="CJ211" t="str">
        <f>""</f>
        <v/>
      </c>
      <c r="CK211" t="str">
        <f>""</f>
        <v/>
      </c>
      <c r="CL211" t="str">
        <f>""</f>
        <v/>
      </c>
      <c r="CM211" t="str">
        <f>""</f>
        <v/>
      </c>
      <c r="CN211" t="str">
        <f>""</f>
        <v/>
      </c>
      <c r="CO211" t="str">
        <f>""</f>
        <v/>
      </c>
      <c r="CP211" t="str">
        <f>""</f>
        <v/>
      </c>
      <c r="CQ211" t="str">
        <f>""</f>
        <v/>
      </c>
      <c r="CR211" t="str">
        <f>""</f>
        <v/>
      </c>
      <c r="CS211" t="str">
        <f>""</f>
        <v/>
      </c>
      <c r="CT211" t="str">
        <f>""</f>
        <v/>
      </c>
      <c r="CU211" t="str">
        <f>""</f>
        <v/>
      </c>
      <c r="CV211" t="str">
        <f>""</f>
        <v/>
      </c>
      <c r="CW211" t="str">
        <f>""</f>
        <v/>
      </c>
      <c r="CX211" t="str">
        <f>""</f>
        <v/>
      </c>
      <c r="CY211" t="str">
        <f>""</f>
        <v/>
      </c>
      <c r="CZ211" t="str">
        <f>""</f>
        <v/>
      </c>
      <c r="DA211" t="str">
        <f>""</f>
        <v/>
      </c>
      <c r="DB211" t="str">
        <f>""</f>
        <v/>
      </c>
      <c r="DC211" t="str">
        <f>""</f>
        <v/>
      </c>
      <c r="DD211" t="str">
        <f>""</f>
        <v/>
      </c>
      <c r="DE211" t="str">
        <f>""</f>
        <v/>
      </c>
      <c r="DF211" t="str">
        <f>""</f>
        <v/>
      </c>
      <c r="DG211" t="str">
        <f>""</f>
        <v/>
      </c>
      <c r="DH211" t="str">
        <f>""</f>
        <v/>
      </c>
      <c r="DI211" t="str">
        <f>""</f>
        <v/>
      </c>
      <c r="DJ211" t="str">
        <f>""</f>
        <v/>
      </c>
      <c r="DK211" t="str">
        <f>""</f>
        <v/>
      </c>
      <c r="DL211" t="str">
        <f>""</f>
        <v/>
      </c>
      <c r="DM211" t="str">
        <f>""</f>
        <v/>
      </c>
      <c r="DN211" t="str">
        <f>""</f>
        <v/>
      </c>
      <c r="DO211" t="str">
        <f>""</f>
        <v/>
      </c>
      <c r="DP211" t="str">
        <f>""</f>
        <v/>
      </c>
      <c r="DQ211" t="str">
        <f>""</f>
        <v/>
      </c>
      <c r="DR211" t="str">
        <f>""</f>
        <v/>
      </c>
      <c r="DS211" t="str">
        <f>""</f>
        <v/>
      </c>
      <c r="DT211" t="str">
        <f>""</f>
        <v/>
      </c>
      <c r="DU211" t="str">
        <f>""</f>
        <v/>
      </c>
    </row>
    <row r="212" spans="1:125" x14ac:dyDescent="0.25">
      <c r="A212" t="str">
        <f>$A$6</f>
        <v xml:space="preserve">    Banco de Sabadell SA</v>
      </c>
      <c r="B212" t="str">
        <f>$B$6</f>
        <v>SAB SM Equity</v>
      </c>
      <c r="C212" t="str">
        <f>$C$6</f>
        <v>BM105</v>
      </c>
      <c r="D212" t="str">
        <f>$D$6</f>
        <v>BS_TRADING_ASSETS</v>
      </c>
      <c r="E212" t="str">
        <f>$E$6</f>
        <v>Dynamic</v>
      </c>
      <c r="F212">
        <f ca="1">_xll.BDH($B$6,$C$6,$B$206,$B$207,CONCATENATE("Per=",$B$204),"Dts=H","Dir=H",CONCATENATE("Points=",$B$205),"Sort=R","Days=A","Fill=B",CONCATENATE("FX=", $B$203),"cols=60;rows=1")</f>
        <v>1420.9559999999999</v>
      </c>
      <c r="G212">
        <v>2846</v>
      </c>
      <c r="H212">
        <v>3110</v>
      </c>
      <c r="I212">
        <v>3042</v>
      </c>
      <c r="J212">
        <v>142.495</v>
      </c>
      <c r="K212">
        <v>3802</v>
      </c>
      <c r="L212">
        <v>532.60599999999999</v>
      </c>
      <c r="M212">
        <v>3769</v>
      </c>
      <c r="N212">
        <v>417.13099999999997</v>
      </c>
      <c r="O212">
        <v>5953</v>
      </c>
      <c r="P212">
        <v>1632.0709999999999</v>
      </c>
      <c r="Q212">
        <v>2509</v>
      </c>
      <c r="R212">
        <v>592.63099999999997</v>
      </c>
      <c r="S212">
        <v>1969</v>
      </c>
      <c r="T212">
        <v>542.58100000000002</v>
      </c>
      <c r="U212">
        <v>3059</v>
      </c>
      <c r="V212">
        <v>314.24099999999999</v>
      </c>
      <c r="W212">
        <v>3352</v>
      </c>
      <c r="X212">
        <v>824.45799999999997</v>
      </c>
      <c r="Y212">
        <v>3459</v>
      </c>
      <c r="Z212">
        <v>600.62099999999998</v>
      </c>
      <c r="AA212">
        <v>3177</v>
      </c>
      <c r="AB212">
        <v>438.98599999999999</v>
      </c>
      <c r="AC212">
        <v>2418</v>
      </c>
      <c r="AD212">
        <v>324.69099999999997</v>
      </c>
      <c r="AE212">
        <v>1937</v>
      </c>
      <c r="AF212">
        <v>295.66199999999998</v>
      </c>
      <c r="AG212">
        <v>1906</v>
      </c>
      <c r="AH212">
        <v>131.761</v>
      </c>
      <c r="AI212">
        <v>2352</v>
      </c>
      <c r="AJ212">
        <v>319.96600000000001</v>
      </c>
      <c r="AK212">
        <v>2639</v>
      </c>
      <c r="AL212">
        <v>1649.7260000000001</v>
      </c>
      <c r="AM212">
        <v>4841</v>
      </c>
      <c r="AN212">
        <v>1229.693</v>
      </c>
      <c r="AO212">
        <v>4146</v>
      </c>
      <c r="AP212">
        <v>803.67200000000003</v>
      </c>
      <c r="AQ212">
        <v>3258</v>
      </c>
      <c r="AR212">
        <v>2254.739</v>
      </c>
      <c r="AS212">
        <v>3785.27</v>
      </c>
      <c r="AT212">
        <v>623.86500000000001</v>
      </c>
      <c r="AU212">
        <v>3113</v>
      </c>
      <c r="AV212">
        <v>712.577</v>
      </c>
      <c r="AW212">
        <v>2438.346</v>
      </c>
      <c r="AX212">
        <v>601.01</v>
      </c>
      <c r="AY212">
        <v>6959.9430000000002</v>
      </c>
      <c r="AZ212">
        <v>373.505</v>
      </c>
      <c r="BA212">
        <v>7133.5739999999996</v>
      </c>
      <c r="BB212">
        <v>339.142</v>
      </c>
      <c r="BC212">
        <v>9955.4240000000009</v>
      </c>
      <c r="BD212">
        <v>213.22</v>
      </c>
      <c r="BE212">
        <v>2308.509</v>
      </c>
      <c r="BF212">
        <v>1682.12</v>
      </c>
      <c r="BG212">
        <v>2330.4549999999999</v>
      </c>
      <c r="BH212">
        <v>1317.3720000000001</v>
      </c>
      <c r="BI212">
        <v>1494.5920000000001</v>
      </c>
      <c r="BK212">
        <v>2216.3809999999999</v>
      </c>
      <c r="BL212">
        <v>2324.3339999999998</v>
      </c>
      <c r="BM212">
        <v>2121.6880000000001</v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  <c r="CI212" t="str">
        <f>""</f>
        <v/>
      </c>
      <c r="CJ212" t="str">
        <f>""</f>
        <v/>
      </c>
      <c r="CK212" t="str">
        <f>""</f>
        <v/>
      </c>
      <c r="CL212" t="str">
        <f>""</f>
        <v/>
      </c>
      <c r="CM212" t="str">
        <f>""</f>
        <v/>
      </c>
      <c r="CN212" t="str">
        <f>""</f>
        <v/>
      </c>
      <c r="CO212" t="str">
        <f>""</f>
        <v/>
      </c>
      <c r="CP212" t="str">
        <f>""</f>
        <v/>
      </c>
      <c r="CQ212" t="str">
        <f>""</f>
        <v/>
      </c>
      <c r="CR212" t="str">
        <f>""</f>
        <v/>
      </c>
      <c r="CS212" t="str">
        <f>""</f>
        <v/>
      </c>
      <c r="CT212" t="str">
        <f>""</f>
        <v/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1:125" x14ac:dyDescent="0.25">
      <c r="A213" t="str">
        <f>$A$7</f>
        <v xml:space="preserve">    Banco Santander SA</v>
      </c>
      <c r="B213" t="str">
        <f>$B$7</f>
        <v>SAN SM Equity</v>
      </c>
      <c r="C213" t="str">
        <f>$C$7</f>
        <v>BM105</v>
      </c>
      <c r="D213" t="str">
        <f>$D$7</f>
        <v>BS_TRADING_ASSETS</v>
      </c>
      <c r="E213" t="str">
        <f>$E$7</f>
        <v>Dynamic</v>
      </c>
      <c r="F213">
        <f ca="1">_xll.BDH($B$7,$C$7,$B$206,$B$207,CONCATENATE("Per=",$B$204),"Dts=H","Dir=H",CONCATENATE("Points=",$B$205),"Sort=R","Days=A","Fill=B",CONCATENATE("FX=", $B$203),"cols=60;rows=1")</f>
        <v>189973</v>
      </c>
      <c r="G213">
        <v>232039</v>
      </c>
      <c r="H213">
        <v>206874</v>
      </c>
      <c r="I213">
        <v>209589</v>
      </c>
      <c r="J213">
        <v>176921</v>
      </c>
      <c r="K213">
        <v>201226</v>
      </c>
      <c r="L213">
        <v>183834</v>
      </c>
      <c r="M213">
        <v>172889</v>
      </c>
      <c r="N213">
        <v>156118</v>
      </c>
      <c r="O213">
        <v>179775</v>
      </c>
      <c r="P213">
        <v>163235</v>
      </c>
      <c r="Q213">
        <v>148472</v>
      </c>
      <c r="R213">
        <v>116953</v>
      </c>
      <c r="S213">
        <v>122967</v>
      </c>
      <c r="T213">
        <v>102792</v>
      </c>
      <c r="U213">
        <v>109643</v>
      </c>
      <c r="V213">
        <v>114945</v>
      </c>
      <c r="W213">
        <v>117654</v>
      </c>
      <c r="X213">
        <v>124145</v>
      </c>
      <c r="Y213">
        <v>125846</v>
      </c>
      <c r="Z213">
        <v>44478</v>
      </c>
      <c r="AA213">
        <v>46731</v>
      </c>
      <c r="AB213">
        <v>44476</v>
      </c>
      <c r="AC213">
        <v>42144</v>
      </c>
      <c r="AD213">
        <v>36738</v>
      </c>
      <c r="AE213">
        <v>45469</v>
      </c>
      <c r="AF213">
        <v>44675</v>
      </c>
      <c r="AG213">
        <v>50000</v>
      </c>
      <c r="AI213">
        <v>126649</v>
      </c>
      <c r="AJ213">
        <v>55969</v>
      </c>
      <c r="AK213">
        <v>63118</v>
      </c>
      <c r="AL213">
        <v>63419</v>
      </c>
      <c r="AM213">
        <v>55997</v>
      </c>
      <c r="AN213">
        <v>59314</v>
      </c>
      <c r="AO213">
        <v>64644</v>
      </c>
      <c r="AP213">
        <v>62189</v>
      </c>
      <c r="AQ213">
        <v>59139</v>
      </c>
      <c r="AR213">
        <v>69424</v>
      </c>
      <c r="AS213">
        <v>68976</v>
      </c>
      <c r="AT213">
        <v>67294</v>
      </c>
      <c r="AU213">
        <v>68095</v>
      </c>
      <c r="AV213">
        <v>63514</v>
      </c>
      <c r="AW213">
        <v>56965</v>
      </c>
      <c r="AX213">
        <v>45808</v>
      </c>
      <c r="AY213">
        <v>49259</v>
      </c>
      <c r="AZ213">
        <v>56365</v>
      </c>
      <c r="BA213">
        <v>54997</v>
      </c>
      <c r="BB213">
        <v>48593</v>
      </c>
      <c r="BC213">
        <v>46618</v>
      </c>
      <c r="BD213">
        <v>53246</v>
      </c>
      <c r="BE213">
        <v>58539</v>
      </c>
      <c r="BF213">
        <v>57448</v>
      </c>
      <c r="BG213">
        <v>66465</v>
      </c>
      <c r="BH213">
        <v>163607</v>
      </c>
      <c r="BI213">
        <v>148138</v>
      </c>
      <c r="BJ213">
        <v>139790.41899999999</v>
      </c>
      <c r="BK213">
        <v>179953</v>
      </c>
      <c r="BL213">
        <v>162540</v>
      </c>
      <c r="BM213">
        <v>67017</v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  <c r="CH213" t="str">
        <f>""</f>
        <v/>
      </c>
      <c r="CI213" t="str">
        <f>""</f>
        <v/>
      </c>
      <c r="CJ213" t="str">
        <f>""</f>
        <v/>
      </c>
      <c r="CK213" t="str">
        <f>""</f>
        <v/>
      </c>
      <c r="CL213" t="str">
        <f>""</f>
        <v/>
      </c>
      <c r="CM213" t="str">
        <f>""</f>
        <v/>
      </c>
      <c r="CN213" t="str">
        <f>""</f>
        <v/>
      </c>
      <c r="CO213" t="str">
        <f>""</f>
        <v/>
      </c>
      <c r="CP213" t="str">
        <f>""</f>
        <v/>
      </c>
      <c r="CQ213" t="str">
        <f>""</f>
        <v/>
      </c>
      <c r="CR213" t="str">
        <f>""</f>
        <v/>
      </c>
      <c r="CS213" t="str">
        <f>""</f>
        <v/>
      </c>
      <c r="CT213" t="str">
        <f>""</f>
        <v/>
      </c>
      <c r="CU213" t="str">
        <f>""</f>
        <v/>
      </c>
      <c r="CV213" t="str">
        <f>""</f>
        <v/>
      </c>
      <c r="CW213" t="str">
        <f>""</f>
        <v/>
      </c>
      <c r="CX213" t="str">
        <f>""</f>
        <v/>
      </c>
      <c r="CY213" t="str">
        <f>""</f>
        <v/>
      </c>
      <c r="CZ213" t="str">
        <f>""</f>
        <v/>
      </c>
      <c r="DA213" t="str">
        <f>""</f>
        <v/>
      </c>
      <c r="DB213" t="str">
        <f>""</f>
        <v/>
      </c>
      <c r="DC213" t="str">
        <f>""</f>
        <v/>
      </c>
      <c r="DD213" t="str">
        <f>""</f>
        <v/>
      </c>
      <c r="DE213" t="str">
        <f>""</f>
        <v/>
      </c>
      <c r="DF213" t="str">
        <f>""</f>
        <v/>
      </c>
      <c r="DG213" t="str">
        <f>""</f>
        <v/>
      </c>
      <c r="DH213" t="str">
        <f>""</f>
        <v/>
      </c>
      <c r="DI213" t="str">
        <f>""</f>
        <v/>
      </c>
      <c r="DJ213" t="str">
        <f>""</f>
        <v/>
      </c>
      <c r="DK213" t="str">
        <f>""</f>
        <v/>
      </c>
      <c r="DL213" t="str">
        <f>""</f>
        <v/>
      </c>
      <c r="DM213" t="str">
        <f>""</f>
        <v/>
      </c>
      <c r="DN213" t="str">
        <f>""</f>
        <v/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1:125" x14ac:dyDescent="0.25">
      <c r="A214" t="str">
        <f>$A$8</f>
        <v xml:space="preserve">    Barclays PLC</v>
      </c>
      <c r="B214" t="str">
        <f>$B$8</f>
        <v>BARC LN Equity</v>
      </c>
      <c r="C214" t="str">
        <f>$C$8</f>
        <v>BM105</v>
      </c>
      <c r="D214" t="str">
        <f>$D$8</f>
        <v>BS_TRADING_ASSETS</v>
      </c>
      <c r="E214" t="str">
        <f>$E$8</f>
        <v>Dynamic</v>
      </c>
      <c r="F214">
        <f ca="1">_xll.BDH($B$8,$C$8,$B$206,$B$207,CONCATENATE("Per=",$B$204),"Dts=H","Dir=H",CONCATENATE("Points=",$B$205),"Sort=R","Days=A","Fill=B",CONCATENATE("FX=", $B$203),"cols=60;rows=1")</f>
        <v>201355.21369999999</v>
      </c>
      <c r="G214">
        <v>225290.1686</v>
      </c>
      <c r="H214">
        <v>232768.0526</v>
      </c>
      <c r="I214">
        <v>228669.66930000001</v>
      </c>
      <c r="J214">
        <v>201417.53570000001</v>
      </c>
      <c r="K214">
        <v>179286.73130000001</v>
      </c>
      <c r="L214">
        <v>193143.90400000001</v>
      </c>
      <c r="M214">
        <v>156615.90169999999</v>
      </c>
      <c r="N214">
        <v>151140.85279999999</v>
      </c>
      <c r="O214">
        <v>143671.36060000001</v>
      </c>
      <c r="P214">
        <v>147527.20670000001</v>
      </c>
      <c r="Q214">
        <v>159119.19440000001</v>
      </c>
      <c r="R214">
        <v>174786.46799999999</v>
      </c>
      <c r="S214">
        <v>168621.39019999999</v>
      </c>
      <c r="T214">
        <v>171482.67360000001</v>
      </c>
      <c r="U214">
        <v>154120.74890000001</v>
      </c>
      <c r="V214">
        <v>142874.88339999999</v>
      </c>
      <c r="W214">
        <v>135191.01269999999</v>
      </c>
      <c r="X214">
        <v>121182.7357</v>
      </c>
      <c r="Y214">
        <v>115267.15889999999</v>
      </c>
      <c r="Z214">
        <v>134880.0681</v>
      </c>
      <c r="AA214">
        <v>135818.9847</v>
      </c>
      <c r="AB214">
        <v>134539.73019999999</v>
      </c>
      <c r="AC214">
        <v>136043.80799999999</v>
      </c>
      <c r="AD214">
        <v>115959.4396</v>
      </c>
      <c r="AE214">
        <v>139917.95379999999</v>
      </c>
      <c r="AF214">
        <v>131675.60019999999</v>
      </c>
      <c r="AG214">
        <v>132083.2254</v>
      </c>
      <c r="AH214">
        <v>127972.90300000001</v>
      </c>
      <c r="AI214">
        <v>104926.5543</v>
      </c>
      <c r="AJ214">
        <v>103373.3097</v>
      </c>
      <c r="AK214">
        <v>105956.86079999999</v>
      </c>
      <c r="AL214">
        <v>93918.915299999993</v>
      </c>
      <c r="AM214">
        <v>93014.814700000003</v>
      </c>
      <c r="AN214">
        <v>91716.113400000002</v>
      </c>
      <c r="AO214">
        <v>95551.067599999995</v>
      </c>
      <c r="AP214">
        <v>104881.781</v>
      </c>
      <c r="AQ214">
        <v>129040.1531</v>
      </c>
      <c r="AR214">
        <v>138241.26240000001</v>
      </c>
      <c r="AS214">
        <v>164093.46040000001</v>
      </c>
      <c r="AT214">
        <v>147719.46919999999</v>
      </c>
      <c r="AU214">
        <v>157077.33559999999</v>
      </c>
      <c r="AV214">
        <v>160916.2034</v>
      </c>
      <c r="AW214">
        <v>162702.73370000001</v>
      </c>
      <c r="AX214">
        <v>159868.08720000001</v>
      </c>
      <c r="AY214">
        <v>174417.84090000001</v>
      </c>
      <c r="AZ214">
        <v>177457.24609999999</v>
      </c>
      <c r="BA214">
        <v>199357.10579999999</v>
      </c>
      <c r="BB214">
        <v>180120.42009999999</v>
      </c>
      <c r="BC214">
        <v>201876.1194</v>
      </c>
      <c r="BD214">
        <v>207571.122</v>
      </c>
      <c r="BF214">
        <v>179022.44529999999</v>
      </c>
      <c r="BJ214">
        <v>196977.80910000001</v>
      </c>
      <c r="BL214">
        <v>203904.2936</v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  <c r="CI214" t="str">
        <f>""</f>
        <v/>
      </c>
      <c r="CJ214" t="str">
        <f>""</f>
        <v/>
      </c>
      <c r="CK214" t="str">
        <f>""</f>
        <v/>
      </c>
      <c r="CL214" t="str">
        <f>""</f>
        <v/>
      </c>
      <c r="CM214" t="str">
        <f>""</f>
        <v/>
      </c>
      <c r="CN214" t="str">
        <f>""</f>
        <v/>
      </c>
      <c r="CO214" t="str">
        <f>""</f>
        <v/>
      </c>
      <c r="CP214" t="str">
        <f>""</f>
        <v/>
      </c>
      <c r="CQ214" t="str">
        <f>""</f>
        <v/>
      </c>
      <c r="CR214" t="str">
        <f>""</f>
        <v/>
      </c>
      <c r="CS214" t="str">
        <f>""</f>
        <v/>
      </c>
      <c r="CT214" t="str">
        <f>""</f>
        <v/>
      </c>
      <c r="CU214" t="str">
        <f>""</f>
        <v/>
      </c>
      <c r="CV214" t="str">
        <f>""</f>
        <v/>
      </c>
      <c r="CW214" t="str">
        <f>""</f>
        <v/>
      </c>
      <c r="CX214" t="str">
        <f>""</f>
        <v/>
      </c>
      <c r="CY214" t="str">
        <f>""</f>
        <v/>
      </c>
      <c r="CZ214" t="str">
        <f>""</f>
        <v/>
      </c>
      <c r="DA214" t="str">
        <f>""</f>
        <v/>
      </c>
      <c r="DB214" t="str">
        <f>""</f>
        <v/>
      </c>
      <c r="DC214" t="str">
        <f>""</f>
        <v/>
      </c>
      <c r="DD214" t="str">
        <f>""</f>
        <v/>
      </c>
      <c r="DE214" t="str">
        <f>""</f>
        <v/>
      </c>
      <c r="DF214" t="str">
        <f>""</f>
        <v/>
      </c>
      <c r="DG214" t="str">
        <f>""</f>
        <v/>
      </c>
      <c r="DH214" t="str">
        <f>""</f>
        <v/>
      </c>
      <c r="DI214" t="str">
        <f>""</f>
        <v/>
      </c>
      <c r="DJ214" t="str">
        <f>""</f>
        <v/>
      </c>
      <c r="DK214" t="str">
        <f>""</f>
        <v/>
      </c>
      <c r="DL214" t="str">
        <f>""</f>
        <v/>
      </c>
      <c r="DM214" t="str">
        <f>""</f>
        <v/>
      </c>
      <c r="DN214" t="str">
        <f>""</f>
        <v/>
      </c>
      <c r="DO214" t="str">
        <f>""</f>
        <v/>
      </c>
      <c r="DP214" t="str">
        <f>""</f>
        <v/>
      </c>
      <c r="DQ214" t="str">
        <f>""</f>
        <v/>
      </c>
      <c r="DR214" t="str">
        <f>""</f>
        <v/>
      </c>
      <c r="DS214" t="str">
        <f>""</f>
        <v/>
      </c>
      <c r="DT214" t="str">
        <f>""</f>
        <v/>
      </c>
      <c r="DU214" t="str">
        <f>""</f>
        <v/>
      </c>
    </row>
    <row r="215" spans="1:125" x14ac:dyDescent="0.25">
      <c r="A215" t="str">
        <f>$A$9</f>
        <v xml:space="preserve">    BAWAG Group AG</v>
      </c>
      <c r="B215" t="str">
        <f>$B$9</f>
        <v>BG AV Equity</v>
      </c>
      <c r="C215" t="str">
        <f>$C$9</f>
        <v>BM105</v>
      </c>
      <c r="D215" t="str">
        <f>$D$9</f>
        <v>BS_TRADING_ASSETS</v>
      </c>
      <c r="E215" t="str">
        <f>$E$9</f>
        <v>Dynamic</v>
      </c>
      <c r="F215" t="str">
        <f ca="1">_xll.BDH($B$9,$C$9,$B$206,$B$207,CONCATENATE("Per=",$B$204),"Dts=H","Dir=H",CONCATENATE("Points=",$B$205),"Sort=R","Days=A","Fill=B",CONCATENATE("FX=", $B$203),"cols=60;rows=1")</f>
        <v/>
      </c>
      <c r="H215">
        <v>58</v>
      </c>
      <c r="L215">
        <v>123</v>
      </c>
      <c r="O215">
        <v>156</v>
      </c>
      <c r="Q215">
        <v>184</v>
      </c>
      <c r="R215">
        <v>257</v>
      </c>
      <c r="S215">
        <v>296</v>
      </c>
      <c r="T215">
        <v>284</v>
      </c>
      <c r="U215">
        <v>322</v>
      </c>
      <c r="V215">
        <v>441</v>
      </c>
      <c r="AA215">
        <v>451</v>
      </c>
      <c r="AE215">
        <v>360</v>
      </c>
      <c r="AF215">
        <v>393</v>
      </c>
      <c r="AG215">
        <v>409</v>
      </c>
      <c r="AH215">
        <v>458</v>
      </c>
      <c r="AI215">
        <v>434</v>
      </c>
      <c r="AJ215">
        <v>510</v>
      </c>
      <c r="AK215">
        <v>546</v>
      </c>
      <c r="AL215">
        <v>652</v>
      </c>
      <c r="AN215">
        <v>1036</v>
      </c>
      <c r="AO215">
        <v>1119</v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  <c r="BT215" t="str">
        <f>""</f>
        <v/>
      </c>
      <c r="BU215" t="str">
        <f>""</f>
        <v/>
      </c>
      <c r="BV215" t="str">
        <f>""</f>
        <v/>
      </c>
      <c r="BW215" t="str">
        <f>""</f>
        <v/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  <c r="CI215" t="str">
        <f>""</f>
        <v/>
      </c>
      <c r="CJ215" t="str">
        <f>""</f>
        <v/>
      </c>
      <c r="CK215" t="str">
        <f>""</f>
        <v/>
      </c>
      <c r="CL215" t="str">
        <f>""</f>
        <v/>
      </c>
      <c r="CM215" t="str">
        <f>""</f>
        <v/>
      </c>
      <c r="CN215" t="str">
        <f>""</f>
        <v/>
      </c>
      <c r="CO215" t="str">
        <f>""</f>
        <v/>
      </c>
      <c r="CP215" t="str">
        <f>""</f>
        <v/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1:125" x14ac:dyDescent="0.25">
      <c r="A216" t="str">
        <f>$A$10</f>
        <v xml:space="preserve">    BNP Paribas SA</v>
      </c>
      <c r="B216" t="str">
        <f>$B$10</f>
        <v>BNP FP Equity</v>
      </c>
      <c r="C216" t="str">
        <f>$C$10</f>
        <v>BM105</v>
      </c>
      <c r="D216" t="str">
        <f>$D$10</f>
        <v>BS_TRADING_ASSETS</v>
      </c>
      <c r="E216" t="str">
        <f>$E$10</f>
        <v>Dynamic</v>
      </c>
      <c r="F216">
        <f ca="1">_xll.BDH($B$10,$C$10,$B$206,$B$207,CONCATENATE("Per=",$B$204),"Dts=H","Dir=H",CONCATENATE("Points=",$B$205),"Sort=R","Days=A","Fill=B",CONCATENATE("FX=", $B$203),"cols=60;rows=1")</f>
        <v>493056</v>
      </c>
      <c r="G216">
        <v>597597</v>
      </c>
      <c r="H216">
        <v>583461</v>
      </c>
      <c r="I216">
        <v>596149</v>
      </c>
      <c r="J216">
        <v>438809</v>
      </c>
      <c r="K216">
        <v>540161</v>
      </c>
      <c r="L216">
        <v>506693</v>
      </c>
      <c r="M216">
        <v>518945</v>
      </c>
      <c r="N216">
        <v>357202</v>
      </c>
      <c r="O216">
        <v>463252</v>
      </c>
      <c r="P216">
        <v>507413</v>
      </c>
      <c r="Q216">
        <v>543475</v>
      </c>
      <c r="R216">
        <v>441315</v>
      </c>
      <c r="S216">
        <v>563099</v>
      </c>
      <c r="T216">
        <v>550736</v>
      </c>
      <c r="U216">
        <v>574676</v>
      </c>
      <c r="V216">
        <v>412805</v>
      </c>
      <c r="W216">
        <v>508052</v>
      </c>
      <c r="X216">
        <v>513544</v>
      </c>
      <c r="Y216">
        <v>569545</v>
      </c>
      <c r="Z216">
        <v>328862</v>
      </c>
      <c r="AA216">
        <v>582018</v>
      </c>
      <c r="AB216">
        <v>514640</v>
      </c>
      <c r="AC216">
        <v>477241</v>
      </c>
      <c r="AD216">
        <v>305670</v>
      </c>
      <c r="AE216">
        <v>193411</v>
      </c>
      <c r="AF216">
        <v>468461</v>
      </c>
      <c r="AG216">
        <v>434705</v>
      </c>
      <c r="AH216">
        <v>275274</v>
      </c>
      <c r="AI216">
        <v>178034</v>
      </c>
      <c r="AJ216">
        <v>340930</v>
      </c>
      <c r="AK216">
        <v>365766</v>
      </c>
      <c r="AL216">
        <v>275921</v>
      </c>
      <c r="AM216">
        <v>348477</v>
      </c>
      <c r="AN216">
        <v>323431</v>
      </c>
      <c r="AO216">
        <v>324040</v>
      </c>
      <c r="AP216">
        <v>265283</v>
      </c>
      <c r="AQ216">
        <v>384634</v>
      </c>
      <c r="AR216">
        <v>386079</v>
      </c>
      <c r="AS216">
        <v>478708</v>
      </c>
      <c r="AT216">
        <v>322322</v>
      </c>
      <c r="AU216">
        <v>395001</v>
      </c>
      <c r="AV216">
        <v>361777</v>
      </c>
      <c r="AW216">
        <v>354316</v>
      </c>
      <c r="AX216">
        <v>683711</v>
      </c>
      <c r="AY216">
        <v>341107</v>
      </c>
      <c r="BA216">
        <v>336931</v>
      </c>
      <c r="BB216">
        <v>763799</v>
      </c>
      <c r="BC216">
        <v>797284</v>
      </c>
      <c r="BJ216">
        <v>832945</v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  <c r="BT216" t="str">
        <f>""</f>
        <v/>
      </c>
      <c r="BU216" t="str">
        <f>""</f>
        <v/>
      </c>
      <c r="BV216" t="str">
        <f>""</f>
        <v/>
      </c>
      <c r="BW216" t="str">
        <f>""</f>
        <v/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  <c r="CI216" t="str">
        <f>""</f>
        <v/>
      </c>
      <c r="CJ216" t="str">
        <f>""</f>
        <v/>
      </c>
      <c r="CK216" t="str">
        <f>""</f>
        <v/>
      </c>
      <c r="CL216" t="str">
        <f>""</f>
        <v/>
      </c>
      <c r="CM216" t="str">
        <f>""</f>
        <v/>
      </c>
      <c r="CN216" t="str">
        <f>""</f>
        <v/>
      </c>
      <c r="CO216" t="str">
        <f>""</f>
        <v/>
      </c>
      <c r="CP216" t="str">
        <f>""</f>
        <v/>
      </c>
      <c r="CQ216" t="str">
        <f>""</f>
        <v/>
      </c>
      <c r="CR216" t="str">
        <f>""</f>
        <v/>
      </c>
      <c r="CS216" t="str">
        <f>""</f>
        <v/>
      </c>
      <c r="CT216" t="str">
        <f>""</f>
        <v/>
      </c>
      <c r="CU216" t="str">
        <f>""</f>
        <v/>
      </c>
      <c r="CV216" t="str">
        <f>""</f>
        <v/>
      </c>
      <c r="CW216" t="str">
        <f>""</f>
        <v/>
      </c>
      <c r="CX216" t="str">
        <f>""</f>
        <v/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1:125" x14ac:dyDescent="0.25">
      <c r="A217" t="str">
        <f>$A$11</f>
        <v xml:space="preserve">    Banco BPM SpA</v>
      </c>
      <c r="B217" t="str">
        <f>$B$11</f>
        <v>BAMI IM Equity</v>
      </c>
      <c r="C217" t="str">
        <f>$C$11</f>
        <v>BM105</v>
      </c>
      <c r="D217" t="str">
        <f>$D$11</f>
        <v>BS_TRADING_ASSETS</v>
      </c>
      <c r="E217" t="str">
        <f>$E$11</f>
        <v>Dynamic</v>
      </c>
      <c r="F217" t="str">
        <f ca="1">_xll.BDH($B$11,$C$11,$B$206,$B$207,CONCATENATE("Per=",$B$204),"Dts=H","Dir=H",CONCATENATE("Points=",$B$205),"Sort=R","Days=A","Fill=B",CONCATENATE("FX=", $B$203),"cols=60;rows=1")</f>
        <v/>
      </c>
      <c r="H217">
        <v>5554.9579999999996</v>
      </c>
      <c r="J217">
        <v>4354.0029999999997</v>
      </c>
      <c r="L217">
        <v>4707.152</v>
      </c>
      <c r="N217">
        <v>4508.4970000000003</v>
      </c>
      <c r="P217">
        <v>5771.4290000000001</v>
      </c>
      <c r="R217">
        <v>4538.625</v>
      </c>
      <c r="T217">
        <v>6650.3459999999995</v>
      </c>
      <c r="V217">
        <v>7248.348</v>
      </c>
      <c r="X217">
        <v>7537.8069999999998</v>
      </c>
      <c r="Z217">
        <v>5726.8140000000003</v>
      </c>
      <c r="AB217">
        <v>6046.5420000000004</v>
      </c>
      <c r="AD217">
        <v>4522.5290000000005</v>
      </c>
      <c r="AF217">
        <v>6522.9219999999996</v>
      </c>
      <c r="AH217">
        <v>4911.8239999999996</v>
      </c>
      <c r="AJ217">
        <v>6237.1170000000002</v>
      </c>
      <c r="AL217">
        <v>4743.4250000000002</v>
      </c>
      <c r="AN217">
        <v>7617.4030000000002</v>
      </c>
      <c r="AP217">
        <v>6327.3869999999997</v>
      </c>
      <c r="AR217">
        <v>7791.3069999999998</v>
      </c>
      <c r="AT217">
        <v>7077.9859999999999</v>
      </c>
      <c r="AV217">
        <v>7493.1869999999999</v>
      </c>
      <c r="AW217">
        <v>25511.052</v>
      </c>
      <c r="AX217">
        <v>7264.8130000000001</v>
      </c>
      <c r="AZ217">
        <v>8650.4650000000001</v>
      </c>
      <c r="BB217">
        <v>10442.769</v>
      </c>
      <c r="BC217">
        <v>23154.001</v>
      </c>
      <c r="BF217">
        <v>8745.1440000000002</v>
      </c>
      <c r="BH217">
        <v>10158.249</v>
      </c>
      <c r="BJ217">
        <v>11613.306</v>
      </c>
      <c r="BK217">
        <v>11870.857</v>
      </c>
      <c r="BL217">
        <v>12694.938</v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  <c r="BT217" t="str">
        <f>""</f>
        <v/>
      </c>
      <c r="BU217" t="str">
        <f>""</f>
        <v/>
      </c>
      <c r="BV217" t="str">
        <f>""</f>
        <v/>
      </c>
      <c r="BW217" t="str">
        <f>""</f>
        <v/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  <c r="CI217" t="str">
        <f>""</f>
        <v/>
      </c>
      <c r="CJ217" t="str">
        <f>""</f>
        <v/>
      </c>
      <c r="CK217" t="str">
        <f>""</f>
        <v/>
      </c>
      <c r="CL217" t="str">
        <f>""</f>
        <v/>
      </c>
      <c r="CM217" t="str">
        <f>""</f>
        <v/>
      </c>
      <c r="CN217" t="str">
        <f>""</f>
        <v/>
      </c>
      <c r="CO217" t="str">
        <f>""</f>
        <v/>
      </c>
      <c r="CP217" t="str">
        <f>""</f>
        <v/>
      </c>
      <c r="CQ217" t="str">
        <f>""</f>
        <v/>
      </c>
      <c r="CR217" t="str">
        <f>""</f>
        <v/>
      </c>
      <c r="CS217" t="str">
        <f>""</f>
        <v/>
      </c>
      <c r="CT217" t="str">
        <f>""</f>
        <v/>
      </c>
      <c r="CU217" t="str">
        <f>""</f>
        <v/>
      </c>
      <c r="CV217" t="str">
        <f>""</f>
        <v/>
      </c>
      <c r="CW217" t="str">
        <f>""</f>
        <v/>
      </c>
      <c r="CX217" t="str">
        <f>""</f>
        <v/>
      </c>
      <c r="CY217" t="str">
        <f>""</f>
        <v/>
      </c>
      <c r="CZ217" t="str">
        <f>""</f>
        <v/>
      </c>
      <c r="DA217" t="str">
        <f>""</f>
        <v/>
      </c>
      <c r="DB217" t="str">
        <f>""</f>
        <v/>
      </c>
      <c r="DC217" t="str">
        <f>""</f>
        <v/>
      </c>
      <c r="DD217" t="str">
        <f>""</f>
        <v/>
      </c>
      <c r="DE217" t="str">
        <f>""</f>
        <v/>
      </c>
      <c r="DF217" t="str">
        <f>""</f>
        <v/>
      </c>
      <c r="DG217" t="str">
        <f>""</f>
        <v/>
      </c>
      <c r="DH217" t="str">
        <f>""</f>
        <v/>
      </c>
      <c r="DI217" t="str">
        <f>""</f>
        <v/>
      </c>
      <c r="DJ217" t="str">
        <f>""</f>
        <v/>
      </c>
      <c r="DK217" t="str">
        <f>""</f>
        <v/>
      </c>
      <c r="DL217" t="str">
        <f>""</f>
        <v/>
      </c>
      <c r="DM217" t="str">
        <f>""</f>
        <v/>
      </c>
      <c r="DN217" t="str">
        <f>""</f>
        <v/>
      </c>
      <c r="DO217" t="str">
        <f>""</f>
        <v/>
      </c>
      <c r="DP217" t="str">
        <f>""</f>
        <v/>
      </c>
      <c r="DQ217" t="str">
        <f>""</f>
        <v/>
      </c>
      <c r="DR217" t="str">
        <f>""</f>
        <v/>
      </c>
      <c r="DS217" t="str">
        <f>""</f>
        <v/>
      </c>
      <c r="DT217" t="str">
        <f>""</f>
        <v/>
      </c>
      <c r="DU217" t="str">
        <f>""</f>
        <v/>
      </c>
    </row>
    <row r="218" spans="1:125" x14ac:dyDescent="0.25">
      <c r="A218" t="str">
        <f>$A$12</f>
        <v xml:space="preserve">    Banco Bilbao Vizcaya Argentaria SA</v>
      </c>
      <c r="B218" t="str">
        <f>$B$12</f>
        <v>BBVA SM Equity</v>
      </c>
      <c r="C218" t="str">
        <f>$C$12</f>
        <v>BM105</v>
      </c>
      <c r="D218" t="str">
        <f>$D$12</f>
        <v>BS_TRADING_ASSETS</v>
      </c>
      <c r="E218" t="str">
        <f>$E$12</f>
        <v>Dynamic</v>
      </c>
      <c r="F218">
        <f ca="1">_xll.BDH($B$12,$C$12,$B$206,$B$207,CONCATENATE("Per=",$B$204),"Dts=H","Dir=H",CONCATENATE("Points=",$B$205),"Sort=R","Days=A","Fill=B",CONCATENATE("FX=", $B$203),"cols=60;rows=1")</f>
        <v>108948</v>
      </c>
      <c r="G218">
        <v>127551</v>
      </c>
      <c r="H218">
        <v>123821</v>
      </c>
      <c r="I218">
        <v>144253</v>
      </c>
      <c r="J218">
        <v>141042</v>
      </c>
      <c r="K218">
        <v>134804</v>
      </c>
      <c r="L218">
        <v>141721</v>
      </c>
      <c r="M218">
        <v>119877</v>
      </c>
      <c r="N218">
        <v>110671</v>
      </c>
      <c r="O218">
        <v>119966</v>
      </c>
      <c r="P218">
        <v>120823</v>
      </c>
      <c r="Q218">
        <v>112131</v>
      </c>
      <c r="R218">
        <v>123493</v>
      </c>
      <c r="S218">
        <v>109078</v>
      </c>
      <c r="T218">
        <v>105523</v>
      </c>
      <c r="U218">
        <v>101050</v>
      </c>
      <c r="V218">
        <v>108257</v>
      </c>
      <c r="W218">
        <v>107468</v>
      </c>
      <c r="X218">
        <v>119332</v>
      </c>
      <c r="Y218">
        <v>125269</v>
      </c>
      <c r="Z218">
        <v>101736</v>
      </c>
      <c r="AA218">
        <v>110874</v>
      </c>
      <c r="AB218">
        <v>105369</v>
      </c>
      <c r="AC218">
        <v>92366</v>
      </c>
      <c r="AD218">
        <v>90117</v>
      </c>
      <c r="AE218">
        <v>90405</v>
      </c>
      <c r="AF218">
        <v>91018</v>
      </c>
      <c r="AG218">
        <v>94745</v>
      </c>
      <c r="AH218">
        <v>64695</v>
      </c>
      <c r="AI218">
        <v>65670</v>
      </c>
      <c r="AJ218">
        <v>68885</v>
      </c>
      <c r="AK218">
        <v>74898</v>
      </c>
      <c r="AL218">
        <v>11390</v>
      </c>
      <c r="AM218">
        <v>75569</v>
      </c>
      <c r="AN218">
        <v>84532</v>
      </c>
      <c r="AO218">
        <v>81706</v>
      </c>
      <c r="AP218">
        <v>11790</v>
      </c>
      <c r="AQ218">
        <v>83662</v>
      </c>
      <c r="AR218">
        <v>82693</v>
      </c>
      <c r="AS218">
        <v>94883</v>
      </c>
      <c r="AT218">
        <v>14436</v>
      </c>
      <c r="AU218">
        <v>88023</v>
      </c>
      <c r="AV218">
        <v>79589</v>
      </c>
      <c r="AW218">
        <v>76433</v>
      </c>
      <c r="AX218">
        <v>12590</v>
      </c>
      <c r="AY218">
        <v>71409</v>
      </c>
      <c r="AZ218">
        <v>72833</v>
      </c>
      <c r="BA218">
        <v>75750</v>
      </c>
      <c r="BB218">
        <v>8888</v>
      </c>
      <c r="BC218">
        <v>83449</v>
      </c>
      <c r="BD218">
        <v>78792</v>
      </c>
      <c r="BE218">
        <v>71208</v>
      </c>
      <c r="BF218">
        <v>9697</v>
      </c>
      <c r="BG218">
        <v>74859</v>
      </c>
      <c r="BH218">
        <v>63421</v>
      </c>
      <c r="BI218">
        <v>57801</v>
      </c>
      <c r="BJ218">
        <v>29618</v>
      </c>
      <c r="BK218">
        <v>69306</v>
      </c>
      <c r="BL218">
        <v>73330</v>
      </c>
      <c r="BM218">
        <v>67188</v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  <c r="BT218" t="str">
        <f>""</f>
        <v/>
      </c>
      <c r="BU218" t="str">
        <f>""</f>
        <v/>
      </c>
      <c r="BV218" t="str">
        <f>""</f>
        <v/>
      </c>
      <c r="BW218" t="str">
        <f>""</f>
        <v/>
      </c>
      <c r="BX218" t="str">
        <f>""</f>
        <v/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  <c r="CI218" t="str">
        <f>""</f>
        <v/>
      </c>
      <c r="CJ218" t="str">
        <f>""</f>
        <v/>
      </c>
      <c r="CK218" t="str">
        <f>""</f>
        <v/>
      </c>
      <c r="CL218" t="str">
        <f>""</f>
        <v/>
      </c>
      <c r="CM218" t="str">
        <f>""</f>
        <v/>
      </c>
      <c r="CN218" t="str">
        <f>""</f>
        <v/>
      </c>
      <c r="CO218" t="str">
        <f>""</f>
        <v/>
      </c>
      <c r="CP218" t="str">
        <f>""</f>
        <v/>
      </c>
      <c r="CQ218" t="str">
        <f>""</f>
        <v/>
      </c>
      <c r="CR218" t="str">
        <f>""</f>
        <v/>
      </c>
      <c r="CS218" t="str">
        <f>""</f>
        <v/>
      </c>
      <c r="CT218" t="str">
        <f>""</f>
        <v/>
      </c>
      <c r="CU218" t="str">
        <f>""</f>
        <v/>
      </c>
      <c r="CV218" t="str">
        <f>""</f>
        <v/>
      </c>
      <c r="CW218" t="str">
        <f>""</f>
        <v/>
      </c>
      <c r="CX218" t="str">
        <f>""</f>
        <v/>
      </c>
      <c r="CY218" t="str">
        <f>""</f>
        <v/>
      </c>
      <c r="CZ218" t="str">
        <f>""</f>
        <v/>
      </c>
      <c r="DA218" t="str">
        <f>""</f>
        <v/>
      </c>
      <c r="DB218" t="str">
        <f>""</f>
        <v/>
      </c>
      <c r="DC218" t="str">
        <f>""</f>
        <v/>
      </c>
      <c r="DD218" t="str">
        <f>""</f>
        <v/>
      </c>
      <c r="DE218" t="str">
        <f>""</f>
        <v/>
      </c>
      <c r="DF218" t="str">
        <f>""</f>
        <v/>
      </c>
      <c r="DG218" t="str">
        <f>""</f>
        <v/>
      </c>
      <c r="DH218" t="str">
        <f>""</f>
        <v/>
      </c>
      <c r="DI218" t="str">
        <f>""</f>
        <v/>
      </c>
      <c r="DJ218" t="str">
        <f>""</f>
        <v/>
      </c>
      <c r="DK218" t="str">
        <f>""</f>
        <v/>
      </c>
      <c r="DL218" t="str">
        <f>""</f>
        <v/>
      </c>
      <c r="DM218" t="str">
        <f>""</f>
        <v/>
      </c>
      <c r="DN218" t="str">
        <f>""</f>
        <v/>
      </c>
      <c r="DO218" t="str">
        <f>""</f>
        <v/>
      </c>
      <c r="DP218" t="str">
        <f>""</f>
        <v/>
      </c>
      <c r="DQ218" t="str">
        <f>""</f>
        <v/>
      </c>
      <c r="DR218" t="str">
        <f>""</f>
        <v/>
      </c>
      <c r="DS218" t="str">
        <f>""</f>
        <v/>
      </c>
      <c r="DT218" t="str">
        <f>""</f>
        <v/>
      </c>
      <c r="DU218" t="str">
        <f>""</f>
        <v/>
      </c>
    </row>
    <row r="219" spans="1:125" x14ac:dyDescent="0.25">
      <c r="A219" t="str">
        <f>$A$13</f>
        <v xml:space="preserve">    Bank of Ireland Group PLC</v>
      </c>
      <c r="B219" t="str">
        <f>$B$13</f>
        <v>BIRG ID Equity</v>
      </c>
      <c r="C219" t="str">
        <f>$C$13</f>
        <v>BM105</v>
      </c>
      <c r="D219" t="str">
        <f>$D$13</f>
        <v>BS_TRADING_ASSETS</v>
      </c>
      <c r="E219" t="str">
        <f>$E$13</f>
        <v>Dynamic</v>
      </c>
      <c r="F219" t="str">
        <f ca="1">_xll.BDH($B$13,$C$13,$B$206,$B$207,CONCATENATE("Per=",$B$204),"Dts=H","Dir=H",CONCATENATE("Points=",$B$205),"Sort=R","Days=A","Fill=B",CONCATENATE("FX=", $B$203) )</f>
        <v/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  <c r="BT219" t="str">
        <f>""</f>
        <v/>
      </c>
      <c r="BU219" t="str">
        <f>""</f>
        <v/>
      </c>
      <c r="BV219" t="str">
        <f>""</f>
        <v/>
      </c>
      <c r="BW219" t="str">
        <f>""</f>
        <v/>
      </c>
      <c r="BX219" t="str">
        <f>""</f>
        <v/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  <c r="CI219" t="str">
        <f>""</f>
        <v/>
      </c>
      <c r="CJ219" t="str">
        <f>""</f>
        <v/>
      </c>
      <c r="CK219" t="str">
        <f>""</f>
        <v/>
      </c>
      <c r="CL219" t="str">
        <f>""</f>
        <v/>
      </c>
      <c r="CM219" t="str">
        <f>""</f>
        <v/>
      </c>
      <c r="CN219" t="str">
        <f>""</f>
        <v/>
      </c>
      <c r="CO219" t="str">
        <f>""</f>
        <v/>
      </c>
      <c r="CP219" t="str">
        <f>""</f>
        <v/>
      </c>
      <c r="CQ219" t="str">
        <f>""</f>
        <v/>
      </c>
      <c r="CR219" t="str">
        <f>""</f>
        <v/>
      </c>
      <c r="CS219" t="str">
        <f>""</f>
        <v/>
      </c>
      <c r="CT219" t="str">
        <f>""</f>
        <v/>
      </c>
      <c r="CU219" t="str">
        <f>""</f>
        <v/>
      </c>
      <c r="CV219" t="str">
        <f>""</f>
        <v/>
      </c>
      <c r="CW219" t="str">
        <f>""</f>
        <v/>
      </c>
      <c r="CX219" t="str">
        <f>""</f>
        <v/>
      </c>
      <c r="CY219" t="str">
        <f>""</f>
        <v/>
      </c>
      <c r="CZ219" t="str">
        <f>""</f>
        <v/>
      </c>
      <c r="DA219" t="str">
        <f>""</f>
        <v/>
      </c>
      <c r="DB219" t="str">
        <f>""</f>
        <v/>
      </c>
      <c r="DC219" t="str">
        <f>""</f>
        <v/>
      </c>
      <c r="DD219" t="str">
        <f>""</f>
        <v/>
      </c>
      <c r="DE219" t="str">
        <f>""</f>
        <v/>
      </c>
      <c r="DF219" t="str">
        <f>""</f>
        <v/>
      </c>
      <c r="DG219" t="str">
        <f>""</f>
        <v/>
      </c>
      <c r="DH219" t="str">
        <f>""</f>
        <v/>
      </c>
      <c r="DI219" t="str">
        <f>""</f>
        <v/>
      </c>
      <c r="DJ219" t="str">
        <f>""</f>
        <v/>
      </c>
      <c r="DK219" t="str">
        <f>""</f>
        <v/>
      </c>
      <c r="DL219" t="str">
        <f>""</f>
        <v/>
      </c>
      <c r="DM219" t="str">
        <f>""</f>
        <v/>
      </c>
      <c r="DN219" t="str">
        <f>""</f>
        <v/>
      </c>
      <c r="DO219" t="str">
        <f>""</f>
        <v/>
      </c>
      <c r="DP219" t="str">
        <f>""</f>
        <v/>
      </c>
      <c r="DQ219" t="str">
        <f>""</f>
        <v/>
      </c>
      <c r="DR219" t="str">
        <f>""</f>
        <v/>
      </c>
      <c r="DS219" t="str">
        <f>""</f>
        <v/>
      </c>
      <c r="DT219" t="str">
        <f>""</f>
        <v/>
      </c>
      <c r="DU219" t="str">
        <f>""</f>
        <v/>
      </c>
    </row>
    <row r="220" spans="1:125" x14ac:dyDescent="0.25">
      <c r="A220" t="str">
        <f>$A$14</f>
        <v xml:space="preserve">    Bankinter SA</v>
      </c>
      <c r="B220" t="str">
        <f>$B$14</f>
        <v>BKT SM Equity</v>
      </c>
      <c r="C220" t="str">
        <f>$C$14</f>
        <v>BM105</v>
      </c>
      <c r="D220" t="str">
        <f>$D$14</f>
        <v>BS_TRADING_ASSETS</v>
      </c>
      <c r="E220" t="str">
        <f>$E$14</f>
        <v>Dynamic</v>
      </c>
      <c r="F220">
        <f ca="1">_xll.BDH($B$14,$C$14,$B$206,$B$207,CONCATENATE("Per=",$B$204),"Dts=H","Dir=H",CONCATENATE("Points=",$B$205),"Sort=R","Days=A","Fill=B",CONCATENATE("FX=", $B$203),"cols=60;rows=1")</f>
        <v>3372.0050000000001</v>
      </c>
      <c r="G220">
        <v>6729.2460000000001</v>
      </c>
      <c r="H220">
        <v>6096.5169999999998</v>
      </c>
      <c r="I220">
        <v>4680.4859999999999</v>
      </c>
      <c r="J220">
        <v>4505.2539999999999</v>
      </c>
      <c r="K220">
        <v>4114.6270000000004</v>
      </c>
      <c r="L220">
        <v>4005.2710000000002</v>
      </c>
      <c r="M220">
        <v>3916.0619999999999</v>
      </c>
      <c r="N220">
        <v>4055.77</v>
      </c>
      <c r="O220">
        <v>5589.7809999999999</v>
      </c>
      <c r="P220">
        <v>3922.5439999999999</v>
      </c>
      <c r="Q220">
        <v>4368.0169999999998</v>
      </c>
      <c r="R220">
        <v>4038.2559999999999</v>
      </c>
      <c r="S220">
        <v>3791.3580000000002</v>
      </c>
      <c r="T220">
        <v>4101.8940000000002</v>
      </c>
      <c r="U220">
        <v>4543.9279999999999</v>
      </c>
      <c r="V220">
        <v>2158.7420000000002</v>
      </c>
      <c r="W220">
        <v>3327.3620000000001</v>
      </c>
      <c r="X220">
        <v>3724.9740000000002</v>
      </c>
      <c r="Y220">
        <v>3876.9679999999998</v>
      </c>
      <c r="Z220">
        <v>3848.15</v>
      </c>
      <c r="AA220">
        <v>3706.22</v>
      </c>
      <c r="AB220">
        <v>5001.8739999999998</v>
      </c>
      <c r="AC220">
        <v>5954.5020000000004</v>
      </c>
      <c r="AD220">
        <v>5162.9080000000004</v>
      </c>
      <c r="AE220">
        <v>4342.3689999999997</v>
      </c>
      <c r="AF220">
        <v>4220.7929999999997</v>
      </c>
      <c r="AG220">
        <v>2705.6930000000002</v>
      </c>
      <c r="AH220">
        <v>2734.6990000000001</v>
      </c>
      <c r="AI220">
        <v>2751.4319999999998</v>
      </c>
      <c r="AJ220">
        <v>3063.0250000000001</v>
      </c>
      <c r="AK220">
        <v>4105.1350000000002</v>
      </c>
      <c r="AL220">
        <v>2676.7190000000001</v>
      </c>
      <c r="AM220">
        <v>3236.8710000000001</v>
      </c>
      <c r="AN220">
        <v>4218.893</v>
      </c>
      <c r="AO220">
        <v>5308.0929999999998</v>
      </c>
      <c r="AP220">
        <v>4473.6379999999999</v>
      </c>
      <c r="AQ220">
        <v>4430.0720000000001</v>
      </c>
      <c r="AR220">
        <v>2088.3240000000001</v>
      </c>
      <c r="AS220">
        <v>4446.1040000000003</v>
      </c>
      <c r="AT220">
        <v>2404.8159999999998</v>
      </c>
      <c r="AU220">
        <v>5291.3490000000002</v>
      </c>
      <c r="AV220">
        <v>3029.788</v>
      </c>
      <c r="AW220">
        <v>5235.7389999999996</v>
      </c>
      <c r="AX220">
        <v>1803.3330000000001</v>
      </c>
      <c r="AY220">
        <v>3677.1309999999999</v>
      </c>
      <c r="AZ220">
        <v>2589.4859999999999</v>
      </c>
      <c r="BA220">
        <v>2751.355</v>
      </c>
      <c r="BB220">
        <v>1452.7529999999999</v>
      </c>
      <c r="BC220">
        <v>1676.165</v>
      </c>
      <c r="BD220">
        <v>2082.2550000000001</v>
      </c>
      <c r="BE220">
        <v>2051.6309999999999</v>
      </c>
      <c r="BG220">
        <v>5030.665</v>
      </c>
      <c r="BH220">
        <v>3371.973</v>
      </c>
      <c r="BI220">
        <v>2419.3969999999999</v>
      </c>
      <c r="BJ220">
        <v>1875.8340000000001</v>
      </c>
      <c r="BK220">
        <v>1845.1179999999999</v>
      </c>
      <c r="BL220">
        <v>2250.6080000000002</v>
      </c>
      <c r="BM220">
        <v>3748.42</v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  <c r="BT220" t="str">
        <f>""</f>
        <v/>
      </c>
      <c r="BU220" t="str">
        <f>""</f>
        <v/>
      </c>
      <c r="BV220" t="str">
        <f>""</f>
        <v/>
      </c>
      <c r="BW220" t="str">
        <f>""</f>
        <v/>
      </c>
      <c r="BX220" t="str">
        <f>""</f>
        <v/>
      </c>
      <c r="BY220" t="str">
        <f>""</f>
        <v/>
      </c>
      <c r="BZ220" t="str">
        <f>""</f>
        <v/>
      </c>
      <c r="CA220" t="str">
        <f>""</f>
        <v/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""</f>
        <v/>
      </c>
      <c r="CG220" t="str">
        <f>""</f>
        <v/>
      </c>
      <c r="CH220" t="str">
        <f>""</f>
        <v/>
      </c>
      <c r="CI220" t="str">
        <f>""</f>
        <v/>
      </c>
      <c r="CJ220" t="str">
        <f>""</f>
        <v/>
      </c>
      <c r="CK220" t="str">
        <f>""</f>
        <v/>
      </c>
      <c r="CL220" t="str">
        <f>""</f>
        <v/>
      </c>
      <c r="CM220" t="str">
        <f>""</f>
        <v/>
      </c>
      <c r="CN220" t="str">
        <f>""</f>
        <v/>
      </c>
      <c r="CO220" t="str">
        <f>""</f>
        <v/>
      </c>
      <c r="CP220" t="str">
        <f>""</f>
        <v/>
      </c>
      <c r="CQ220" t="str">
        <f>""</f>
        <v/>
      </c>
      <c r="CR220" t="str">
        <f>""</f>
        <v/>
      </c>
      <c r="CS220" t="str">
        <f>""</f>
        <v/>
      </c>
      <c r="CT220" t="str">
        <f>""</f>
        <v/>
      </c>
      <c r="CU220" t="str">
        <f>""</f>
        <v/>
      </c>
      <c r="CV220" t="str">
        <f>""</f>
        <v/>
      </c>
      <c r="CW220" t="str">
        <f>""</f>
        <v/>
      </c>
      <c r="CX220" t="str">
        <f>""</f>
        <v/>
      </c>
      <c r="CY220" t="str">
        <f>""</f>
        <v/>
      </c>
      <c r="CZ220" t="str">
        <f>""</f>
        <v/>
      </c>
      <c r="DA220" t="str">
        <f>""</f>
        <v/>
      </c>
      <c r="DB220" t="str">
        <f>""</f>
        <v/>
      </c>
      <c r="DC220" t="str">
        <f>""</f>
        <v/>
      </c>
      <c r="DD220" t="str">
        <f>""</f>
        <v/>
      </c>
      <c r="DE220" t="str">
        <f>""</f>
        <v/>
      </c>
      <c r="DF220" t="str">
        <f>""</f>
        <v/>
      </c>
      <c r="DG220" t="str">
        <f>""</f>
        <v/>
      </c>
      <c r="DH220" t="str">
        <f>""</f>
        <v/>
      </c>
      <c r="DI220" t="str">
        <f>""</f>
        <v/>
      </c>
      <c r="DJ220" t="str">
        <f>""</f>
        <v/>
      </c>
      <c r="DK220" t="str">
        <f>""</f>
        <v/>
      </c>
      <c r="DL220" t="str">
        <f>""</f>
        <v/>
      </c>
      <c r="DM220" t="str">
        <f>""</f>
        <v/>
      </c>
      <c r="DN220" t="str">
        <f>""</f>
        <v/>
      </c>
      <c r="DO220" t="str">
        <f>""</f>
        <v/>
      </c>
      <c r="DP220" t="str">
        <f>""</f>
        <v/>
      </c>
      <c r="DQ220" t="str">
        <f>""</f>
        <v/>
      </c>
      <c r="DR220" t="str">
        <f>""</f>
        <v/>
      </c>
      <c r="DS220" t="str">
        <f>""</f>
        <v/>
      </c>
      <c r="DT220" t="str">
        <f>""</f>
        <v/>
      </c>
      <c r="DU220" t="str">
        <f>""</f>
        <v/>
      </c>
    </row>
    <row r="221" spans="1:125" x14ac:dyDescent="0.25">
      <c r="A221" t="str">
        <f>$A$15</f>
        <v xml:space="preserve">    CaixaBank SA</v>
      </c>
      <c r="B221" t="str">
        <f>$B$15</f>
        <v>CABK SM Equity</v>
      </c>
      <c r="C221" t="str">
        <f>$C$15</f>
        <v>BM105</v>
      </c>
      <c r="D221" t="str">
        <f>$D$15</f>
        <v>BS_TRADING_ASSETS</v>
      </c>
      <c r="E221" t="str">
        <f>$E$15</f>
        <v>Dynamic</v>
      </c>
      <c r="F221">
        <f ca="1">_xll.BDH($B$15,$C$15,$B$206,$B$207,CONCATENATE("Per=",$B$204),"Dts=H","Dir=H",CONCATENATE("Points=",$B$205),"Sort=R","Days=A","Fill=B",CONCATENATE("FX=", $B$203),"cols=60;rows=1")</f>
        <v>821</v>
      </c>
      <c r="G221">
        <v>6566</v>
      </c>
      <c r="H221">
        <v>7064</v>
      </c>
      <c r="I221">
        <v>6789</v>
      </c>
      <c r="J221">
        <v>649</v>
      </c>
      <c r="K221">
        <v>7772</v>
      </c>
      <c r="L221">
        <v>1119</v>
      </c>
      <c r="M221">
        <v>7647</v>
      </c>
      <c r="N221">
        <v>419</v>
      </c>
      <c r="O221">
        <v>9235</v>
      </c>
      <c r="P221">
        <v>986</v>
      </c>
      <c r="Q221">
        <v>9374</v>
      </c>
      <c r="R221">
        <v>606</v>
      </c>
      <c r="S221">
        <v>11852</v>
      </c>
      <c r="T221">
        <v>860</v>
      </c>
      <c r="U221">
        <v>12440</v>
      </c>
      <c r="V221">
        <v>1056</v>
      </c>
      <c r="W221">
        <v>8158</v>
      </c>
      <c r="X221">
        <v>7774</v>
      </c>
      <c r="Y221">
        <v>8778</v>
      </c>
      <c r="Z221">
        <v>1177</v>
      </c>
      <c r="AA221">
        <v>14392</v>
      </c>
      <c r="AB221">
        <v>1986.6679999999999</v>
      </c>
      <c r="AC221">
        <v>10434</v>
      </c>
      <c r="AD221">
        <v>1103</v>
      </c>
      <c r="AE221">
        <v>9068</v>
      </c>
      <c r="AF221">
        <v>10077.237999999999</v>
      </c>
      <c r="AG221">
        <v>10044</v>
      </c>
      <c r="AH221">
        <v>8834.02</v>
      </c>
      <c r="AI221">
        <v>11883</v>
      </c>
      <c r="AJ221">
        <v>11975.873</v>
      </c>
      <c r="AK221">
        <v>13311</v>
      </c>
      <c r="AL221">
        <v>6844.8609999999999</v>
      </c>
      <c r="AM221">
        <v>13418</v>
      </c>
      <c r="AN221">
        <v>15977</v>
      </c>
      <c r="AO221">
        <v>14769</v>
      </c>
      <c r="AP221">
        <v>7702.03</v>
      </c>
      <c r="AQ221">
        <v>15121</v>
      </c>
      <c r="AR221">
        <v>13829</v>
      </c>
      <c r="AS221">
        <v>14154</v>
      </c>
      <c r="AT221">
        <v>12257</v>
      </c>
      <c r="AU221">
        <v>9470</v>
      </c>
      <c r="AV221">
        <v>10147</v>
      </c>
      <c r="AW221">
        <v>8724</v>
      </c>
      <c r="AX221">
        <v>10002</v>
      </c>
      <c r="AY221">
        <v>8817</v>
      </c>
      <c r="AZ221">
        <v>9634</v>
      </c>
      <c r="BA221">
        <v>16705</v>
      </c>
      <c r="BB221">
        <v>15925</v>
      </c>
      <c r="BC221">
        <v>14937</v>
      </c>
      <c r="BD221">
        <v>14483</v>
      </c>
      <c r="BE221">
        <v>4356</v>
      </c>
      <c r="BF221">
        <v>4184</v>
      </c>
      <c r="BG221">
        <v>3742</v>
      </c>
      <c r="BJ221">
        <v>3118</v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  <c r="BT221" t="str">
        <f>""</f>
        <v/>
      </c>
      <c r="BU221" t="str">
        <f>""</f>
        <v/>
      </c>
      <c r="BV221" t="str">
        <f>""</f>
        <v/>
      </c>
      <c r="BW221" t="str">
        <f>""</f>
        <v/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1:125" x14ac:dyDescent="0.25">
      <c r="A222" t="str">
        <f>$A$16</f>
        <v xml:space="preserve">    Commerzbank AG</v>
      </c>
      <c r="B222" t="str">
        <f>$B$16</f>
        <v>CBK GR Equity</v>
      </c>
      <c r="C222" t="str">
        <f>$C$16</f>
        <v>BM105</v>
      </c>
      <c r="D222" t="str">
        <f>$D$16</f>
        <v>BS_TRADING_ASSETS</v>
      </c>
      <c r="E222" t="str">
        <f>$E$16</f>
        <v>Dynamic</v>
      </c>
      <c r="F222" t="str">
        <f ca="1">_xll.BDH($B$16,$C$16,$B$206,$B$207,CONCATENATE("Per=",$B$204),"Dts=H","Dir=H",CONCATENATE("Points=",$B$205),"Sort=R","Days=A","Fill=B",CONCATENATE("FX=", $B$203),"cols=60;rows=1")</f>
        <v/>
      </c>
      <c r="G222">
        <v>31702</v>
      </c>
      <c r="H222">
        <v>29931</v>
      </c>
      <c r="I222">
        <v>27389</v>
      </c>
      <c r="J222">
        <v>28334</v>
      </c>
      <c r="K222">
        <v>31631</v>
      </c>
      <c r="L222">
        <v>30750</v>
      </c>
      <c r="M222">
        <v>30049</v>
      </c>
      <c r="N222">
        <v>33573</v>
      </c>
      <c r="O222">
        <v>44903</v>
      </c>
      <c r="P222">
        <v>43677</v>
      </c>
      <c r="Q222">
        <v>40434</v>
      </c>
      <c r="R222">
        <v>38155</v>
      </c>
      <c r="S222">
        <v>48587</v>
      </c>
      <c r="T222">
        <v>49250</v>
      </c>
      <c r="U222">
        <v>50514</v>
      </c>
      <c r="V222">
        <v>52176</v>
      </c>
      <c r="W222">
        <v>52600</v>
      </c>
      <c r="X222">
        <v>55414</v>
      </c>
      <c r="Y222">
        <v>55688</v>
      </c>
      <c r="Z222">
        <v>44840</v>
      </c>
      <c r="AA222">
        <v>54660</v>
      </c>
      <c r="AB222">
        <v>47698</v>
      </c>
      <c r="AC222">
        <v>46705</v>
      </c>
      <c r="AD222">
        <v>42501</v>
      </c>
      <c r="AE222">
        <v>60191</v>
      </c>
      <c r="AF222">
        <v>60790</v>
      </c>
      <c r="AG222">
        <v>60125</v>
      </c>
      <c r="AH222">
        <v>60716</v>
      </c>
      <c r="AI222">
        <v>70011</v>
      </c>
      <c r="AJ222">
        <v>77505</v>
      </c>
      <c r="AK222">
        <v>84975</v>
      </c>
      <c r="AL222">
        <v>88862</v>
      </c>
      <c r="AM222">
        <v>104475</v>
      </c>
      <c r="AN222">
        <v>122464</v>
      </c>
      <c r="AO222">
        <v>118307</v>
      </c>
      <c r="AP222">
        <v>114824</v>
      </c>
      <c r="AQ222">
        <v>125980</v>
      </c>
      <c r="AR222">
        <v>129048</v>
      </c>
      <c r="AS222">
        <v>165559</v>
      </c>
      <c r="AT222">
        <v>130343</v>
      </c>
      <c r="AU222">
        <v>136593</v>
      </c>
      <c r="AV222">
        <v>121677</v>
      </c>
      <c r="AW222">
        <v>114491</v>
      </c>
      <c r="AX222">
        <v>103616</v>
      </c>
      <c r="AY222">
        <v>119472</v>
      </c>
      <c r="AZ222">
        <v>124540</v>
      </c>
      <c r="BA222">
        <v>144091</v>
      </c>
      <c r="BB222">
        <v>144144</v>
      </c>
      <c r="BC222">
        <v>149983</v>
      </c>
      <c r="BD222">
        <v>143255</v>
      </c>
      <c r="BE222">
        <v>153975</v>
      </c>
      <c r="BF222">
        <v>155700</v>
      </c>
      <c r="BG222">
        <v>181859</v>
      </c>
      <c r="BH222">
        <v>139579</v>
      </c>
      <c r="BJ222">
        <v>167825</v>
      </c>
      <c r="BK222">
        <v>255218</v>
      </c>
      <c r="BL222">
        <v>264023</v>
      </c>
      <c r="BM222">
        <v>184839</v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  <c r="BT222" t="str">
        <f>""</f>
        <v/>
      </c>
      <c r="BU222" t="str">
        <f>""</f>
        <v/>
      </c>
      <c r="BV222" t="str">
        <f>""</f>
        <v/>
      </c>
      <c r="BW222" t="str">
        <f>""</f>
        <v/>
      </c>
      <c r="BX222" t="str">
        <f>""</f>
        <v/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""</f>
        <v/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  <c r="CI222" t="str">
        <f>""</f>
        <v/>
      </c>
      <c r="CJ222" t="str">
        <f>""</f>
        <v/>
      </c>
      <c r="CK222" t="str">
        <f>""</f>
        <v/>
      </c>
      <c r="CL222" t="str">
        <f>""</f>
        <v/>
      </c>
      <c r="CM222" t="str">
        <f>""</f>
        <v/>
      </c>
      <c r="CN222" t="str">
        <f>""</f>
        <v/>
      </c>
      <c r="CO222" t="str">
        <f>""</f>
        <v/>
      </c>
      <c r="CP222" t="str">
        <f>""</f>
        <v/>
      </c>
      <c r="CQ222" t="str">
        <f>""</f>
        <v/>
      </c>
      <c r="CR222" t="str">
        <f>""</f>
        <v/>
      </c>
      <c r="CS222" t="str">
        <f>""</f>
        <v/>
      </c>
      <c r="CT222" t="str">
        <f>""</f>
        <v/>
      </c>
      <c r="CU222" t="str">
        <f>""</f>
        <v/>
      </c>
      <c r="CV222" t="str">
        <f>""</f>
        <v/>
      </c>
      <c r="CW222" t="str">
        <f>""</f>
        <v/>
      </c>
      <c r="CX222" t="str">
        <f>""</f>
        <v/>
      </c>
      <c r="CY222" t="str">
        <f>""</f>
        <v/>
      </c>
      <c r="CZ222" t="str">
        <f>""</f>
        <v/>
      </c>
      <c r="DA222" t="str">
        <f>""</f>
        <v/>
      </c>
      <c r="DB222" t="str">
        <f>""</f>
        <v/>
      </c>
      <c r="DC222" t="str">
        <f>""</f>
        <v/>
      </c>
      <c r="DD222" t="str">
        <f>""</f>
        <v/>
      </c>
      <c r="DE222" t="str">
        <f>""</f>
        <v/>
      </c>
      <c r="DF222" t="str">
        <f>""</f>
        <v/>
      </c>
      <c r="DG222" t="str">
        <f>""</f>
        <v/>
      </c>
      <c r="DH222" t="str">
        <f>""</f>
        <v/>
      </c>
      <c r="DI222" t="str">
        <f>""</f>
        <v/>
      </c>
      <c r="DJ222" t="str">
        <f>""</f>
        <v/>
      </c>
      <c r="DK222" t="str">
        <f>""</f>
        <v/>
      </c>
      <c r="DL222" t="str">
        <f>""</f>
        <v/>
      </c>
      <c r="DM222" t="str">
        <f>""</f>
        <v/>
      </c>
      <c r="DN222" t="str">
        <f>""</f>
        <v/>
      </c>
      <c r="DO222" t="str">
        <f>""</f>
        <v/>
      </c>
      <c r="DP222" t="str">
        <f>""</f>
        <v/>
      </c>
      <c r="DQ222" t="str">
        <f>""</f>
        <v/>
      </c>
      <c r="DR222" t="str">
        <f>""</f>
        <v/>
      </c>
      <c r="DS222" t="str">
        <f>""</f>
        <v/>
      </c>
      <c r="DT222" t="str">
        <f>""</f>
        <v/>
      </c>
      <c r="DU222" t="str">
        <f>""</f>
        <v/>
      </c>
    </row>
    <row r="223" spans="1:125" x14ac:dyDescent="0.25">
      <c r="A223" t="str">
        <f>$A$17</f>
        <v xml:space="preserve">    Credit Agricole SA</v>
      </c>
      <c r="B223" t="str">
        <f>$B$17</f>
        <v>ACA FP Equity</v>
      </c>
      <c r="C223" t="str">
        <f>$C$17</f>
        <v>BM105</v>
      </c>
      <c r="D223" t="str">
        <f>$D$17</f>
        <v>BS_TRADING_ASSETS</v>
      </c>
      <c r="E223" t="str">
        <f>$E$17</f>
        <v>Dynamic</v>
      </c>
      <c r="F223">
        <f ca="1">_xll.BDH($B$17,$C$17,$B$206,$B$207,CONCATENATE("Per=",$B$204),"Dts=H","Dir=H",CONCATENATE("Points=",$B$205),"Sort=R","Days=A","Fill=B",CONCATENATE("FX=", $B$203),"cols=60;rows=1")</f>
        <v>371156</v>
      </c>
      <c r="H223">
        <v>329837</v>
      </c>
      <c r="J223">
        <v>301925</v>
      </c>
      <c r="L223">
        <v>291764</v>
      </c>
      <c r="N223">
        <v>249249</v>
      </c>
      <c r="P223">
        <v>263596</v>
      </c>
      <c r="R223">
        <v>237341</v>
      </c>
      <c r="T223">
        <v>261235</v>
      </c>
      <c r="V223">
        <v>261968</v>
      </c>
      <c r="X223">
        <v>267004</v>
      </c>
      <c r="Z223">
        <v>230721</v>
      </c>
      <c r="AB223">
        <v>246898</v>
      </c>
      <c r="AD223">
        <v>225605</v>
      </c>
      <c r="AF223">
        <v>233279</v>
      </c>
      <c r="AH223">
        <v>321404</v>
      </c>
      <c r="AJ223">
        <v>334250</v>
      </c>
      <c r="AL223">
        <v>326279</v>
      </c>
      <c r="AN223">
        <v>378584</v>
      </c>
      <c r="AP223">
        <v>348320</v>
      </c>
      <c r="AR223">
        <v>279495</v>
      </c>
      <c r="AT223">
        <v>405572</v>
      </c>
      <c r="AV223">
        <v>258916</v>
      </c>
      <c r="AX223">
        <v>281371</v>
      </c>
      <c r="AZ223">
        <v>484435</v>
      </c>
      <c r="BB223">
        <v>330102</v>
      </c>
      <c r="BD223">
        <v>498422</v>
      </c>
      <c r="BF223">
        <v>447075</v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  <c r="CI223" t="str">
        <f>""</f>
        <v/>
      </c>
      <c r="CJ223" t="str">
        <f>""</f>
        <v/>
      </c>
      <c r="CK223" t="str">
        <f>""</f>
        <v/>
      </c>
      <c r="CL223" t="str">
        <f>""</f>
        <v/>
      </c>
      <c r="CM223" t="str">
        <f>""</f>
        <v/>
      </c>
      <c r="CN223" t="str">
        <f>""</f>
        <v/>
      </c>
      <c r="CO223" t="str">
        <f>""</f>
        <v/>
      </c>
      <c r="CP223" t="str">
        <f>""</f>
        <v/>
      </c>
      <c r="CQ223" t="str">
        <f>""</f>
        <v/>
      </c>
      <c r="CR223" t="str">
        <f>""</f>
        <v/>
      </c>
      <c r="CS223" t="str">
        <f>""</f>
        <v/>
      </c>
      <c r="CT223" t="str">
        <f>""</f>
        <v/>
      </c>
      <c r="CU223" t="str">
        <f>""</f>
        <v/>
      </c>
      <c r="CV223" t="str">
        <f>""</f>
        <v/>
      </c>
      <c r="CW223" t="str">
        <f>""</f>
        <v/>
      </c>
      <c r="CX223" t="str">
        <f>""</f>
        <v/>
      </c>
      <c r="CY223" t="str">
        <f>""</f>
        <v/>
      </c>
      <c r="CZ223" t="str">
        <f>""</f>
        <v/>
      </c>
      <c r="DA223" t="str">
        <f>""</f>
        <v/>
      </c>
      <c r="DB223" t="str">
        <f>""</f>
        <v/>
      </c>
      <c r="DC223" t="str">
        <f>""</f>
        <v/>
      </c>
      <c r="DD223" t="str">
        <f>""</f>
        <v/>
      </c>
      <c r="DE223" t="str">
        <f>""</f>
        <v/>
      </c>
      <c r="DF223" t="str">
        <f>""</f>
        <v/>
      </c>
      <c r="DG223" t="str">
        <f>""</f>
        <v/>
      </c>
      <c r="DH223" t="str">
        <f>""</f>
        <v/>
      </c>
      <c r="DI223" t="str">
        <f>""</f>
        <v/>
      </c>
      <c r="DJ223" t="str">
        <f>""</f>
        <v/>
      </c>
      <c r="DK223" t="str">
        <f>""</f>
        <v/>
      </c>
      <c r="DL223" t="str">
        <f>""</f>
        <v/>
      </c>
      <c r="DM223" t="str">
        <f>""</f>
        <v/>
      </c>
      <c r="DN223" t="str">
        <f>""</f>
        <v/>
      </c>
      <c r="DO223" t="str">
        <f>""</f>
        <v/>
      </c>
      <c r="DP223" t="str">
        <f>""</f>
        <v/>
      </c>
      <c r="DQ223" t="str">
        <f>""</f>
        <v/>
      </c>
      <c r="DR223" t="str">
        <f>""</f>
        <v/>
      </c>
      <c r="DS223" t="str">
        <f>""</f>
        <v/>
      </c>
      <c r="DT223" t="str">
        <f>""</f>
        <v/>
      </c>
      <c r="DU223" t="str">
        <f>""</f>
        <v/>
      </c>
    </row>
    <row r="224" spans="1:125" x14ac:dyDescent="0.25">
      <c r="A224" t="str">
        <f>$A$18</f>
        <v xml:space="preserve">    Deutsche Bank AG</v>
      </c>
      <c r="B224" t="str">
        <f>$B$18</f>
        <v>DBK GR Equity</v>
      </c>
      <c r="C224" t="str">
        <f>$C$18</f>
        <v>BM105</v>
      </c>
      <c r="D224" t="str">
        <f>$D$18</f>
        <v>BS_TRADING_ASSETS</v>
      </c>
      <c r="E224" t="str">
        <f>$E$18</f>
        <v>Dynamic</v>
      </c>
      <c r="F224">
        <f ca="1">_xll.BDH($B$18,$C$18,$B$206,$B$207,CONCATENATE("Per=",$B$204),"Dts=H","Dir=H",CONCATENATE("Points=",$B$205),"Sort=R","Days=A","Fill=B",CONCATENATE("FX=", $B$203),"cols=60;rows=1")</f>
        <v>139772</v>
      </c>
      <c r="G224">
        <v>153664</v>
      </c>
      <c r="H224">
        <v>134894</v>
      </c>
      <c r="I224">
        <v>136599</v>
      </c>
      <c r="K224">
        <v>112602</v>
      </c>
      <c r="L224">
        <v>108465</v>
      </c>
      <c r="M224">
        <v>110901</v>
      </c>
      <c r="N224">
        <v>92867</v>
      </c>
      <c r="O224">
        <v>108509</v>
      </c>
      <c r="P224">
        <v>103953</v>
      </c>
      <c r="Q224">
        <v>112493</v>
      </c>
      <c r="R224">
        <v>102396</v>
      </c>
      <c r="S224">
        <v>121016</v>
      </c>
      <c r="T224">
        <v>112120</v>
      </c>
      <c r="U224">
        <v>109830</v>
      </c>
      <c r="V224">
        <v>107929</v>
      </c>
      <c r="W224">
        <v>119587</v>
      </c>
      <c r="X224">
        <v>116959</v>
      </c>
      <c r="Y224">
        <v>116812</v>
      </c>
      <c r="Z224">
        <v>110875</v>
      </c>
      <c r="AA224">
        <v>138786</v>
      </c>
      <c r="AB224">
        <v>162608</v>
      </c>
      <c r="AC224">
        <v>164840</v>
      </c>
      <c r="AD224">
        <v>152738</v>
      </c>
      <c r="AE224">
        <v>156295</v>
      </c>
      <c r="AF224">
        <v>160646</v>
      </c>
      <c r="AG224">
        <v>173014</v>
      </c>
      <c r="AH224">
        <v>184661</v>
      </c>
      <c r="AI224">
        <v>186716</v>
      </c>
      <c r="AJ224">
        <v>188192</v>
      </c>
      <c r="AK224">
        <v>189926</v>
      </c>
      <c r="AL224">
        <v>171044</v>
      </c>
      <c r="AM224">
        <v>176456</v>
      </c>
      <c r="AN224">
        <v>178559</v>
      </c>
      <c r="AO224">
        <v>174947</v>
      </c>
      <c r="AP224">
        <v>196035</v>
      </c>
      <c r="AQ224">
        <v>196998</v>
      </c>
      <c r="AR224">
        <v>206382</v>
      </c>
      <c r="AS224">
        <v>212185</v>
      </c>
      <c r="AT224">
        <v>195681</v>
      </c>
      <c r="AU224">
        <v>196360</v>
      </c>
      <c r="AV224">
        <v>210991</v>
      </c>
      <c r="AW224">
        <v>199842</v>
      </c>
      <c r="AX224">
        <v>210070</v>
      </c>
      <c r="AY224">
        <v>219247</v>
      </c>
      <c r="AZ224">
        <v>237051</v>
      </c>
      <c r="BA224">
        <v>251014</v>
      </c>
      <c r="BB224">
        <v>254459</v>
      </c>
      <c r="BC224">
        <v>256278</v>
      </c>
      <c r="BD224">
        <v>247848</v>
      </c>
      <c r="BE224">
        <v>258504</v>
      </c>
      <c r="BF224">
        <v>240924</v>
      </c>
      <c r="BG224">
        <v>267219</v>
      </c>
      <c r="BH224">
        <v>289623</v>
      </c>
      <c r="BI224">
        <v>460564</v>
      </c>
      <c r="BJ224">
        <v>443217</v>
      </c>
      <c r="BK224">
        <v>274560</v>
      </c>
      <c r="BL224">
        <v>272874</v>
      </c>
      <c r="BM224">
        <v>262886</v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  <c r="CI224" t="str">
        <f>""</f>
        <v/>
      </c>
      <c r="CJ224" t="str">
        <f>""</f>
        <v/>
      </c>
      <c r="CK224" t="str">
        <f>""</f>
        <v/>
      </c>
      <c r="CL224" t="str">
        <f>""</f>
        <v/>
      </c>
      <c r="CM224" t="str">
        <f>""</f>
        <v/>
      </c>
      <c r="CN224" t="str">
        <f>""</f>
        <v/>
      </c>
      <c r="CO224" t="str">
        <f>""</f>
        <v/>
      </c>
      <c r="CP224" t="str">
        <f>""</f>
        <v/>
      </c>
      <c r="CQ224" t="str">
        <f>""</f>
        <v/>
      </c>
      <c r="CR224" t="str">
        <f>""</f>
        <v/>
      </c>
      <c r="CS224" t="str">
        <f>""</f>
        <v/>
      </c>
      <c r="CT224" t="str">
        <f>""</f>
        <v/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 x14ac:dyDescent="0.25">
      <c r="A225" t="str">
        <f>$A$19</f>
        <v xml:space="preserve">    DNB Bank ASA</v>
      </c>
      <c r="B225" t="str">
        <f>$B$19</f>
        <v>DNB NO Equity</v>
      </c>
      <c r="C225" t="str">
        <f>$C$19</f>
        <v>BM105</v>
      </c>
      <c r="D225" t="str">
        <f>$D$19</f>
        <v>BS_TRADING_ASSETS</v>
      </c>
      <c r="E225" t="str">
        <f>$E$19</f>
        <v>Dynamic</v>
      </c>
      <c r="F225" t="str">
        <f ca="1">_xll.BDH($B$19,$C$19,$B$206,$B$207,CONCATENATE("Per=",$B$204),"Dts=H","Dir=H",CONCATENATE("Points=",$B$205),"Sort=R","Days=A","Fill=B",CONCATENATE("FX=", $B$203) )</f>
        <v/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  <c r="CH225" t="str">
        <f>""</f>
        <v/>
      </c>
      <c r="CI225" t="str">
        <f>""</f>
        <v/>
      </c>
      <c r="CJ225" t="str">
        <f>""</f>
        <v/>
      </c>
      <c r="CK225" t="str">
        <f>""</f>
        <v/>
      </c>
      <c r="CL225" t="str">
        <f>""</f>
        <v/>
      </c>
      <c r="CM225" t="str">
        <f>""</f>
        <v/>
      </c>
      <c r="CN225" t="str">
        <f>""</f>
        <v/>
      </c>
      <c r="CO225" t="str">
        <f>""</f>
        <v/>
      </c>
      <c r="CP225" t="str">
        <f>""</f>
        <v/>
      </c>
      <c r="CQ225" t="str">
        <f>""</f>
        <v/>
      </c>
      <c r="CR225" t="str">
        <f>""</f>
        <v/>
      </c>
      <c r="CS225" t="str">
        <f>""</f>
        <v/>
      </c>
      <c r="CT225" t="str">
        <f>""</f>
        <v/>
      </c>
      <c r="CU225" t="str">
        <f>""</f>
        <v/>
      </c>
      <c r="CV225" t="str">
        <f>""</f>
        <v/>
      </c>
      <c r="CW225" t="str">
        <f>""</f>
        <v/>
      </c>
      <c r="CX225" t="str">
        <f>""</f>
        <v/>
      </c>
      <c r="CY225" t="str">
        <f>""</f>
        <v/>
      </c>
      <c r="CZ225" t="str">
        <f>""</f>
        <v/>
      </c>
      <c r="DA225" t="str">
        <f>""</f>
        <v/>
      </c>
      <c r="DB225" t="str">
        <f>""</f>
        <v/>
      </c>
      <c r="DC225" t="str">
        <f>""</f>
        <v/>
      </c>
      <c r="DD225" t="str">
        <f>""</f>
        <v/>
      </c>
      <c r="DE225" t="str">
        <f>""</f>
        <v/>
      </c>
      <c r="DF225" t="str">
        <f>""</f>
        <v/>
      </c>
      <c r="DG225" t="str">
        <f>""</f>
        <v/>
      </c>
      <c r="DH225" t="str">
        <f>""</f>
        <v/>
      </c>
      <c r="DI225" t="str">
        <f>""</f>
        <v/>
      </c>
      <c r="DJ225" t="str">
        <f>""</f>
        <v/>
      </c>
      <c r="DK225" t="str">
        <f>""</f>
        <v/>
      </c>
      <c r="DL225" t="str">
        <f>""</f>
        <v/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 x14ac:dyDescent="0.25">
      <c r="A226" t="str">
        <f>$A$20</f>
        <v xml:space="preserve">    Danske Bank A/S</v>
      </c>
      <c r="B226" t="str">
        <f>$B$20</f>
        <v>DANSKE DC Equity</v>
      </c>
      <c r="C226" t="str">
        <f>$C$20</f>
        <v>BM105</v>
      </c>
      <c r="D226" t="str">
        <f>$D$20</f>
        <v>BS_TRADING_ASSETS</v>
      </c>
      <c r="E226" t="str">
        <f>$E$20</f>
        <v>Dynamic</v>
      </c>
      <c r="F226">
        <f ca="1">_xll.BDH($B$20,$C$20,$B$206,$B$207,CONCATENATE("Per=",$B$204),"Dts=H","Dir=H",CONCATENATE("Points=",$B$205),"Sort=R","Days=A","Fill=B",CONCATENATE("FX=", $B$203),"cols=60;rows=1")</f>
        <v>71314.047099999996</v>
      </c>
      <c r="G226">
        <v>68997.153200000001</v>
      </c>
      <c r="H226">
        <v>66700.062300000005</v>
      </c>
      <c r="I226">
        <v>65304.924299999999</v>
      </c>
      <c r="J226">
        <v>67552.717099999994</v>
      </c>
      <c r="K226">
        <v>80842.320099999997</v>
      </c>
      <c r="L226">
        <v>75118.465899999996</v>
      </c>
      <c r="M226">
        <v>76469.402700000006</v>
      </c>
      <c r="N226">
        <v>85903.738400000002</v>
      </c>
      <c r="O226">
        <v>105514.6893</v>
      </c>
      <c r="P226">
        <v>88910.15</v>
      </c>
      <c r="Q226">
        <v>82891.266300000003</v>
      </c>
      <c r="R226">
        <v>68529.157399999996</v>
      </c>
      <c r="S226">
        <v>81791.318299999999</v>
      </c>
      <c r="T226">
        <v>82368.663799999995</v>
      </c>
      <c r="U226">
        <v>87732.6734</v>
      </c>
      <c r="V226">
        <v>91797.039799999999</v>
      </c>
      <c r="W226">
        <v>90587.851699999999</v>
      </c>
      <c r="X226">
        <v>87973.094400000002</v>
      </c>
      <c r="Y226">
        <v>94663.157999999996</v>
      </c>
      <c r="Z226">
        <v>66310.009999999995</v>
      </c>
      <c r="AA226">
        <v>81982.352599999998</v>
      </c>
      <c r="AB226">
        <v>71555.662200000006</v>
      </c>
      <c r="AC226">
        <v>62751.144399999997</v>
      </c>
      <c r="AD226">
        <v>55685.951999999997</v>
      </c>
      <c r="AE226">
        <v>59506.409699999997</v>
      </c>
      <c r="AF226">
        <v>70259.3802</v>
      </c>
      <c r="AG226">
        <v>62633.370499999997</v>
      </c>
      <c r="AH226">
        <v>60354.129000000001</v>
      </c>
      <c r="AI226">
        <v>62838.262900000002</v>
      </c>
      <c r="AJ226">
        <v>65826.227199999994</v>
      </c>
      <c r="AK226">
        <v>62356.6538</v>
      </c>
      <c r="AL226">
        <v>68549.346399999995</v>
      </c>
      <c r="AM226">
        <v>74253.369000000006</v>
      </c>
      <c r="AN226">
        <v>77623.941600000006</v>
      </c>
      <c r="AO226">
        <v>75997.491200000004</v>
      </c>
      <c r="AP226">
        <v>73308.039000000004</v>
      </c>
      <c r="AQ226">
        <v>75004.022599999997</v>
      </c>
      <c r="AR226">
        <v>79989.3655</v>
      </c>
      <c r="AS226">
        <v>107093.857</v>
      </c>
      <c r="AT226">
        <v>44730.557500000003</v>
      </c>
      <c r="AU226">
        <v>100901.35739999999</v>
      </c>
      <c r="AV226">
        <v>93421.886700000003</v>
      </c>
      <c r="AW226">
        <v>94687.766499999998</v>
      </c>
      <c r="AX226">
        <v>59816.224399999999</v>
      </c>
      <c r="AY226">
        <v>94865.278399999996</v>
      </c>
      <c r="AZ226">
        <v>96722.810100000002</v>
      </c>
      <c r="BA226">
        <v>111585.0695</v>
      </c>
      <c r="BB226">
        <v>54146.202899999997</v>
      </c>
      <c r="BC226">
        <v>124061.66220000001</v>
      </c>
      <c r="BD226">
        <v>116072.3046</v>
      </c>
      <c r="BE226">
        <v>116804.4215</v>
      </c>
      <c r="BF226">
        <v>122388.4948</v>
      </c>
      <c r="BG226">
        <v>122493.94869999999</v>
      </c>
      <c r="BH226">
        <v>86479.704199999993</v>
      </c>
      <c r="BI226">
        <v>84607.234599999996</v>
      </c>
      <c r="BK226">
        <v>108715.8257</v>
      </c>
      <c r="BL226">
        <v>104170.7743</v>
      </c>
      <c r="BM226">
        <v>89418.470799999996</v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  <c r="CI226" t="str">
        <f>""</f>
        <v/>
      </c>
      <c r="CJ226" t="str">
        <f>""</f>
        <v/>
      </c>
      <c r="CK226" t="str">
        <f>""</f>
        <v/>
      </c>
      <c r="CL226" t="str">
        <f>""</f>
        <v/>
      </c>
      <c r="CM226" t="str">
        <f>""</f>
        <v/>
      </c>
      <c r="CN226" t="str">
        <f>""</f>
        <v/>
      </c>
      <c r="CO226" t="str">
        <f>""</f>
        <v/>
      </c>
      <c r="CP226" t="str">
        <f>""</f>
        <v/>
      </c>
      <c r="CQ226" t="str">
        <f>""</f>
        <v/>
      </c>
      <c r="CR226" t="str">
        <f>""</f>
        <v/>
      </c>
      <c r="CS226" t="str">
        <f>""</f>
        <v/>
      </c>
      <c r="CT226" t="str">
        <f>""</f>
        <v/>
      </c>
      <c r="CU226" t="str">
        <f>""</f>
        <v/>
      </c>
      <c r="CV226" t="str">
        <f>""</f>
        <v/>
      </c>
      <c r="CW226" t="str">
        <f>""</f>
        <v/>
      </c>
      <c r="CX226" t="str">
        <f>""</f>
        <v/>
      </c>
      <c r="CY226" t="str">
        <f>""</f>
        <v/>
      </c>
      <c r="CZ226" t="str">
        <f>""</f>
        <v/>
      </c>
      <c r="DA226" t="str">
        <f>""</f>
        <v/>
      </c>
      <c r="DB226" t="str">
        <f>""</f>
        <v/>
      </c>
      <c r="DC226" t="str">
        <f>""</f>
        <v/>
      </c>
      <c r="DD226" t="str">
        <f>""</f>
        <v/>
      </c>
      <c r="DE226" t="str">
        <f>""</f>
        <v/>
      </c>
      <c r="DF226" t="str">
        <f>""</f>
        <v/>
      </c>
      <c r="DG226" t="str">
        <f>""</f>
        <v/>
      </c>
      <c r="DH226" t="str">
        <f>""</f>
        <v/>
      </c>
      <c r="DI226" t="str">
        <f>""</f>
        <v/>
      </c>
      <c r="DJ226" t="str">
        <f>""</f>
        <v/>
      </c>
      <c r="DK226" t="str">
        <f>""</f>
        <v/>
      </c>
      <c r="DL226" t="str">
        <f>""</f>
        <v/>
      </c>
      <c r="DM226" t="str">
        <f>""</f>
        <v/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 x14ac:dyDescent="0.25">
      <c r="A227" t="str">
        <f>$A$21</f>
        <v xml:space="preserve">    Erste Group Bank AG</v>
      </c>
      <c r="B227" t="str">
        <f>$B$21</f>
        <v>EBS AV Equity</v>
      </c>
      <c r="C227" t="str">
        <f>$C$21</f>
        <v>BM105</v>
      </c>
      <c r="D227" t="str">
        <f>$D$21</f>
        <v>BS_TRADING_ASSETS</v>
      </c>
      <c r="E227" t="str">
        <f>$E$21</f>
        <v>Dynamic</v>
      </c>
      <c r="F227" t="str">
        <f ca="1">_xll.BDH($B$21,$C$21,$B$206,$B$207,CONCATENATE("Per=",$B$204),"Dts=H","Dir=H",CONCATENATE("Points=",$B$205),"Sort=R","Days=A","Fill=B",CONCATENATE("FX=", $B$203),"cols=60;rows=1")</f>
        <v/>
      </c>
      <c r="N227">
        <v>3002.6</v>
      </c>
      <c r="P227">
        <v>4176</v>
      </c>
      <c r="Q227">
        <v>4649.9750000000004</v>
      </c>
      <c r="V227">
        <v>3401.7</v>
      </c>
      <c r="W227">
        <v>3394.4479999999999</v>
      </c>
      <c r="X227">
        <v>3750.8960000000002</v>
      </c>
      <c r="Y227">
        <v>3671.9369999999999</v>
      </c>
      <c r="Z227">
        <v>2954.1550000000002</v>
      </c>
      <c r="AA227">
        <v>3663.74</v>
      </c>
      <c r="AB227">
        <v>3363.37</v>
      </c>
      <c r="AD227">
        <v>2547.047</v>
      </c>
      <c r="AH227">
        <v>3016.047</v>
      </c>
      <c r="AI227">
        <v>3210.59</v>
      </c>
      <c r="AJ227">
        <v>3215.84</v>
      </c>
      <c r="AK227">
        <v>3725.8209999999999</v>
      </c>
      <c r="AL227">
        <v>3475.6179999999999</v>
      </c>
      <c r="AM227">
        <v>4433.2759999999998</v>
      </c>
      <c r="AN227">
        <v>4763.1620000000003</v>
      </c>
      <c r="AO227">
        <v>4291.7659999999996</v>
      </c>
      <c r="AP227">
        <v>3416.2429999999999</v>
      </c>
      <c r="AQ227">
        <v>3171.915</v>
      </c>
      <c r="AR227">
        <v>3408.6610000000001</v>
      </c>
      <c r="AS227">
        <v>3737.7710000000002</v>
      </c>
      <c r="AT227">
        <v>3357.498</v>
      </c>
      <c r="AU227">
        <v>4029.748</v>
      </c>
      <c r="AV227">
        <v>6473.7830000000004</v>
      </c>
      <c r="AW227">
        <v>7128.0150000000003</v>
      </c>
      <c r="AX227">
        <v>5940.808</v>
      </c>
      <c r="AY227">
        <v>7289.0129999999999</v>
      </c>
      <c r="AZ227">
        <v>7751.3890000000001</v>
      </c>
      <c r="BA227">
        <v>6512</v>
      </c>
      <c r="BB227">
        <v>5177.9840000000004</v>
      </c>
      <c r="BC227">
        <v>5186</v>
      </c>
      <c r="BD227">
        <v>5953</v>
      </c>
      <c r="BE227">
        <v>8116</v>
      </c>
      <c r="BF227">
        <v>5875.8379999999997</v>
      </c>
      <c r="BG227">
        <v>7350</v>
      </c>
      <c r="BH227">
        <v>8357</v>
      </c>
      <c r="BI227">
        <v>7777</v>
      </c>
      <c r="BJ227">
        <v>5535.5429999999997</v>
      </c>
      <c r="BK227">
        <v>9731</v>
      </c>
      <c r="BL227">
        <v>8408</v>
      </c>
      <c r="BM227">
        <v>9268</v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  <c r="BT227" t="str">
        <f>""</f>
        <v/>
      </c>
      <c r="BU227" t="str">
        <f>""</f>
        <v/>
      </c>
      <c r="BV227" t="str">
        <f>""</f>
        <v/>
      </c>
      <c r="BW227" t="str">
        <f>""</f>
        <v/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  <c r="CI227" t="str">
        <f>""</f>
        <v/>
      </c>
      <c r="CJ227" t="str">
        <f>""</f>
        <v/>
      </c>
      <c r="CK227" t="str">
        <f>""</f>
        <v/>
      </c>
      <c r="CL227" t="str">
        <f>""</f>
        <v/>
      </c>
      <c r="CM227" t="str">
        <f>""</f>
        <v/>
      </c>
      <c r="CN227" t="str">
        <f>""</f>
        <v/>
      </c>
      <c r="CO227" t="str">
        <f>""</f>
        <v/>
      </c>
      <c r="CP227" t="str">
        <f>""</f>
        <v/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 x14ac:dyDescent="0.25">
      <c r="A228" t="str">
        <f>$A$22</f>
        <v xml:space="preserve">    FinecoBank Banca Fineco SpA</v>
      </c>
      <c r="B228" t="str">
        <f>$B$22</f>
        <v>FBK IM Equity</v>
      </c>
      <c r="C228" t="str">
        <f>$C$22</f>
        <v>BM105</v>
      </c>
      <c r="D228" t="str">
        <f>$D$22</f>
        <v>BS_TRADING_ASSETS</v>
      </c>
      <c r="E228" t="str">
        <f>$E$22</f>
        <v>Dynamic</v>
      </c>
      <c r="F228">
        <f ca="1">_xll.BDH($B$22,$C$22,$B$206,$B$207,CONCATENATE("Per=",$B$204),"Dts=H","Dir=H",CONCATENATE("Points=",$B$205),"Sort=R","Days=A","Fill=B",CONCATENATE("FX=", $B$203),"cols=60;rows=1")</f>
        <v>28.539000000000001</v>
      </c>
      <c r="G228">
        <v>21.364999999999998</v>
      </c>
      <c r="H228">
        <v>21.213999999999999</v>
      </c>
      <c r="I228">
        <v>19.456</v>
      </c>
      <c r="J228">
        <v>14.109</v>
      </c>
      <c r="K228">
        <v>21.353999999999999</v>
      </c>
      <c r="L228">
        <v>16.867999999999999</v>
      </c>
      <c r="M228">
        <v>15.73</v>
      </c>
      <c r="N228">
        <v>16.925999999999998</v>
      </c>
      <c r="O228">
        <v>22.285</v>
      </c>
      <c r="P228">
        <v>20.02</v>
      </c>
      <c r="Q228">
        <v>20.123000000000001</v>
      </c>
      <c r="R228">
        <v>20.239999999999998</v>
      </c>
      <c r="S228">
        <v>23.588999999999999</v>
      </c>
      <c r="T228">
        <v>21.393000000000001</v>
      </c>
      <c r="U228">
        <v>26.233000000000001</v>
      </c>
      <c r="V228">
        <v>16.997</v>
      </c>
      <c r="W228">
        <v>13.146000000000001</v>
      </c>
      <c r="X228">
        <v>14.590999999999999</v>
      </c>
      <c r="Y228">
        <v>12.888</v>
      </c>
      <c r="Z228">
        <v>7.9329999999999998</v>
      </c>
      <c r="AA228">
        <v>10.592000000000001</v>
      </c>
      <c r="AB228">
        <v>7.4749999999999996</v>
      </c>
      <c r="AC228">
        <v>9.2859999999999996</v>
      </c>
      <c r="AD228">
        <v>6.8760000000000003</v>
      </c>
      <c r="AE228">
        <v>12.253</v>
      </c>
      <c r="AF228">
        <v>10.871</v>
      </c>
      <c r="AG228">
        <v>10.368</v>
      </c>
      <c r="AH228">
        <v>10.8788</v>
      </c>
      <c r="AI228">
        <v>10.538</v>
      </c>
      <c r="AJ228">
        <v>9.7912999999999997</v>
      </c>
      <c r="AK228">
        <v>5.7080000000000002</v>
      </c>
      <c r="AL228">
        <v>6.0444000000000004</v>
      </c>
      <c r="AM228">
        <v>5.5469999999999997</v>
      </c>
      <c r="AN228">
        <v>6.8792999999999997</v>
      </c>
      <c r="AO228">
        <v>6.9960000000000004</v>
      </c>
      <c r="AP228">
        <v>3.9832000000000001</v>
      </c>
      <c r="AQ228">
        <v>8.6129999999999995</v>
      </c>
      <c r="AR228">
        <v>5.4630999999999998</v>
      </c>
      <c r="AS228">
        <v>5.609</v>
      </c>
      <c r="AT228">
        <v>3.0537000000000001</v>
      </c>
      <c r="AU228">
        <v>4.7076000000000002</v>
      </c>
      <c r="AV228">
        <v>10.406700000000001</v>
      </c>
      <c r="AW228">
        <v>8.4050999999999991</v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  <c r="CI228" t="str">
        <f>""</f>
        <v/>
      </c>
      <c r="CJ228" t="str">
        <f>""</f>
        <v/>
      </c>
      <c r="CK228" t="str">
        <f>""</f>
        <v/>
      </c>
      <c r="CL228" t="str">
        <f>""</f>
        <v/>
      </c>
      <c r="CM228" t="str">
        <f>""</f>
        <v/>
      </c>
      <c r="CN228" t="str">
        <f>""</f>
        <v/>
      </c>
      <c r="CO228" t="str">
        <f>""</f>
        <v/>
      </c>
      <c r="CP228" t="str">
        <f>""</f>
        <v/>
      </c>
      <c r="CQ228" t="str">
        <f>""</f>
        <v/>
      </c>
      <c r="CR228" t="str">
        <f>""</f>
        <v/>
      </c>
      <c r="CS228" t="str">
        <f>""</f>
        <v/>
      </c>
      <c r="CT228" t="str">
        <f>""</f>
        <v/>
      </c>
      <c r="CU228" t="str">
        <f>""</f>
        <v/>
      </c>
      <c r="CV228" t="str">
        <f>""</f>
        <v/>
      </c>
      <c r="CW228" t="str">
        <f>""</f>
        <v/>
      </c>
      <c r="CX228" t="str">
        <f>""</f>
        <v/>
      </c>
      <c r="CY228" t="str">
        <f>""</f>
        <v/>
      </c>
      <c r="CZ228" t="str">
        <f>""</f>
        <v/>
      </c>
      <c r="DA228" t="str">
        <f>""</f>
        <v/>
      </c>
      <c r="DB228" t="str">
        <f>""</f>
        <v/>
      </c>
      <c r="DC228" t="str">
        <f>""</f>
        <v/>
      </c>
      <c r="DD228" t="str">
        <f>""</f>
        <v/>
      </c>
      <c r="DE228" t="str">
        <f>""</f>
        <v/>
      </c>
      <c r="DF228" t="str">
        <f>""</f>
        <v/>
      </c>
      <c r="DG228" t="str">
        <f>""</f>
        <v/>
      </c>
      <c r="DH228" t="str">
        <f>""</f>
        <v/>
      </c>
      <c r="DI228" t="str">
        <f>""</f>
        <v/>
      </c>
      <c r="DJ228" t="str">
        <f>""</f>
        <v/>
      </c>
      <c r="DK228" t="str">
        <f>""</f>
        <v/>
      </c>
      <c r="DL228" t="str">
        <f>""</f>
        <v/>
      </c>
      <c r="DM228" t="str">
        <f>""</f>
        <v/>
      </c>
      <c r="DN228" t="str">
        <f>""</f>
        <v/>
      </c>
      <c r="DO228" t="str">
        <f>""</f>
        <v/>
      </c>
      <c r="DP228" t="str">
        <f>""</f>
        <v/>
      </c>
      <c r="DQ228" t="str">
        <f>""</f>
        <v/>
      </c>
      <c r="DR228" t="str">
        <f>""</f>
        <v/>
      </c>
      <c r="DS228" t="str">
        <f>""</f>
        <v/>
      </c>
      <c r="DT228" t="str">
        <f>""</f>
        <v/>
      </c>
      <c r="DU228" t="str">
        <f>""</f>
        <v/>
      </c>
    </row>
    <row r="229" spans="1:125" x14ac:dyDescent="0.25">
      <c r="A229" t="str">
        <f>$A$23</f>
        <v xml:space="preserve">    HSBC Holdings PLC</v>
      </c>
      <c r="B229" t="str">
        <f>$B$23</f>
        <v>HSBA LN Equity</v>
      </c>
      <c r="C229" t="str">
        <f>$C$23</f>
        <v>BM105</v>
      </c>
      <c r="D229" t="str">
        <f>$D$23</f>
        <v>BS_TRADING_ASSETS</v>
      </c>
      <c r="E229" t="str">
        <f>$E$23</f>
        <v>Dynamic</v>
      </c>
      <c r="F229">
        <f ca="1">_xll.BDH($B$23,$C$23,$B$206,$B$207,CONCATENATE("Per=",$B$204),"Dts=H","Dir=H",CONCATENATE("Points=",$B$205),"Sort=R","Days=A","Fill=B",CONCATENATE("FX=", $B$203),"cols=60;rows=1")</f>
        <v>304224.56280000001</v>
      </c>
      <c r="G229">
        <v>313871.5465</v>
      </c>
      <c r="H229">
        <v>309170.39939999999</v>
      </c>
      <c r="I229">
        <v>297832.5306</v>
      </c>
      <c r="J229">
        <v>261351.2292</v>
      </c>
      <c r="K229">
        <v>235572.88709999999</v>
      </c>
      <c r="L229">
        <v>233913.7205</v>
      </c>
      <c r="M229">
        <v>210165.60860000001</v>
      </c>
      <c r="N229">
        <v>203615.90890000001</v>
      </c>
      <c r="O229">
        <v>206260.4699</v>
      </c>
      <c r="P229">
        <v>207335.6863</v>
      </c>
      <c r="Q229">
        <v>206469.95129999999</v>
      </c>
      <c r="R229">
        <v>218550.85190000001</v>
      </c>
      <c r="S229">
        <v>221565.98389999999</v>
      </c>
      <c r="T229">
        <v>219638.78810000001</v>
      </c>
      <c r="U229">
        <v>211941.27660000001</v>
      </c>
      <c r="V229">
        <v>189766.87119999999</v>
      </c>
      <c r="W229">
        <v>189690.3259</v>
      </c>
      <c r="X229">
        <v>185861.42490000001</v>
      </c>
      <c r="Y229">
        <v>196549.0839</v>
      </c>
      <c r="Z229">
        <v>226441.3572</v>
      </c>
      <c r="AA229">
        <v>223704.48499999999</v>
      </c>
      <c r="AB229">
        <v>238950.61180000001</v>
      </c>
      <c r="AC229">
        <v>235642.09959999999</v>
      </c>
      <c r="AD229">
        <v>207937.47820000001</v>
      </c>
      <c r="AE229">
        <v>219118.30549999999</v>
      </c>
      <c r="AF229">
        <v>212290.82810000001</v>
      </c>
      <c r="AG229">
        <v>225462.5336</v>
      </c>
      <c r="AH229">
        <v>239556.64610000001</v>
      </c>
      <c r="AI229">
        <v>283218.67320000002</v>
      </c>
      <c r="AJ229">
        <v>280414.43969999999</v>
      </c>
      <c r="AK229">
        <v>275393.10090000002</v>
      </c>
      <c r="AL229">
        <v>222930.6912</v>
      </c>
      <c r="AM229">
        <v>261180.08549999999</v>
      </c>
      <c r="AN229">
        <v>253133.7488</v>
      </c>
      <c r="AO229">
        <v>236307.00289999999</v>
      </c>
      <c r="AP229">
        <v>206917.90909999999</v>
      </c>
      <c r="AQ229">
        <v>236637.45300000001</v>
      </c>
      <c r="AR229">
        <v>253867.12100000001</v>
      </c>
      <c r="AS229">
        <v>311578.11330000003</v>
      </c>
      <c r="AT229">
        <v>251399.17360000001</v>
      </c>
      <c r="AU229">
        <v>262603.53159999999</v>
      </c>
      <c r="AV229">
        <v>253547.11470000001</v>
      </c>
      <c r="AW229">
        <v>257909.52660000001</v>
      </c>
      <c r="AX229">
        <v>219879.61420000001</v>
      </c>
      <c r="AY229">
        <v>331645.11119999998</v>
      </c>
      <c r="AZ229">
        <v>332642.06069999997</v>
      </c>
      <c r="BA229">
        <v>342250.81890000001</v>
      </c>
      <c r="BB229">
        <v>309775.70659999998</v>
      </c>
      <c r="BC229">
        <v>328395.4644</v>
      </c>
      <c r="BD229">
        <v>309359.73440000002</v>
      </c>
      <c r="BE229">
        <v>290763.57640000002</v>
      </c>
      <c r="BF229">
        <v>254977.62349999999</v>
      </c>
      <c r="BG229">
        <v>309034.12890000001</v>
      </c>
      <c r="BH229">
        <v>327325.98210000002</v>
      </c>
      <c r="BI229">
        <v>329247.35729999997</v>
      </c>
      <c r="BJ229">
        <v>288083.19620000001</v>
      </c>
      <c r="BL229">
        <v>329444.39909999998</v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  <c r="CI229" t="str">
        <f>""</f>
        <v/>
      </c>
      <c r="CJ229" t="str">
        <f>""</f>
        <v/>
      </c>
      <c r="CK229" t="str">
        <f>""</f>
        <v/>
      </c>
      <c r="CL229" t="str">
        <f>""</f>
        <v/>
      </c>
      <c r="CM229" t="str">
        <f>""</f>
        <v/>
      </c>
      <c r="CN229" t="str">
        <f>""</f>
        <v/>
      </c>
      <c r="CO229" t="str">
        <f>""</f>
        <v/>
      </c>
      <c r="CP229" t="str">
        <f>""</f>
        <v/>
      </c>
      <c r="CQ229" t="str">
        <f>""</f>
        <v/>
      </c>
      <c r="CR229" t="str">
        <f>""</f>
        <v/>
      </c>
      <c r="CS229" t="str">
        <f>""</f>
        <v/>
      </c>
      <c r="CT229" t="str">
        <f>""</f>
        <v/>
      </c>
      <c r="CU229" t="str">
        <f>""</f>
        <v/>
      </c>
      <c r="CV229" t="str">
        <f>""</f>
        <v/>
      </c>
      <c r="CW229" t="str">
        <f>""</f>
        <v/>
      </c>
      <c r="CX229" t="str">
        <f>""</f>
        <v/>
      </c>
      <c r="CY229" t="str">
        <f>""</f>
        <v/>
      </c>
      <c r="CZ229" t="str">
        <f>""</f>
        <v/>
      </c>
      <c r="DA229" t="str">
        <f>""</f>
        <v/>
      </c>
      <c r="DB229" t="str">
        <f>""</f>
        <v/>
      </c>
      <c r="DC229" t="str">
        <f>""</f>
        <v/>
      </c>
      <c r="DD229" t="str">
        <f>""</f>
        <v/>
      </c>
      <c r="DE229" t="str">
        <f>""</f>
        <v/>
      </c>
      <c r="DF229" t="str">
        <f>""</f>
        <v/>
      </c>
      <c r="DG229" t="str">
        <f>""</f>
        <v/>
      </c>
      <c r="DH229" t="str">
        <f>""</f>
        <v/>
      </c>
      <c r="DI229" t="str">
        <f>""</f>
        <v/>
      </c>
      <c r="DJ229" t="str">
        <f>""</f>
        <v/>
      </c>
      <c r="DK229" t="str">
        <f>""</f>
        <v/>
      </c>
      <c r="DL229" t="str">
        <f>""</f>
        <v/>
      </c>
      <c r="DM229" t="str">
        <f>""</f>
        <v/>
      </c>
      <c r="DN229" t="str">
        <f>""</f>
        <v/>
      </c>
      <c r="DO229" t="str">
        <f>""</f>
        <v/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 x14ac:dyDescent="0.25">
      <c r="A230" t="str">
        <f>$A$24</f>
        <v xml:space="preserve">    ING Groep NV</v>
      </c>
      <c r="B230" t="str">
        <f>$B$24</f>
        <v>INGA NA Equity</v>
      </c>
      <c r="C230" t="str">
        <f>$C$24</f>
        <v>BM105</v>
      </c>
      <c r="D230" t="str">
        <f>$D$24</f>
        <v>BS_TRADING_ASSETS</v>
      </c>
      <c r="E230" t="str">
        <f>$E$24</f>
        <v>Dynamic</v>
      </c>
      <c r="F230">
        <f ca="1">_xll.BDH($B$24,$C$24,$B$206,$B$207,CONCATENATE("Per=",$B$204),"Dts=H","Dir=H",CONCATENATE("Points=",$B$205),"Sort=R","Days=A","Fill=B",CONCATENATE("FX=", $B$203),"cols=60;rows=1")</f>
        <v>72897</v>
      </c>
      <c r="G230">
        <v>78114</v>
      </c>
      <c r="H230">
        <v>73207</v>
      </c>
      <c r="I230">
        <v>68594</v>
      </c>
      <c r="J230">
        <v>60229</v>
      </c>
      <c r="K230">
        <v>68150</v>
      </c>
      <c r="L230">
        <v>62827</v>
      </c>
      <c r="M230">
        <v>57343</v>
      </c>
      <c r="N230">
        <v>56870</v>
      </c>
      <c r="O230">
        <v>71397</v>
      </c>
      <c r="P230">
        <v>60733</v>
      </c>
      <c r="Q230">
        <v>55608</v>
      </c>
      <c r="R230">
        <v>51381</v>
      </c>
      <c r="S230">
        <v>56007</v>
      </c>
      <c r="T230">
        <v>50652</v>
      </c>
      <c r="U230">
        <v>50453</v>
      </c>
      <c r="V230">
        <v>51356</v>
      </c>
      <c r="W230">
        <v>52592</v>
      </c>
      <c r="X230">
        <v>53781</v>
      </c>
      <c r="Y230">
        <v>62071</v>
      </c>
      <c r="Z230">
        <v>49254</v>
      </c>
      <c r="AA230">
        <v>57641</v>
      </c>
      <c r="AB230">
        <v>54212</v>
      </c>
      <c r="AC230">
        <v>54697</v>
      </c>
      <c r="AD230">
        <v>50152</v>
      </c>
      <c r="AE230">
        <v>59825</v>
      </c>
      <c r="AF230">
        <v>63817</v>
      </c>
      <c r="AG230">
        <v>62358</v>
      </c>
      <c r="AH230">
        <v>116748</v>
      </c>
      <c r="AI230">
        <v>133720</v>
      </c>
      <c r="AJ230">
        <v>135246</v>
      </c>
      <c r="AK230">
        <v>129332</v>
      </c>
      <c r="AL230">
        <v>114504</v>
      </c>
      <c r="AM230">
        <v>136888</v>
      </c>
      <c r="AN230">
        <v>147110</v>
      </c>
      <c r="AO230">
        <v>141635</v>
      </c>
      <c r="AP230">
        <v>131467</v>
      </c>
      <c r="AQ230">
        <v>137090</v>
      </c>
      <c r="AR230">
        <v>140429</v>
      </c>
      <c r="AS230">
        <v>153434</v>
      </c>
      <c r="AT230">
        <v>136959</v>
      </c>
      <c r="AU230">
        <v>133402</v>
      </c>
      <c r="AV230">
        <v>126738</v>
      </c>
      <c r="AW230">
        <v>118688</v>
      </c>
      <c r="AX230">
        <v>114247</v>
      </c>
      <c r="AY230">
        <v>121885</v>
      </c>
      <c r="AZ230">
        <v>125562</v>
      </c>
      <c r="BA230">
        <v>135434</v>
      </c>
      <c r="BB230">
        <v>116245</v>
      </c>
      <c r="BC230">
        <v>129561</v>
      </c>
      <c r="BD230">
        <v>123915</v>
      </c>
      <c r="BE230">
        <v>119600</v>
      </c>
      <c r="BF230">
        <v>123688</v>
      </c>
      <c r="BG230">
        <v>138130</v>
      </c>
      <c r="BH230">
        <v>127951</v>
      </c>
      <c r="BI230">
        <v>120224</v>
      </c>
      <c r="BK230">
        <v>142432</v>
      </c>
      <c r="BL230">
        <v>274374</v>
      </c>
      <c r="BM230">
        <v>262536</v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  <c r="CI230" t="str">
        <f>""</f>
        <v/>
      </c>
      <c r="CJ230" t="str">
        <f>""</f>
        <v/>
      </c>
      <c r="CK230" t="str">
        <f>""</f>
        <v/>
      </c>
      <c r="CL230" t="str">
        <f>""</f>
        <v/>
      </c>
      <c r="CM230" t="str">
        <f>""</f>
        <v/>
      </c>
      <c r="CN230" t="str">
        <f>""</f>
        <v/>
      </c>
      <c r="CO230" t="str">
        <f>""</f>
        <v/>
      </c>
      <c r="CP230" t="str">
        <f>""</f>
        <v/>
      </c>
      <c r="CQ230" t="str">
        <f>""</f>
        <v/>
      </c>
      <c r="CR230" t="str">
        <f>""</f>
        <v/>
      </c>
      <c r="CS230" t="str">
        <f>""</f>
        <v/>
      </c>
      <c r="CT230" t="str">
        <f>""</f>
        <v/>
      </c>
      <c r="CU230" t="str">
        <f>""</f>
        <v/>
      </c>
      <c r="CV230" t="str">
        <f>""</f>
        <v/>
      </c>
      <c r="CW230" t="str">
        <f>""</f>
        <v/>
      </c>
      <c r="CX230" t="str">
        <f>""</f>
        <v/>
      </c>
      <c r="CY230" t="str">
        <f>""</f>
        <v/>
      </c>
      <c r="CZ230" t="str">
        <f>""</f>
        <v/>
      </c>
      <c r="DA230" t="str">
        <f>""</f>
        <v/>
      </c>
      <c r="DB230" t="str">
        <f>""</f>
        <v/>
      </c>
      <c r="DC230" t="str">
        <f>""</f>
        <v/>
      </c>
      <c r="DD230" t="str">
        <f>""</f>
        <v/>
      </c>
      <c r="DE230" t="str">
        <f>""</f>
        <v/>
      </c>
      <c r="DF230" t="str">
        <f>""</f>
        <v/>
      </c>
      <c r="DG230" t="str">
        <f>""</f>
        <v/>
      </c>
      <c r="DH230" t="str">
        <f>""</f>
        <v/>
      </c>
      <c r="DI230" t="str">
        <f>""</f>
        <v/>
      </c>
      <c r="DJ230" t="str">
        <f>""</f>
        <v/>
      </c>
      <c r="DK230" t="str">
        <f>""</f>
        <v/>
      </c>
      <c r="DL230" t="str">
        <f>""</f>
        <v/>
      </c>
      <c r="DM230" t="str">
        <f>""</f>
        <v/>
      </c>
      <c r="DN230" t="str">
        <f>""</f>
        <v/>
      </c>
      <c r="DO230" t="str">
        <f>""</f>
        <v/>
      </c>
      <c r="DP230" t="str">
        <f>""</f>
        <v/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 x14ac:dyDescent="0.25">
      <c r="A231" t="str">
        <f>$A$25</f>
        <v xml:space="preserve">    Intesa Sanpaolo SpA</v>
      </c>
      <c r="B231" t="str">
        <f>$B$25</f>
        <v>ISP IM Equity</v>
      </c>
      <c r="C231" t="str">
        <f>$C$25</f>
        <v>BM105</v>
      </c>
      <c r="D231" t="str">
        <f>$D$25</f>
        <v>BS_TRADING_ASSETS</v>
      </c>
      <c r="E231" t="str">
        <f>$E$25</f>
        <v>Dynamic</v>
      </c>
      <c r="F231">
        <f ca="1">_xll.BDH($B$25,$C$25,$B$206,$B$207,CONCATENATE("Per=",$B$204),"Dts=H","Dir=H",CONCATENATE("Points=",$B$205),"Sort=R","Days=A","Fill=B",CONCATENATE("FX=", $B$203),"cols=60;rows=1")</f>
        <v>45706</v>
      </c>
      <c r="G231">
        <v>41430</v>
      </c>
      <c r="H231">
        <v>37743</v>
      </c>
      <c r="I231">
        <v>38096</v>
      </c>
      <c r="J231">
        <v>38163</v>
      </c>
      <c r="K231">
        <v>41855</v>
      </c>
      <c r="L231">
        <v>44053</v>
      </c>
      <c r="M231">
        <v>41690</v>
      </c>
      <c r="N231">
        <v>42607</v>
      </c>
      <c r="O231">
        <v>47689</v>
      </c>
      <c r="P231">
        <v>47165</v>
      </c>
      <c r="Q231">
        <v>48242</v>
      </c>
      <c r="R231">
        <v>47181</v>
      </c>
      <c r="S231">
        <v>55651</v>
      </c>
      <c r="T231">
        <v>55720</v>
      </c>
      <c r="U231">
        <v>51160</v>
      </c>
      <c r="V231">
        <v>53165</v>
      </c>
      <c r="W231">
        <v>57082</v>
      </c>
      <c r="X231">
        <v>56272</v>
      </c>
      <c r="Y231">
        <v>51657</v>
      </c>
      <c r="Z231">
        <v>45152</v>
      </c>
      <c r="AA231">
        <v>51596</v>
      </c>
      <c r="AB231">
        <v>49773</v>
      </c>
      <c r="AC231">
        <v>44779</v>
      </c>
      <c r="AD231">
        <v>38806</v>
      </c>
      <c r="AE231">
        <v>39158</v>
      </c>
      <c r="AF231">
        <v>39908</v>
      </c>
      <c r="AG231">
        <v>39680</v>
      </c>
      <c r="AH231">
        <v>39028</v>
      </c>
      <c r="AI231">
        <v>41762</v>
      </c>
      <c r="AJ231">
        <v>44415</v>
      </c>
      <c r="AK231">
        <v>44524</v>
      </c>
      <c r="AL231">
        <v>43613</v>
      </c>
      <c r="AM231">
        <v>50232</v>
      </c>
      <c r="AN231">
        <v>52499</v>
      </c>
      <c r="AO231">
        <v>54786</v>
      </c>
      <c r="AP231">
        <v>51597</v>
      </c>
      <c r="AQ231">
        <v>52391</v>
      </c>
      <c r="AR231">
        <v>51996</v>
      </c>
      <c r="AS231">
        <v>62257</v>
      </c>
      <c r="AT231">
        <v>53741</v>
      </c>
      <c r="AU231">
        <v>55445</v>
      </c>
      <c r="AV231">
        <v>52071</v>
      </c>
      <c r="AW231">
        <v>52352</v>
      </c>
      <c r="AX231">
        <v>49000</v>
      </c>
      <c r="AY231">
        <v>53337</v>
      </c>
      <c r="AZ231">
        <v>55905</v>
      </c>
      <c r="BA231">
        <v>61556</v>
      </c>
      <c r="BB231">
        <v>18577</v>
      </c>
      <c r="BC231">
        <v>70034</v>
      </c>
      <c r="BD231">
        <v>66080</v>
      </c>
      <c r="BE231">
        <v>60328</v>
      </c>
      <c r="BF231">
        <v>59963</v>
      </c>
      <c r="BG231">
        <v>69934</v>
      </c>
      <c r="BH231">
        <v>60555</v>
      </c>
      <c r="BI231">
        <v>61094</v>
      </c>
      <c r="BK231">
        <v>90517</v>
      </c>
      <c r="BM231">
        <v>82931</v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  <c r="CI231" t="str">
        <f>""</f>
        <v/>
      </c>
      <c r="CJ231" t="str">
        <f>""</f>
        <v/>
      </c>
      <c r="CK231" t="str">
        <f>""</f>
        <v/>
      </c>
      <c r="CL231" t="str">
        <f>""</f>
        <v/>
      </c>
      <c r="CM231" t="str">
        <f>""</f>
        <v/>
      </c>
      <c r="CN231" t="str">
        <f>""</f>
        <v/>
      </c>
      <c r="CO231" t="str">
        <f>""</f>
        <v/>
      </c>
      <c r="CP231" t="str">
        <f>""</f>
        <v/>
      </c>
      <c r="CQ231" t="str">
        <f>""</f>
        <v/>
      </c>
      <c r="CR231" t="str">
        <f>""</f>
        <v/>
      </c>
      <c r="CS231" t="str">
        <f>""</f>
        <v/>
      </c>
      <c r="CT231" t="str">
        <f>""</f>
        <v/>
      </c>
      <c r="CU231" t="str">
        <f>""</f>
        <v/>
      </c>
      <c r="CV231" t="str">
        <f>""</f>
        <v/>
      </c>
      <c r="CW231" t="str">
        <f>""</f>
        <v/>
      </c>
      <c r="CX231" t="str">
        <f>""</f>
        <v/>
      </c>
      <c r="CY231" t="str">
        <f>""</f>
        <v/>
      </c>
      <c r="CZ231" t="str">
        <f>""</f>
        <v/>
      </c>
      <c r="DA231" t="str">
        <f>""</f>
        <v/>
      </c>
      <c r="DB231" t="str">
        <f>""</f>
        <v/>
      </c>
      <c r="DC231" t="str">
        <f>""</f>
        <v/>
      </c>
      <c r="DD231" t="str">
        <f>""</f>
        <v/>
      </c>
      <c r="DE231" t="str">
        <f>""</f>
        <v/>
      </c>
      <c r="DF231" t="str">
        <f>""</f>
        <v/>
      </c>
      <c r="DG231" t="str">
        <f>""</f>
        <v/>
      </c>
      <c r="DH231" t="str">
        <f>""</f>
        <v/>
      </c>
      <c r="DI231" t="str">
        <f>""</f>
        <v/>
      </c>
      <c r="DJ231" t="str">
        <f>""</f>
        <v/>
      </c>
      <c r="DK231" t="str">
        <f>""</f>
        <v/>
      </c>
      <c r="DL231" t="str">
        <f>""</f>
        <v/>
      </c>
      <c r="DM231" t="str">
        <f>""</f>
        <v/>
      </c>
      <c r="DN231" t="str">
        <f>""</f>
        <v/>
      </c>
      <c r="DO231" t="str">
        <f>""</f>
        <v/>
      </c>
      <c r="DP231" t="str">
        <f>""</f>
        <v/>
      </c>
      <c r="DQ231" t="str">
        <f>""</f>
        <v/>
      </c>
      <c r="DR231" t="str">
        <f>""</f>
        <v/>
      </c>
      <c r="DS231" t="str">
        <f>""</f>
        <v/>
      </c>
      <c r="DT231" t="str">
        <f>""</f>
        <v/>
      </c>
      <c r="DU231" t="str">
        <f>""</f>
        <v/>
      </c>
    </row>
    <row r="232" spans="1:125" x14ac:dyDescent="0.25">
      <c r="A232" t="str">
        <f>$A$26</f>
        <v xml:space="preserve">    Jyske Bank A/S</v>
      </c>
      <c r="B232" t="str">
        <f>$B$26</f>
        <v>JYSK DC Equity</v>
      </c>
      <c r="C232" t="str">
        <f>$C$26</f>
        <v>BM105</v>
      </c>
      <c r="D232" t="str">
        <f>$D$26</f>
        <v>BS_TRADING_ASSETS</v>
      </c>
      <c r="E232" t="str">
        <f>$E$26</f>
        <v>Dynamic</v>
      </c>
      <c r="F232" t="str">
        <f ca="1">_xll.BDH($B$26,$C$26,$B$206,$B$207,CONCATENATE("Per=",$B$204),"Dts=H","Dir=H",CONCATENATE("Points=",$B$205),"Sort=R","Days=A","Fill=B",CONCATENATE("FX=", $B$203) )</f>
        <v/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  <c r="BT232" t="str">
        <f>""</f>
        <v/>
      </c>
      <c r="BU232" t="str">
        <f>""</f>
        <v/>
      </c>
      <c r="BV232" t="str">
        <f>""</f>
        <v/>
      </c>
      <c r="BW232" t="str">
        <f>""</f>
        <v/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  <c r="CI232" t="str">
        <f>""</f>
        <v/>
      </c>
      <c r="CJ232" t="str">
        <f>""</f>
        <v/>
      </c>
      <c r="CK232" t="str">
        <f>""</f>
        <v/>
      </c>
      <c r="CL232" t="str">
        <f>""</f>
        <v/>
      </c>
      <c r="CM232" t="str">
        <f>""</f>
        <v/>
      </c>
      <c r="CN232" t="str">
        <f>""</f>
        <v/>
      </c>
      <c r="CO232" t="str">
        <f>""</f>
        <v/>
      </c>
      <c r="CP232" t="str">
        <f>""</f>
        <v/>
      </c>
      <c r="CQ232" t="str">
        <f>""</f>
        <v/>
      </c>
      <c r="CR232" t="str">
        <f>""</f>
        <v/>
      </c>
      <c r="CS232" t="str">
        <f>""</f>
        <v/>
      </c>
      <c r="CT232" t="str">
        <f>""</f>
        <v/>
      </c>
      <c r="CU232" t="str">
        <f>""</f>
        <v/>
      </c>
      <c r="CV232" t="str">
        <f>""</f>
        <v/>
      </c>
      <c r="CW232" t="str">
        <f>""</f>
        <v/>
      </c>
      <c r="CX232" t="str">
        <f>""</f>
        <v/>
      </c>
      <c r="CY232" t="str">
        <f>""</f>
        <v/>
      </c>
      <c r="CZ232" t="str">
        <f>""</f>
        <v/>
      </c>
      <c r="DA232" t="str">
        <f>""</f>
        <v/>
      </c>
      <c r="DB232" t="str">
        <f>""</f>
        <v/>
      </c>
      <c r="DC232" t="str">
        <f>""</f>
        <v/>
      </c>
      <c r="DD232" t="str">
        <f>""</f>
        <v/>
      </c>
      <c r="DE232" t="str">
        <f>""</f>
        <v/>
      </c>
      <c r="DF232" t="str">
        <f>""</f>
        <v/>
      </c>
      <c r="DG232" t="str">
        <f>""</f>
        <v/>
      </c>
      <c r="DH232" t="str">
        <f>""</f>
        <v/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 t="str">
        <f>""</f>
        <v/>
      </c>
      <c r="DR232" t="str">
        <f>""</f>
        <v/>
      </c>
      <c r="DS232" t="str">
        <f>""</f>
        <v/>
      </c>
      <c r="DT232" t="str">
        <f>""</f>
        <v/>
      </c>
      <c r="DU232" t="str">
        <f>""</f>
        <v/>
      </c>
    </row>
    <row r="233" spans="1:125" x14ac:dyDescent="0.25">
      <c r="A233" t="str">
        <f>$A$27</f>
        <v xml:space="preserve">    KBC Group NV</v>
      </c>
      <c r="B233" t="str">
        <f>$B$27</f>
        <v>KBC BB Equity</v>
      </c>
      <c r="C233" t="str">
        <f>$C$27</f>
        <v>BM105</v>
      </c>
      <c r="D233" t="str">
        <f>$D$27</f>
        <v>BS_TRADING_ASSETS</v>
      </c>
      <c r="E233" t="str">
        <f>$E$27</f>
        <v>Dynamic</v>
      </c>
      <c r="F233">
        <f ca="1">_xll.BDH($B$27,$C$27,$B$206,$B$207,CONCATENATE("Per=",$B$204),"Dts=H","Dir=H",CONCATENATE("Points=",$B$205),"Sort=R","Days=A","Fill=B",CONCATENATE("FX=", $B$203),"cols=60;rows=1")</f>
        <v>10509</v>
      </c>
      <c r="G233">
        <v>9771</v>
      </c>
      <c r="H233">
        <v>10361</v>
      </c>
      <c r="I233">
        <v>9813</v>
      </c>
      <c r="J233">
        <v>8327</v>
      </c>
      <c r="K233">
        <v>10009</v>
      </c>
      <c r="L233">
        <v>9422</v>
      </c>
      <c r="M233">
        <v>9341</v>
      </c>
      <c r="N233">
        <v>8471</v>
      </c>
      <c r="O233">
        <v>12199</v>
      </c>
      <c r="P233">
        <v>11001</v>
      </c>
      <c r="Q233">
        <v>10095</v>
      </c>
      <c r="R233">
        <v>8850</v>
      </c>
      <c r="S233">
        <v>9018</v>
      </c>
      <c r="T233">
        <v>9728</v>
      </c>
      <c r="U233">
        <v>9728</v>
      </c>
      <c r="V233">
        <v>8695</v>
      </c>
      <c r="W233">
        <v>10922</v>
      </c>
      <c r="X233">
        <v>10321</v>
      </c>
      <c r="Y233">
        <v>11574</v>
      </c>
      <c r="Z233">
        <v>7266</v>
      </c>
      <c r="AA233">
        <v>8915</v>
      </c>
      <c r="AB233">
        <v>7460</v>
      </c>
      <c r="AC233">
        <v>7948</v>
      </c>
      <c r="AD233">
        <v>6426</v>
      </c>
      <c r="AE233">
        <v>0</v>
      </c>
      <c r="AF233">
        <v>7580</v>
      </c>
      <c r="AG233">
        <v>7869</v>
      </c>
      <c r="AH233">
        <v>7431</v>
      </c>
      <c r="AI233">
        <v>8390</v>
      </c>
      <c r="AJ233">
        <v>9055</v>
      </c>
      <c r="AK233">
        <v>8972</v>
      </c>
      <c r="AL233">
        <v>9683</v>
      </c>
      <c r="AM233">
        <v>10448</v>
      </c>
      <c r="AN233">
        <v>12086</v>
      </c>
      <c r="AO233">
        <v>12049</v>
      </c>
      <c r="AP233">
        <v>10385</v>
      </c>
      <c r="AQ233">
        <v>11030</v>
      </c>
      <c r="AR233">
        <v>11311</v>
      </c>
      <c r="AS233">
        <v>13954</v>
      </c>
      <c r="AT233">
        <v>12182</v>
      </c>
      <c r="AU233">
        <v>13032</v>
      </c>
      <c r="AV233">
        <v>12717</v>
      </c>
      <c r="AW233">
        <v>11929</v>
      </c>
      <c r="AX233">
        <v>16885</v>
      </c>
      <c r="AY233">
        <v>15770</v>
      </c>
      <c r="AZ233">
        <v>17585</v>
      </c>
      <c r="BA233">
        <v>20376</v>
      </c>
      <c r="BB233">
        <v>21159</v>
      </c>
      <c r="BC233">
        <v>23816</v>
      </c>
      <c r="BD233">
        <v>23656</v>
      </c>
      <c r="BE233">
        <v>25068</v>
      </c>
      <c r="BF233">
        <v>26936</v>
      </c>
      <c r="BG233">
        <v>30922</v>
      </c>
      <c r="BI233">
        <v>29506</v>
      </c>
      <c r="BJ233">
        <v>30287</v>
      </c>
      <c r="BK233">
        <v>36418</v>
      </c>
      <c r="BM233">
        <v>45301</v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  <c r="BT233" t="str">
        <f>""</f>
        <v/>
      </c>
      <c r="BU233" t="str">
        <f>""</f>
        <v/>
      </c>
      <c r="BV233" t="str">
        <f>""</f>
        <v/>
      </c>
      <c r="BW233" t="str">
        <f>""</f>
        <v/>
      </c>
      <c r="BX233" t="str">
        <f>""</f>
        <v/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 x14ac:dyDescent="0.25">
      <c r="A234" t="str">
        <f>$A$28</f>
        <v xml:space="preserve">    Komercni Banka AS</v>
      </c>
      <c r="B234" t="str">
        <f>$B$28</f>
        <v>KOMB CP Equity</v>
      </c>
      <c r="C234" t="str">
        <f>$C$28</f>
        <v>BM105</v>
      </c>
      <c r="D234" t="str">
        <f>$D$28</f>
        <v>BS_TRADING_ASSETS</v>
      </c>
      <c r="E234" t="str">
        <f>$E$28</f>
        <v>Dynamic</v>
      </c>
      <c r="F234">
        <f ca="1">_xll.BDH($B$28,$C$28,$B$206,$B$207,CONCATENATE("Per=",$B$204),"Dts=H","Dir=H",CONCATENATE("Points=",$B$205),"Sort=R","Days=A","Fill=B",CONCATENATE("FX=", $B$203),"cols=60;rows=1")</f>
        <v>1658.9246000000001</v>
      </c>
      <c r="G234">
        <v>1841.5990999999999</v>
      </c>
      <c r="H234">
        <v>1827.9175</v>
      </c>
      <c r="I234">
        <v>1987.5266999999999</v>
      </c>
      <c r="J234">
        <v>1962.7783999999999</v>
      </c>
      <c r="K234">
        <v>1944.7017000000001</v>
      </c>
      <c r="L234">
        <v>2028.0930000000001</v>
      </c>
      <c r="M234">
        <v>2364.2637</v>
      </c>
      <c r="N234">
        <v>2373.8629000000001</v>
      </c>
      <c r="O234">
        <v>2503.9976999999999</v>
      </c>
      <c r="P234">
        <v>2205.6469000000002</v>
      </c>
      <c r="Q234">
        <v>1788.5721000000001</v>
      </c>
      <c r="R234">
        <v>1654.0409999999999</v>
      </c>
      <c r="S234">
        <v>1237.0759</v>
      </c>
      <c r="T234">
        <v>1163.3512000000001</v>
      </c>
      <c r="U234">
        <v>1134.4019000000001</v>
      </c>
      <c r="V234">
        <v>974.79290000000003</v>
      </c>
      <c r="W234">
        <v>1406.1758</v>
      </c>
      <c r="X234">
        <v>1644.2692999999999</v>
      </c>
      <c r="Y234">
        <v>1511.0615</v>
      </c>
      <c r="Z234">
        <v>900.77660000000003</v>
      </c>
      <c r="AA234">
        <v>1329.1929</v>
      </c>
      <c r="AB234">
        <v>1083.9181000000001</v>
      </c>
      <c r="AC234">
        <v>935.93619999999999</v>
      </c>
      <c r="AD234">
        <v>869.2269</v>
      </c>
      <c r="AE234">
        <v>1225.2166</v>
      </c>
      <c r="AF234">
        <v>1108.0900999999999</v>
      </c>
      <c r="AG234">
        <v>852.47580000000005</v>
      </c>
      <c r="AH234">
        <v>737.75369999999998</v>
      </c>
      <c r="AI234">
        <v>777.14419999999996</v>
      </c>
      <c r="AJ234">
        <v>974.74289999999996</v>
      </c>
      <c r="AK234">
        <v>890.09439999999995</v>
      </c>
      <c r="AL234">
        <v>1099.3541</v>
      </c>
      <c r="AM234">
        <v>1215.3036</v>
      </c>
      <c r="AN234">
        <v>1239.8284000000001</v>
      </c>
      <c r="AO234">
        <v>1150.2974999999999</v>
      </c>
      <c r="AP234">
        <v>1080.5833</v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  <c r="BT234" t="str">
        <f>""</f>
        <v/>
      </c>
      <c r="BU234" t="str">
        <f>""</f>
        <v/>
      </c>
      <c r="BV234" t="str">
        <f>""</f>
        <v/>
      </c>
      <c r="BW234" t="str">
        <f>""</f>
        <v/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  <c r="CI234" t="str">
        <f>""</f>
        <v/>
      </c>
      <c r="CJ234" t="str">
        <f>""</f>
        <v/>
      </c>
      <c r="CK234" t="str">
        <f>""</f>
        <v/>
      </c>
      <c r="CL234" t="str">
        <f>""</f>
        <v/>
      </c>
      <c r="CM234" t="str">
        <f>""</f>
        <v/>
      </c>
      <c r="CN234" t="str">
        <f>""</f>
        <v/>
      </c>
      <c r="CO234" t="str">
        <f>""</f>
        <v/>
      </c>
      <c r="CP234" t="str">
        <f>""</f>
        <v/>
      </c>
      <c r="CQ234" t="str">
        <f>""</f>
        <v/>
      </c>
      <c r="CR234" t="str">
        <f>""</f>
        <v/>
      </c>
      <c r="CS234" t="str">
        <f>""</f>
        <v/>
      </c>
      <c r="CT234" t="str">
        <f>""</f>
        <v/>
      </c>
      <c r="CU234" t="str">
        <f>""</f>
        <v/>
      </c>
      <c r="CV234" t="str">
        <f>""</f>
        <v/>
      </c>
      <c r="CW234" t="str">
        <f>""</f>
        <v/>
      </c>
      <c r="CX234" t="str">
        <f>""</f>
        <v/>
      </c>
      <c r="CY234" t="str">
        <f>""</f>
        <v/>
      </c>
      <c r="CZ234" t="str">
        <f>""</f>
        <v/>
      </c>
      <c r="DA234" t="str">
        <f>""</f>
        <v/>
      </c>
      <c r="DB234" t="str">
        <f>""</f>
        <v/>
      </c>
      <c r="DC234" t="str">
        <f>""</f>
        <v/>
      </c>
      <c r="DD234" t="str">
        <f>""</f>
        <v/>
      </c>
      <c r="DE234" t="str">
        <f>""</f>
        <v/>
      </c>
      <c r="DF234" t="str">
        <f>""</f>
        <v/>
      </c>
      <c r="DG234" t="str">
        <f>""</f>
        <v/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 t="str">
        <f>""</f>
        <v/>
      </c>
      <c r="DR234" t="str">
        <f>""</f>
        <v/>
      </c>
      <c r="DS234" t="str">
        <f>""</f>
        <v/>
      </c>
      <c r="DT234" t="str">
        <f>""</f>
        <v/>
      </c>
      <c r="DU234" t="str">
        <f>""</f>
        <v/>
      </c>
    </row>
    <row r="235" spans="1:125" x14ac:dyDescent="0.25">
      <c r="A235" t="str">
        <f>$A$29</f>
        <v xml:space="preserve">    Lloyds Banking Group PLC</v>
      </c>
      <c r="B235" t="str">
        <f>$B$29</f>
        <v>LLOY LN Equity</v>
      </c>
      <c r="C235" t="str">
        <f>$C$29</f>
        <v>BM105</v>
      </c>
      <c r="D235" t="str">
        <f>$D$29</f>
        <v>BS_TRADING_ASSETS</v>
      </c>
      <c r="E235" t="str">
        <f>$E$29</f>
        <v>Dynamic</v>
      </c>
      <c r="F235" t="str">
        <f ca="1">_xll.BDH($B$29,$C$29,$B$206,$B$207,CONCATENATE("Per=",$B$204),"Dts=H","Dir=H",CONCATENATE("Points=",$B$205),"Sort=R","Days=A","Fill=B",CONCATENATE("FX=", $B$203),"cols=60;rows=1")</f>
        <v/>
      </c>
      <c r="AT235">
        <v>62445.042500000003</v>
      </c>
      <c r="BH235">
        <v>24682.942599999998</v>
      </c>
      <c r="BL235">
        <v>32324.816599999998</v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  <c r="BT235" t="str">
        <f>""</f>
        <v/>
      </c>
      <c r="BU235" t="str">
        <f>""</f>
        <v/>
      </c>
      <c r="BV235" t="str">
        <f>""</f>
        <v/>
      </c>
      <c r="BW235" t="str">
        <f>""</f>
        <v/>
      </c>
      <c r="BX235" t="str">
        <f>""</f>
        <v/>
      </c>
      <c r="BY235" t="str">
        <f>""</f>
        <v/>
      </c>
      <c r="BZ235" t="str">
        <f>""</f>
        <v/>
      </c>
      <c r="CA235" t="str">
        <f>""</f>
        <v/>
      </c>
      <c r="CB235" t="str">
        <f>""</f>
        <v/>
      </c>
      <c r="CC235" t="str">
        <f>""</f>
        <v/>
      </c>
      <c r="CD235" t="str">
        <f>""</f>
        <v/>
      </c>
      <c r="CE235" t="str">
        <f>""</f>
        <v/>
      </c>
      <c r="CF235" t="str">
        <f>""</f>
        <v/>
      </c>
      <c r="CG235" t="str">
        <f>""</f>
        <v/>
      </c>
      <c r="CH235" t="str">
        <f>""</f>
        <v/>
      </c>
      <c r="CI235" t="str">
        <f>""</f>
        <v/>
      </c>
      <c r="CJ235" t="str">
        <f>""</f>
        <v/>
      </c>
      <c r="CK235" t="str">
        <f>""</f>
        <v/>
      </c>
      <c r="CL235" t="str">
        <f>""</f>
        <v/>
      </c>
      <c r="CM235" t="str">
        <f>""</f>
        <v/>
      </c>
      <c r="CN235" t="str">
        <f>""</f>
        <v/>
      </c>
      <c r="CO235" t="str">
        <f>""</f>
        <v/>
      </c>
      <c r="CP235" t="str">
        <f>""</f>
        <v/>
      </c>
      <c r="CQ235" t="str">
        <f>""</f>
        <v/>
      </c>
      <c r="CR235" t="str">
        <f>""</f>
        <v/>
      </c>
      <c r="CS235" t="str">
        <f>""</f>
        <v/>
      </c>
      <c r="CT235" t="str">
        <f>""</f>
        <v/>
      </c>
      <c r="CU235" t="str">
        <f>""</f>
        <v/>
      </c>
      <c r="CV235" t="str">
        <f>""</f>
        <v/>
      </c>
      <c r="CW235" t="str">
        <f>""</f>
        <v/>
      </c>
      <c r="CX235" t="str">
        <f>""</f>
        <v/>
      </c>
      <c r="CY235" t="str">
        <f>""</f>
        <v/>
      </c>
      <c r="CZ235" t="str">
        <f>""</f>
        <v/>
      </c>
      <c r="DA235" t="str">
        <f>""</f>
        <v/>
      </c>
      <c r="DB235" t="str">
        <f>""</f>
        <v/>
      </c>
      <c r="DC235" t="str">
        <f>""</f>
        <v/>
      </c>
      <c r="DD235" t="str">
        <f>""</f>
        <v/>
      </c>
      <c r="DE235" t="str">
        <f>""</f>
        <v/>
      </c>
      <c r="DF235" t="str">
        <f>""</f>
        <v/>
      </c>
      <c r="DG235" t="str">
        <f>""</f>
        <v/>
      </c>
      <c r="DH235" t="str">
        <f>""</f>
        <v/>
      </c>
      <c r="DI235" t="str">
        <f>""</f>
        <v/>
      </c>
      <c r="DJ235" t="str">
        <f>""</f>
        <v/>
      </c>
      <c r="DK235" t="str">
        <f>""</f>
        <v/>
      </c>
      <c r="DL235" t="str">
        <f>""</f>
        <v/>
      </c>
      <c r="DM235" t="str">
        <f>""</f>
        <v/>
      </c>
      <c r="DN235" t="str">
        <f>""</f>
        <v/>
      </c>
      <c r="DO235" t="str">
        <f>""</f>
        <v/>
      </c>
      <c r="DP235" t="str">
        <f>""</f>
        <v/>
      </c>
      <c r="DQ235" t="str">
        <f>""</f>
        <v/>
      </c>
      <c r="DR235" t="str">
        <f>""</f>
        <v/>
      </c>
      <c r="DS235" t="str">
        <f>""</f>
        <v/>
      </c>
      <c r="DT235" t="str">
        <f>""</f>
        <v/>
      </c>
      <c r="DU235" t="str">
        <f>""</f>
        <v/>
      </c>
    </row>
    <row r="236" spans="1:125" x14ac:dyDescent="0.25">
      <c r="A236" t="str">
        <f>$A$30</f>
        <v xml:space="preserve">    Mediobanca Banca di Credito Finanziario SpA</v>
      </c>
      <c r="B236" t="str">
        <f>$B$30</f>
        <v>MB IM Equity</v>
      </c>
      <c r="C236" t="str">
        <f>$C$30</f>
        <v>BM105</v>
      </c>
      <c r="D236" t="str">
        <f>$D$30</f>
        <v>BS_TRADING_ASSETS</v>
      </c>
      <c r="E236" t="str">
        <f>$E$30</f>
        <v>Dynamic</v>
      </c>
      <c r="F236">
        <f ca="1">_xll.BDH($B$30,$C$30,$B$206,$B$207,CONCATENATE("Per=",$B$204),"Dts=H","Dir=H",CONCATENATE("Points=",$B$205),"Sort=R","Days=A","Fill=B",CONCATENATE("FX=", $B$203),"cols=60;rows=1")</f>
        <v>15171.8</v>
      </c>
      <c r="G236">
        <v>15362.6</v>
      </c>
      <c r="H236">
        <v>15409.450999999999</v>
      </c>
      <c r="I236">
        <v>12925.5</v>
      </c>
      <c r="J236">
        <v>11132.017</v>
      </c>
      <c r="K236">
        <v>10388.200000000001</v>
      </c>
      <c r="L236">
        <v>9546.2119999999995</v>
      </c>
      <c r="M236">
        <v>10028.1</v>
      </c>
      <c r="N236">
        <v>8689.6759999999995</v>
      </c>
      <c r="O236">
        <v>9867.2999999999993</v>
      </c>
      <c r="P236">
        <v>9530.9349999999995</v>
      </c>
      <c r="Q236">
        <v>9694.6</v>
      </c>
      <c r="R236">
        <v>12123.172</v>
      </c>
      <c r="S236">
        <v>12217.1</v>
      </c>
      <c r="T236">
        <v>11273.736999999999</v>
      </c>
      <c r="U236">
        <v>11417.7</v>
      </c>
      <c r="V236">
        <v>11559.705</v>
      </c>
      <c r="W236">
        <v>9612</v>
      </c>
      <c r="X236">
        <v>8818.59</v>
      </c>
      <c r="Y236">
        <v>11559.7</v>
      </c>
      <c r="Z236">
        <v>12526.807000000001</v>
      </c>
      <c r="AA236">
        <v>12144.4</v>
      </c>
      <c r="AB236">
        <v>9765.6530000000002</v>
      </c>
      <c r="AC236">
        <v>9728.7999999999993</v>
      </c>
      <c r="AD236">
        <v>9315.3989999999994</v>
      </c>
      <c r="AE236">
        <v>8403.7999999999993</v>
      </c>
      <c r="AF236">
        <v>8204.9110000000001</v>
      </c>
      <c r="AG236">
        <v>8491.7000000000007</v>
      </c>
      <c r="AH236">
        <v>10105.026</v>
      </c>
      <c r="AI236">
        <v>8304.5</v>
      </c>
      <c r="AJ236">
        <v>7833.9030000000002</v>
      </c>
      <c r="AK236">
        <v>10235.799999999999</v>
      </c>
      <c r="AL236">
        <v>10335.710999999999</v>
      </c>
      <c r="AM236">
        <v>9937.2000000000007</v>
      </c>
      <c r="AN236">
        <v>9505.2950000000001</v>
      </c>
      <c r="AO236">
        <v>10139.6</v>
      </c>
      <c r="AP236">
        <v>13108.228999999999</v>
      </c>
      <c r="AQ236">
        <v>12697.6</v>
      </c>
      <c r="AR236">
        <v>11860.786</v>
      </c>
      <c r="AS236">
        <v>14300</v>
      </c>
      <c r="AT236">
        <v>13626.858</v>
      </c>
      <c r="AU236">
        <v>13232</v>
      </c>
      <c r="AV236">
        <v>12406.967000000001</v>
      </c>
      <c r="AW236">
        <v>13671.2</v>
      </c>
      <c r="AX236">
        <v>7734.7259999999997</v>
      </c>
      <c r="AY236">
        <v>14876.3</v>
      </c>
      <c r="AZ236">
        <v>13047.073</v>
      </c>
      <c r="BA236">
        <v>13378.6</v>
      </c>
      <c r="BB236">
        <v>7196.8059999999996</v>
      </c>
      <c r="BC236">
        <v>14693.5</v>
      </c>
      <c r="BD236">
        <v>6125.402</v>
      </c>
      <c r="BE236">
        <v>13920.4</v>
      </c>
      <c r="BF236">
        <v>6414.8540000000003</v>
      </c>
      <c r="BG236">
        <v>14858.1</v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  <c r="BT236" t="str">
        <f>""</f>
        <v/>
      </c>
      <c r="BU236" t="str">
        <f>""</f>
        <v/>
      </c>
      <c r="BV236" t="str">
        <f>""</f>
        <v/>
      </c>
      <c r="BW236" t="str">
        <f>""</f>
        <v/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  <c r="CI236" t="str">
        <f>""</f>
        <v/>
      </c>
      <c r="CJ236" t="str">
        <f>""</f>
        <v/>
      </c>
      <c r="CK236" t="str">
        <f>""</f>
        <v/>
      </c>
      <c r="CL236" t="str">
        <f>""</f>
        <v/>
      </c>
      <c r="CM236" t="str">
        <f>""</f>
        <v/>
      </c>
      <c r="CN236" t="str">
        <f>""</f>
        <v/>
      </c>
      <c r="CO236" t="str">
        <f>""</f>
        <v/>
      </c>
      <c r="CP236" t="str">
        <f>""</f>
        <v/>
      </c>
      <c r="CQ236" t="str">
        <f>""</f>
        <v/>
      </c>
      <c r="CR236" t="str">
        <f>""</f>
        <v/>
      </c>
      <c r="CS236" t="str">
        <f>""</f>
        <v/>
      </c>
      <c r="CT236" t="str">
        <f>""</f>
        <v/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 x14ac:dyDescent="0.25">
      <c r="A237" t="str">
        <f>$A$31</f>
        <v xml:space="preserve">    NatWest Group PLC</v>
      </c>
      <c r="B237" t="str">
        <f>$B$31</f>
        <v>NWG LN Equity</v>
      </c>
      <c r="C237" t="str">
        <f>$C$31</f>
        <v>BM105</v>
      </c>
      <c r="D237" t="str">
        <f>$D$31</f>
        <v>BS_TRADING_ASSETS</v>
      </c>
      <c r="E237" t="str">
        <f>$E$31</f>
        <v>Dynamic</v>
      </c>
      <c r="F237">
        <f ca="1">_xll.BDH($B$31,$C$31,$B$206,$B$207,CONCATENATE("Per=",$B$204),"Dts=H","Dir=H",CONCATENATE("Points=",$B$205),"Sort=R","Days=A","Fill=B",CONCATENATE("FX=", $B$203),"cols=60;rows=1")</f>
        <v>59174.019</v>
      </c>
      <c r="G237">
        <v>65453.1656</v>
      </c>
      <c r="H237">
        <v>54236.964200000002</v>
      </c>
      <c r="I237">
        <v>58794.657700000003</v>
      </c>
      <c r="J237">
        <v>52545.861599999997</v>
      </c>
      <c r="K237">
        <v>57257.886700000003</v>
      </c>
      <c r="L237">
        <v>56944.8056</v>
      </c>
      <c r="M237">
        <v>57322.9401</v>
      </c>
      <c r="N237">
        <v>51478.904499999997</v>
      </c>
      <c r="O237">
        <v>65748.854999999996</v>
      </c>
      <c r="P237">
        <v>76205.275999999998</v>
      </c>
      <c r="Q237">
        <v>77005.779599999994</v>
      </c>
      <c r="R237">
        <v>70323.513999999996</v>
      </c>
      <c r="S237">
        <v>77195.7114</v>
      </c>
      <c r="T237">
        <v>81752.974900000001</v>
      </c>
      <c r="U237">
        <v>76995.778699999995</v>
      </c>
      <c r="V237">
        <v>77037.422500000001</v>
      </c>
      <c r="W237">
        <v>78003.499400000001</v>
      </c>
      <c r="X237">
        <v>79717.544999999998</v>
      </c>
      <c r="Y237">
        <v>92488.334199999998</v>
      </c>
      <c r="Z237">
        <v>90646.445399999997</v>
      </c>
      <c r="AA237">
        <v>103258.31879999999</v>
      </c>
      <c r="AB237">
        <v>95404.171100000007</v>
      </c>
      <c r="AC237">
        <v>103171.6686</v>
      </c>
      <c r="AD237">
        <v>83606.948499999999</v>
      </c>
      <c r="AW237">
        <v>214807.23980000001</v>
      </c>
      <c r="AY237">
        <v>250581.15520000001</v>
      </c>
      <c r="AZ237">
        <v>207075.29370000001</v>
      </c>
      <c r="BA237">
        <v>282178.73540000001</v>
      </c>
      <c r="BB237">
        <v>276419.22210000001</v>
      </c>
      <c r="BC237">
        <v>297357.71169999999</v>
      </c>
      <c r="BF237">
        <v>279643.0662</v>
      </c>
      <c r="BG237">
        <v>327256.00540000002</v>
      </c>
      <c r="BH237">
        <v>314893.26850000001</v>
      </c>
      <c r="BI237">
        <v>316031.74739999999</v>
      </c>
      <c r="BJ237">
        <v>137707.28</v>
      </c>
      <c r="BK237">
        <v>121701.4626</v>
      </c>
      <c r="BL237">
        <v>125936.0401</v>
      </c>
      <c r="BM237">
        <v>127490.8014</v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""</f>
        <v/>
      </c>
      <c r="CI237" t="str">
        <f>""</f>
        <v/>
      </c>
      <c r="CJ237" t="str">
        <f>""</f>
        <v/>
      </c>
      <c r="CK237" t="str">
        <f>""</f>
        <v/>
      </c>
      <c r="CL237" t="str">
        <f>""</f>
        <v/>
      </c>
      <c r="CM237" t="str">
        <f>""</f>
        <v/>
      </c>
      <c r="CN237" t="str">
        <f>""</f>
        <v/>
      </c>
      <c r="CO237" t="str">
        <f>""</f>
        <v/>
      </c>
      <c r="CP237" t="str">
        <f>""</f>
        <v/>
      </c>
      <c r="CQ237" t="str">
        <f>""</f>
        <v/>
      </c>
      <c r="CR237" t="str">
        <f>""</f>
        <v/>
      </c>
      <c r="CS237" t="str">
        <f>""</f>
        <v/>
      </c>
      <c r="CT237" t="str">
        <f>""</f>
        <v/>
      </c>
      <c r="CU237" t="str">
        <f>""</f>
        <v/>
      </c>
      <c r="CV237" t="str">
        <f>""</f>
        <v/>
      </c>
      <c r="CW237" t="str">
        <f>""</f>
        <v/>
      </c>
      <c r="CX237" t="str">
        <f>""</f>
        <v/>
      </c>
      <c r="CY237" t="str">
        <f>""</f>
        <v/>
      </c>
      <c r="CZ237" t="str">
        <f>""</f>
        <v/>
      </c>
      <c r="DA237" t="str">
        <f>""</f>
        <v/>
      </c>
      <c r="DB237" t="str">
        <f>""</f>
        <v/>
      </c>
      <c r="DC237" t="str">
        <f>""</f>
        <v/>
      </c>
      <c r="DD237" t="str">
        <f>""</f>
        <v/>
      </c>
      <c r="DE237" t="str">
        <f>""</f>
        <v/>
      </c>
      <c r="DF237" t="str">
        <f>""</f>
        <v/>
      </c>
      <c r="DG237" t="str">
        <f>""</f>
        <v/>
      </c>
      <c r="DH237" t="str">
        <f>""</f>
        <v/>
      </c>
      <c r="DI237" t="str">
        <f>""</f>
        <v/>
      </c>
      <c r="DJ237" t="str">
        <f>""</f>
        <v/>
      </c>
      <c r="DK237" t="str">
        <f>""</f>
        <v/>
      </c>
      <c r="DL237" t="str">
        <f>""</f>
        <v/>
      </c>
      <c r="DM237" t="str">
        <f>""</f>
        <v/>
      </c>
      <c r="DN237" t="str">
        <f>""</f>
        <v/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 x14ac:dyDescent="0.25">
      <c r="A238" t="str">
        <f>$A$32</f>
        <v xml:space="preserve">    Nordea Bank Abp</v>
      </c>
      <c r="B238" t="str">
        <f>$B$32</f>
        <v>NDA FH Equity</v>
      </c>
      <c r="C238" t="str">
        <f>$C$32</f>
        <v>BM105</v>
      </c>
      <c r="D238" t="str">
        <f>$D$32</f>
        <v>BS_TRADING_ASSETS</v>
      </c>
      <c r="E238" t="str">
        <f>$E$32</f>
        <v>Dynamic</v>
      </c>
      <c r="F238" t="str">
        <f ca="1">_xll.BDH($B$32,$C$32,$B$206,$B$207,CONCATENATE("Per=",$B$204),"Dts=H","Dir=H",CONCATENATE("Points=",$B$205),"Sort=R","Days=A","Fill=B",CONCATENATE("FX=", $B$203),"cols=60;rows=1")</f>
        <v/>
      </c>
      <c r="BH238">
        <v>43530</v>
      </c>
      <c r="BI238">
        <v>59569</v>
      </c>
      <c r="BK238">
        <v>81958</v>
      </c>
      <c r="BL238">
        <v>71395</v>
      </c>
      <c r="BM238">
        <v>75381</v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  <c r="CI238" t="str">
        <f>""</f>
        <v/>
      </c>
      <c r="CJ238" t="str">
        <f>""</f>
        <v/>
      </c>
      <c r="CK238" t="str">
        <f>""</f>
        <v/>
      </c>
      <c r="CL238" t="str">
        <f>""</f>
        <v/>
      </c>
      <c r="CM238" t="str">
        <f>""</f>
        <v/>
      </c>
      <c r="CN238" t="str">
        <f>""</f>
        <v/>
      </c>
      <c r="CO238" t="str">
        <f>""</f>
        <v/>
      </c>
      <c r="CP238" t="str">
        <f>""</f>
        <v/>
      </c>
      <c r="CQ238" t="str">
        <f>""</f>
        <v/>
      </c>
      <c r="CR238" t="str">
        <f>""</f>
        <v/>
      </c>
      <c r="CS238" t="str">
        <f>""</f>
        <v/>
      </c>
      <c r="CT238" t="str">
        <f>""</f>
        <v/>
      </c>
      <c r="CU238" t="str">
        <f>""</f>
        <v/>
      </c>
      <c r="CV238" t="str">
        <f>""</f>
        <v/>
      </c>
      <c r="CW238" t="str">
        <f>""</f>
        <v/>
      </c>
      <c r="CX238" t="str">
        <f>""</f>
        <v/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 x14ac:dyDescent="0.25">
      <c r="A239" t="str">
        <f>$A$33</f>
        <v xml:space="preserve">    Raiffeisen Bank International AG</v>
      </c>
      <c r="B239" t="str">
        <f>$B$33</f>
        <v>RBI AV Equity</v>
      </c>
      <c r="C239" t="str">
        <f>$C$33</f>
        <v>BM105</v>
      </c>
      <c r="D239" t="str">
        <f>$D$33</f>
        <v>BS_TRADING_ASSETS</v>
      </c>
      <c r="E239" t="str">
        <f>$E$33</f>
        <v>Dynamic</v>
      </c>
      <c r="F239">
        <f ca="1">_xll.BDH($B$33,$C$33,$B$206,$B$207,CONCATENATE("Per=",$B$204),"Dts=H","Dir=H",CONCATENATE("Points=",$B$205),"Sort=R","Days=A","Fill=B",CONCATENATE("FX=", $B$203),"cols=60;rows=1")</f>
        <v>5945</v>
      </c>
      <c r="G239">
        <v>6101</v>
      </c>
      <c r="H239">
        <v>6570</v>
      </c>
      <c r="I239">
        <v>6583</v>
      </c>
      <c r="J239">
        <v>5783</v>
      </c>
      <c r="K239">
        <v>7023</v>
      </c>
      <c r="L239">
        <v>6664</v>
      </c>
      <c r="M239">
        <v>6655</v>
      </c>
      <c r="N239">
        <v>6411</v>
      </c>
      <c r="O239">
        <v>9586</v>
      </c>
      <c r="P239">
        <v>7514</v>
      </c>
      <c r="Q239">
        <v>5212</v>
      </c>
      <c r="R239">
        <v>4112</v>
      </c>
      <c r="S239">
        <v>3915</v>
      </c>
      <c r="T239">
        <v>3872</v>
      </c>
      <c r="U239">
        <v>4339</v>
      </c>
      <c r="V239">
        <v>4399.75</v>
      </c>
      <c r="W239">
        <v>4222</v>
      </c>
      <c r="X239">
        <v>4675</v>
      </c>
      <c r="Y239">
        <v>4832</v>
      </c>
      <c r="Z239">
        <v>4182.3720000000003</v>
      </c>
      <c r="AA239">
        <v>4265</v>
      </c>
      <c r="AB239">
        <v>3928</v>
      </c>
      <c r="AC239">
        <v>3805</v>
      </c>
      <c r="AD239">
        <v>3893.6089999999999</v>
      </c>
      <c r="AE239">
        <v>4179</v>
      </c>
      <c r="AF239">
        <v>4534</v>
      </c>
      <c r="AG239">
        <v>4925</v>
      </c>
      <c r="AH239">
        <v>4622.0360000000001</v>
      </c>
      <c r="AI239">
        <v>4740</v>
      </c>
      <c r="AJ239">
        <v>4736</v>
      </c>
      <c r="AK239">
        <v>5085</v>
      </c>
      <c r="AL239">
        <v>4986.4620000000004</v>
      </c>
      <c r="AM239">
        <v>5239</v>
      </c>
      <c r="AN239">
        <v>5414</v>
      </c>
      <c r="AO239">
        <v>5744</v>
      </c>
      <c r="AP239">
        <v>5814.1080000000002</v>
      </c>
      <c r="AQ239">
        <v>6462</v>
      </c>
      <c r="AR239">
        <v>6912</v>
      </c>
      <c r="AS239">
        <v>8533</v>
      </c>
      <c r="AT239">
        <v>7916.6239999999998</v>
      </c>
      <c r="AU239">
        <v>8271</v>
      </c>
      <c r="AV239">
        <v>7834</v>
      </c>
      <c r="AW239">
        <v>7855</v>
      </c>
      <c r="AX239">
        <v>7581.0969999999998</v>
      </c>
      <c r="AY239">
        <v>7853</v>
      </c>
      <c r="AZ239">
        <v>7669</v>
      </c>
      <c r="BA239">
        <v>8564</v>
      </c>
      <c r="BB239">
        <v>9813.2900000000009</v>
      </c>
      <c r="BC239">
        <v>9880</v>
      </c>
      <c r="BD239">
        <v>11244</v>
      </c>
      <c r="BE239">
        <v>11075</v>
      </c>
      <c r="BF239">
        <v>10616.671</v>
      </c>
      <c r="BG239">
        <v>11109</v>
      </c>
      <c r="BH239">
        <v>8324</v>
      </c>
      <c r="BI239">
        <v>7750</v>
      </c>
      <c r="BJ239">
        <v>8068.393</v>
      </c>
      <c r="BK239">
        <v>3596</v>
      </c>
      <c r="BL239">
        <v>3764</v>
      </c>
      <c r="BM239">
        <v>3854</v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  <c r="BT239" t="str">
        <f>""</f>
        <v/>
      </c>
      <c r="BU239" t="str">
        <f>""</f>
        <v/>
      </c>
      <c r="BV239" t="str">
        <f>""</f>
        <v/>
      </c>
      <c r="BW239" t="str">
        <f>""</f>
        <v/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  <c r="CI239" t="str">
        <f>""</f>
        <v/>
      </c>
      <c r="CJ239" t="str">
        <f>""</f>
        <v/>
      </c>
      <c r="CK239" t="str">
        <f>""</f>
        <v/>
      </c>
      <c r="CL239" t="str">
        <f>""</f>
        <v/>
      </c>
      <c r="CM239" t="str">
        <f>""</f>
        <v/>
      </c>
      <c r="CN239" t="str">
        <f>""</f>
        <v/>
      </c>
      <c r="CO239" t="str">
        <f>""</f>
        <v/>
      </c>
      <c r="CP239" t="str">
        <f>""</f>
        <v/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 x14ac:dyDescent="0.25">
      <c r="A240" t="str">
        <f>$A$34</f>
        <v xml:space="preserve">    Skandinaviska Enskilda Banken AB</v>
      </c>
      <c r="B240" t="str">
        <f>$B$34</f>
        <v>SEBA SS Equity</v>
      </c>
      <c r="C240" t="str">
        <f>$C$34</f>
        <v>BM105</v>
      </c>
      <c r="D240" t="str">
        <f>$D$34</f>
        <v>BS_TRADING_ASSETS</v>
      </c>
      <c r="E240" t="str">
        <f>$E$34</f>
        <v>Dynamic</v>
      </c>
      <c r="F240">
        <f ca="1">_xll.BDH($B$34,$C$34,$B$206,$B$207,CONCATENATE("Per=",$B$204),"Dts=H","Dir=H",CONCATENATE("Points=",$B$205),"Sort=R","Days=A","Fill=B",CONCATENATE("FX=", $B$203),"cols=60;rows=1")</f>
        <v>10613.249299999999</v>
      </c>
      <c r="G240">
        <v>10806.2798</v>
      </c>
      <c r="H240">
        <v>10501.071900000001</v>
      </c>
      <c r="I240">
        <v>11504.2094</v>
      </c>
      <c r="J240">
        <v>8347.5205000000005</v>
      </c>
      <c r="K240">
        <v>8313.2175000000007</v>
      </c>
      <c r="L240">
        <v>5892.1453000000001</v>
      </c>
      <c r="M240">
        <v>6583.1117000000004</v>
      </c>
      <c r="N240">
        <v>6165.5344999999998</v>
      </c>
      <c r="R240">
        <v>11782.791999999999</v>
      </c>
      <c r="V240">
        <v>8163.5645999999997</v>
      </c>
      <c r="Z240">
        <v>7505.9732999999997</v>
      </c>
      <c r="AL240">
        <v>16957.653900000001</v>
      </c>
      <c r="AP240">
        <v>26100.4434</v>
      </c>
      <c r="AT240">
        <v>31680.658500000001</v>
      </c>
      <c r="AX240">
        <v>35938.8001</v>
      </c>
      <c r="BB240">
        <v>32121.716899999999</v>
      </c>
      <c r="BF240">
        <v>26005.9401</v>
      </c>
      <c r="BJ240">
        <v>24738.9437</v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  <c r="BT240" t="str">
        <f>""</f>
        <v/>
      </c>
      <c r="BU240" t="str">
        <f>""</f>
        <v/>
      </c>
      <c r="BV240" t="str">
        <f>""</f>
        <v/>
      </c>
      <c r="BW240" t="str">
        <f>""</f>
        <v/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  <c r="CI240" t="str">
        <f>""</f>
        <v/>
      </c>
      <c r="CJ240" t="str">
        <f>""</f>
        <v/>
      </c>
      <c r="CK240" t="str">
        <f>""</f>
        <v/>
      </c>
      <c r="CL240" t="str">
        <f>""</f>
        <v/>
      </c>
      <c r="CM240" t="str">
        <f>""</f>
        <v/>
      </c>
      <c r="CN240" t="str">
        <f>""</f>
        <v/>
      </c>
      <c r="CO240" t="str">
        <f>""</f>
        <v/>
      </c>
      <c r="CP240" t="str">
        <f>""</f>
        <v/>
      </c>
      <c r="CQ240" t="str">
        <f>""</f>
        <v/>
      </c>
      <c r="CR240" t="str">
        <f>""</f>
        <v/>
      </c>
      <c r="CS240" t="str">
        <f>""</f>
        <v/>
      </c>
      <c r="CT240" t="str">
        <f>""</f>
        <v/>
      </c>
      <c r="CU240" t="str">
        <f>""</f>
        <v/>
      </c>
      <c r="CV240" t="str">
        <f>""</f>
        <v/>
      </c>
      <c r="CW240" t="str">
        <f>""</f>
        <v/>
      </c>
      <c r="CX240" t="str">
        <f>""</f>
        <v/>
      </c>
      <c r="CY240" t="str">
        <f>""</f>
        <v/>
      </c>
      <c r="CZ240" t="str">
        <f>""</f>
        <v/>
      </c>
      <c r="DA240" t="str">
        <f>""</f>
        <v/>
      </c>
      <c r="DB240" t="str">
        <f>""</f>
        <v/>
      </c>
      <c r="DC240" t="str">
        <f>""</f>
        <v/>
      </c>
      <c r="DD240" t="str">
        <f>""</f>
        <v/>
      </c>
      <c r="DE240" t="str">
        <f>""</f>
        <v/>
      </c>
      <c r="DF240" t="str">
        <f>""</f>
        <v/>
      </c>
      <c r="DG240" t="str">
        <f>""</f>
        <v/>
      </c>
      <c r="DH240" t="str">
        <f>""</f>
        <v/>
      </c>
      <c r="DI240" t="str">
        <f>""</f>
        <v/>
      </c>
      <c r="DJ240" t="str">
        <f>""</f>
        <v/>
      </c>
      <c r="DK240" t="str">
        <f>""</f>
        <v/>
      </c>
      <c r="DL240" t="str">
        <f>""</f>
        <v/>
      </c>
      <c r="DM240" t="str">
        <f>""</f>
        <v/>
      </c>
      <c r="DN240" t="str">
        <f>""</f>
        <v/>
      </c>
      <c r="DO240" t="str">
        <f>""</f>
        <v/>
      </c>
      <c r="DP240" t="str">
        <f>""</f>
        <v/>
      </c>
      <c r="DQ240" t="str">
        <f>""</f>
        <v/>
      </c>
      <c r="DR240" t="str">
        <f>""</f>
        <v/>
      </c>
      <c r="DS240" t="str">
        <f>""</f>
        <v/>
      </c>
      <c r="DT240" t="str">
        <f>""</f>
        <v/>
      </c>
      <c r="DU240" t="str">
        <f>""</f>
        <v/>
      </c>
    </row>
    <row r="241" spans="1:125" x14ac:dyDescent="0.25">
      <c r="A241" t="str">
        <f>$A$35</f>
        <v xml:space="preserve">    Svenska Handelsbanken AB</v>
      </c>
      <c r="B241" t="str">
        <f>$B$35</f>
        <v>SHBA SS Equity</v>
      </c>
      <c r="C241" t="str">
        <f>$C$35</f>
        <v>BM105</v>
      </c>
      <c r="D241" t="str">
        <f>$D$35</f>
        <v>BS_TRADING_ASSETS</v>
      </c>
      <c r="E241" t="str">
        <f>$E$35</f>
        <v>Dynamic</v>
      </c>
      <c r="F241" t="str">
        <f ca="1">_xll.BDH($B$35,$C$35,$B$206,$B$207,CONCATENATE("Per=",$B$204),"Dts=H","Dir=H",CONCATENATE("Points=",$B$205),"Sort=R","Days=A","Fill=B",CONCATENATE("FX=", $B$203),"cols=60;rows=1")</f>
        <v/>
      </c>
      <c r="BJ241">
        <v>17606.856299999999</v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  <c r="BT241" t="str">
        <f>""</f>
        <v/>
      </c>
      <c r="BU241" t="str">
        <f>""</f>
        <v/>
      </c>
      <c r="BV241" t="str">
        <f>""</f>
        <v/>
      </c>
      <c r="BW241" t="str">
        <f>""</f>
        <v/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""</f>
        <v/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  <c r="CI241" t="str">
        <f>""</f>
        <v/>
      </c>
      <c r="CJ241" t="str">
        <f>""</f>
        <v/>
      </c>
      <c r="CK241" t="str">
        <f>""</f>
        <v/>
      </c>
      <c r="CL241" t="str">
        <f>""</f>
        <v/>
      </c>
      <c r="CM241" t="str">
        <f>""</f>
        <v/>
      </c>
      <c r="CN241" t="str">
        <f>""</f>
        <v/>
      </c>
      <c r="CO241" t="str">
        <f>""</f>
        <v/>
      </c>
      <c r="CP241" t="str">
        <f>""</f>
        <v/>
      </c>
      <c r="CQ241" t="str">
        <f>""</f>
        <v/>
      </c>
      <c r="CR241" t="str">
        <f>""</f>
        <v/>
      </c>
      <c r="CS241" t="str">
        <f>""</f>
        <v/>
      </c>
      <c r="CT241" t="str">
        <f>""</f>
        <v/>
      </c>
      <c r="CU241" t="str">
        <f>""</f>
        <v/>
      </c>
      <c r="CV241" t="str">
        <f>""</f>
        <v/>
      </c>
      <c r="CW241" t="str">
        <f>""</f>
        <v/>
      </c>
      <c r="CX241" t="str">
        <f>""</f>
        <v/>
      </c>
      <c r="CY241" t="str">
        <f>""</f>
        <v/>
      </c>
      <c r="CZ241" t="str">
        <f>""</f>
        <v/>
      </c>
      <c r="DA241" t="str">
        <f>""</f>
        <v/>
      </c>
      <c r="DB241" t="str">
        <f>""</f>
        <v/>
      </c>
      <c r="DC241" t="str">
        <f>""</f>
        <v/>
      </c>
      <c r="DD241" t="str">
        <f>""</f>
        <v/>
      </c>
      <c r="DE241" t="str">
        <f>""</f>
        <v/>
      </c>
      <c r="DF241" t="str">
        <f>""</f>
        <v/>
      </c>
      <c r="DG241" t="str">
        <f>""</f>
        <v/>
      </c>
      <c r="DH241" t="str">
        <f>""</f>
        <v/>
      </c>
      <c r="DI241" t="str">
        <f>""</f>
        <v/>
      </c>
      <c r="DJ241" t="str">
        <f>""</f>
        <v/>
      </c>
      <c r="DK241" t="str">
        <f>""</f>
        <v/>
      </c>
      <c r="DL241" t="str">
        <f>""</f>
        <v/>
      </c>
      <c r="DM241" t="str">
        <f>""</f>
        <v/>
      </c>
      <c r="DN241" t="str">
        <f>""</f>
        <v/>
      </c>
      <c r="DO241" t="str">
        <f>""</f>
        <v/>
      </c>
      <c r="DP241" t="str">
        <f>""</f>
        <v/>
      </c>
      <c r="DQ241" t="str">
        <f>""</f>
        <v/>
      </c>
      <c r="DR241" t="str">
        <f>""</f>
        <v/>
      </c>
      <c r="DS241" t="str">
        <f>""</f>
        <v/>
      </c>
      <c r="DT241" t="str">
        <f>""</f>
        <v/>
      </c>
      <c r="DU241" t="str">
        <f>""</f>
        <v/>
      </c>
    </row>
    <row r="242" spans="1:125" x14ac:dyDescent="0.25">
      <c r="A242" t="str">
        <f>$A$36</f>
        <v xml:space="preserve">    Swedbank AB</v>
      </c>
      <c r="B242" t="str">
        <f>$B$36</f>
        <v>SWEDA SS Equity</v>
      </c>
      <c r="C242" t="str">
        <f>$C$36</f>
        <v>BM105</v>
      </c>
      <c r="D242" t="str">
        <f>$D$36</f>
        <v>BS_TRADING_ASSETS</v>
      </c>
      <c r="E242" t="str">
        <f>$E$36</f>
        <v>Dynamic</v>
      </c>
      <c r="F242" t="str">
        <f ca="1">_xll.BDH($B$36,$C$36,$B$206,$B$207,CONCATENATE("Per=",$B$204),"Dts=H","Dir=H",CONCATENATE("Points=",$B$205),"Sort=R","Days=A","Fill=B",CONCATENATE("FX=", $B$203) )</f>
        <v/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  <c r="BT242" t="str">
        <f>""</f>
        <v/>
      </c>
      <c r="BU242" t="str">
        <f>""</f>
        <v/>
      </c>
      <c r="BV242" t="str">
        <f>""</f>
        <v/>
      </c>
      <c r="BW242" t="str">
        <f>""</f>
        <v/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  <c r="CI242" t="str">
        <f>""</f>
        <v/>
      </c>
      <c r="CJ242" t="str">
        <f>""</f>
        <v/>
      </c>
      <c r="CK242" t="str">
        <f>""</f>
        <v/>
      </c>
      <c r="CL242" t="str">
        <f>""</f>
        <v/>
      </c>
      <c r="CM242" t="str">
        <f>""</f>
        <v/>
      </c>
      <c r="CN242" t="str">
        <f>""</f>
        <v/>
      </c>
      <c r="CO242" t="str">
        <f>""</f>
        <v/>
      </c>
      <c r="CP242" t="str">
        <f>""</f>
        <v/>
      </c>
      <c r="CQ242" t="str">
        <f>""</f>
        <v/>
      </c>
      <c r="CR242" t="str">
        <f>""</f>
        <v/>
      </c>
      <c r="CS242" t="str">
        <f>""</f>
        <v/>
      </c>
      <c r="CT242" t="str">
        <f>""</f>
        <v/>
      </c>
      <c r="CU242" t="str">
        <f>""</f>
        <v/>
      </c>
      <c r="CV242" t="str">
        <f>""</f>
        <v/>
      </c>
      <c r="CW242" t="str">
        <f>""</f>
        <v/>
      </c>
      <c r="CX242" t="str">
        <f>""</f>
        <v/>
      </c>
      <c r="CY242" t="str">
        <f>""</f>
        <v/>
      </c>
      <c r="CZ242" t="str">
        <f>""</f>
        <v/>
      </c>
      <c r="DA242" t="str">
        <f>""</f>
        <v/>
      </c>
      <c r="DB242" t="str">
        <f>""</f>
        <v/>
      </c>
      <c r="DC242" t="str">
        <f>""</f>
        <v/>
      </c>
      <c r="DD242" t="str">
        <f>""</f>
        <v/>
      </c>
      <c r="DE242" t="str">
        <f>""</f>
        <v/>
      </c>
      <c r="DF242" t="str">
        <f>""</f>
        <v/>
      </c>
      <c r="DG242" t="str">
        <f>""</f>
        <v/>
      </c>
      <c r="DH242" t="str">
        <f>""</f>
        <v/>
      </c>
      <c r="DI242" t="str">
        <f>""</f>
        <v/>
      </c>
      <c r="DJ242" t="str">
        <f>""</f>
        <v/>
      </c>
      <c r="DK242" t="str">
        <f>""</f>
        <v/>
      </c>
      <c r="DL242" t="str">
        <f>""</f>
        <v/>
      </c>
      <c r="DM242" t="str">
        <f>""</f>
        <v/>
      </c>
      <c r="DN242" t="str">
        <f>""</f>
        <v/>
      </c>
      <c r="DO242" t="str">
        <f>""</f>
        <v/>
      </c>
      <c r="DP242" t="str">
        <f>""</f>
        <v/>
      </c>
      <c r="DQ242" t="str">
        <f>""</f>
        <v/>
      </c>
      <c r="DR242" t="str">
        <f>""</f>
        <v/>
      </c>
      <c r="DS242" t="str">
        <f>""</f>
        <v/>
      </c>
      <c r="DT242" t="str">
        <f>""</f>
        <v/>
      </c>
      <c r="DU242" t="str">
        <f>""</f>
        <v/>
      </c>
    </row>
    <row r="243" spans="1:125" x14ac:dyDescent="0.25">
      <c r="A243" t="str">
        <f>$A$37</f>
        <v xml:space="preserve">    Societe Generale SA</v>
      </c>
      <c r="B243" t="str">
        <f>$B$37</f>
        <v>GLE FP Equity</v>
      </c>
      <c r="C243" t="str">
        <f>$C$37</f>
        <v>BM105</v>
      </c>
      <c r="D243" t="str">
        <f>$D$37</f>
        <v>BS_TRADING_ASSETS</v>
      </c>
      <c r="E243" t="str">
        <f>$E$37</f>
        <v>Dynamic</v>
      </c>
      <c r="F243">
        <f ca="1">_xll.BDH($B$37,$C$37,$B$206,$B$207,CONCATENATE("Per=",$B$204),"Dts=H","Dir=H",CONCATENATE("Points=",$B$205),"Sort=R","Days=A","Fill=B",CONCATENATE("FX=", $B$203),"cols=60;rows=1")</f>
        <v>526048</v>
      </c>
      <c r="G243">
        <v>528259</v>
      </c>
      <c r="H243">
        <v>530826</v>
      </c>
      <c r="I243">
        <v>531406</v>
      </c>
      <c r="J243">
        <v>495882</v>
      </c>
      <c r="K243">
        <v>490511</v>
      </c>
      <c r="L243">
        <v>496362</v>
      </c>
      <c r="M243">
        <v>494709</v>
      </c>
      <c r="N243">
        <v>427151</v>
      </c>
      <c r="O243">
        <v>396846</v>
      </c>
      <c r="P243">
        <v>380165</v>
      </c>
      <c r="Q243">
        <v>419946</v>
      </c>
      <c r="R243">
        <v>342714</v>
      </c>
      <c r="S243">
        <v>436594</v>
      </c>
      <c r="T243">
        <v>440774</v>
      </c>
      <c r="U243">
        <v>445009</v>
      </c>
      <c r="V243">
        <v>429458</v>
      </c>
      <c r="W243">
        <v>435295</v>
      </c>
      <c r="X243">
        <v>419147</v>
      </c>
      <c r="Y243">
        <v>464642</v>
      </c>
      <c r="Z243">
        <v>385739</v>
      </c>
      <c r="AA243">
        <v>434042</v>
      </c>
      <c r="AB243">
        <v>420968</v>
      </c>
      <c r="AC243">
        <v>406414</v>
      </c>
      <c r="AD243">
        <v>365550</v>
      </c>
      <c r="AE243">
        <v>373844</v>
      </c>
      <c r="AF243">
        <v>382656</v>
      </c>
      <c r="AG243">
        <v>367600</v>
      </c>
      <c r="AH243">
        <v>419680</v>
      </c>
      <c r="AI243">
        <v>490100</v>
      </c>
      <c r="AJ243">
        <v>484746</v>
      </c>
      <c r="AK243">
        <v>514900</v>
      </c>
      <c r="AL243">
        <v>514715</v>
      </c>
      <c r="AM243">
        <v>542300</v>
      </c>
      <c r="AN243">
        <v>560281</v>
      </c>
      <c r="AO243">
        <v>534200</v>
      </c>
      <c r="AP243">
        <v>519600</v>
      </c>
      <c r="AQ243">
        <v>513900</v>
      </c>
      <c r="AR243">
        <v>527964</v>
      </c>
      <c r="AS243">
        <v>595900</v>
      </c>
      <c r="AT243">
        <v>530536</v>
      </c>
      <c r="AU243">
        <v>514000</v>
      </c>
      <c r="AV243">
        <v>563826</v>
      </c>
      <c r="AW243">
        <v>544600</v>
      </c>
      <c r="AX243">
        <v>479112</v>
      </c>
      <c r="AY243">
        <v>498400</v>
      </c>
      <c r="AZ243">
        <v>482359</v>
      </c>
      <c r="BA243">
        <v>479300</v>
      </c>
      <c r="BB243">
        <v>484026</v>
      </c>
      <c r="BC243">
        <v>477800</v>
      </c>
      <c r="BD243">
        <v>472254</v>
      </c>
      <c r="BE243">
        <v>445900</v>
      </c>
      <c r="BF243">
        <v>422494</v>
      </c>
      <c r="BG243">
        <v>475100</v>
      </c>
      <c r="BH243">
        <v>430974</v>
      </c>
      <c r="BI243">
        <v>440300</v>
      </c>
      <c r="BJ243">
        <v>455160</v>
      </c>
      <c r="BK243">
        <v>481800</v>
      </c>
      <c r="BL243">
        <v>460526</v>
      </c>
      <c r="BM243">
        <v>458600</v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 x14ac:dyDescent="0.25">
      <c r="A244" t="str">
        <f>$A$38</f>
        <v xml:space="preserve">    Standard Chartered PLC</v>
      </c>
      <c r="B244" t="str">
        <f>$B$38</f>
        <v>STAN LN Equity</v>
      </c>
      <c r="C244" t="str">
        <f>$C$38</f>
        <v>BM105</v>
      </c>
      <c r="D244" t="str">
        <f>$D$38</f>
        <v>BS_TRADING_ASSETS</v>
      </c>
      <c r="E244" t="str">
        <f>$E$38</f>
        <v>Dynamic</v>
      </c>
      <c r="F244" t="str">
        <f ca="1">_xll.BDH($B$38,$C$38,$B$206,$B$207,CONCATENATE("Per=",$B$204),"Dts=H","Dir=H",CONCATENATE("Points=",$B$205),"Sort=R","Days=A","Fill=B",CONCATENATE("FX=", $B$203) )</f>
        <v/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 x14ac:dyDescent="0.25">
      <c r="A245" t="str">
        <f>$A$39</f>
        <v xml:space="preserve">    UBS Group AG</v>
      </c>
      <c r="B245" t="str">
        <f>$B$39</f>
        <v>UBSG SW Equity</v>
      </c>
      <c r="C245" t="str">
        <f>$C$39</f>
        <v>BM105</v>
      </c>
      <c r="D245" t="str">
        <f>$D$39</f>
        <v>BS_TRADING_ASSETS</v>
      </c>
      <c r="E245" t="str">
        <f>$E$39</f>
        <v>Dynamic</v>
      </c>
      <c r="F245">
        <f ca="1">_xll.BDH($B$39,$C$39,$B$206,$B$207,CONCATENATE("Per=",$B$204),"Dts=H","Dir=H",CONCATENATE("Points=",$B$205),"Sort=R","Days=A","Fill=B",CONCATENATE("FX=", $B$203),"cols=60;rows=1")</f>
        <v>153035.405</v>
      </c>
      <c r="G245">
        <v>154272.51519999999</v>
      </c>
      <c r="H245">
        <v>151199.1415</v>
      </c>
      <c r="I245">
        <v>148299.3701</v>
      </c>
      <c r="J245">
        <v>153319.7758</v>
      </c>
      <c r="K245">
        <v>135080.35550000001</v>
      </c>
      <c r="L245">
        <v>138393.47870000001</v>
      </c>
      <c r="M245">
        <v>108342.0738</v>
      </c>
      <c r="N245">
        <v>100705.8165</v>
      </c>
      <c r="O245">
        <v>86398.365699999995</v>
      </c>
      <c r="P245">
        <v>94922.255099999995</v>
      </c>
      <c r="Q245">
        <v>103540.8771</v>
      </c>
      <c r="R245">
        <v>115617.3221</v>
      </c>
      <c r="S245">
        <v>108435.7445</v>
      </c>
      <c r="T245">
        <v>103369.0607</v>
      </c>
      <c r="U245">
        <v>102617.8723</v>
      </c>
      <c r="V245">
        <v>102040.0358</v>
      </c>
      <c r="W245">
        <v>92269.237299999993</v>
      </c>
      <c r="X245">
        <v>87206.261700000003</v>
      </c>
      <c r="Y245">
        <v>82481.086500000005</v>
      </c>
      <c r="Z245">
        <v>113740.07670000001</v>
      </c>
      <c r="AA245">
        <v>106245.98729999999</v>
      </c>
      <c r="AB245">
        <v>105795.4045</v>
      </c>
      <c r="AC245">
        <v>97661.527499999997</v>
      </c>
      <c r="AD245">
        <v>91224.543300000005</v>
      </c>
      <c r="AE245">
        <v>104049.4231</v>
      </c>
      <c r="AF245">
        <v>96018.669200000004</v>
      </c>
      <c r="AG245">
        <v>85879.098499999993</v>
      </c>
      <c r="AH245">
        <v>119031.7751</v>
      </c>
      <c r="AI245">
        <v>110913.32709999999</v>
      </c>
      <c r="AJ245">
        <v>107544.0287</v>
      </c>
      <c r="AK245">
        <v>117542.83779999999</v>
      </c>
      <c r="AL245">
        <v>104103.0466</v>
      </c>
      <c r="AM245">
        <v>113357.47930000001</v>
      </c>
      <c r="AN245">
        <v>120669.2932</v>
      </c>
      <c r="AO245">
        <v>126184.3308</v>
      </c>
      <c r="AP245">
        <v>138511.87150000001</v>
      </c>
      <c r="AQ245">
        <v>142867.86499999999</v>
      </c>
      <c r="AR245">
        <v>149722.65</v>
      </c>
      <c r="AS245">
        <v>153068.19</v>
      </c>
      <c r="AT245">
        <v>134907.19149999999</v>
      </c>
      <c r="AU245">
        <v>129745.55499999999</v>
      </c>
      <c r="AV245">
        <v>134370.5852</v>
      </c>
      <c r="AW245">
        <v>127914.4379</v>
      </c>
      <c r="AX245">
        <v>122754.84789999999</v>
      </c>
      <c r="AY245">
        <v>128865.2254</v>
      </c>
      <c r="AZ245">
        <v>127522.44070000001</v>
      </c>
      <c r="BA245">
        <v>148957.13080000001</v>
      </c>
      <c r="BB245">
        <v>133007.93280000001</v>
      </c>
      <c r="BC245">
        <v>197912.9895</v>
      </c>
      <c r="BD245">
        <v>192680.63370000001</v>
      </c>
      <c r="BE245">
        <v>197468.52299999999</v>
      </c>
      <c r="BF245">
        <v>197515.08189999999</v>
      </c>
      <c r="BG245">
        <v>213361.432</v>
      </c>
      <c r="BH245">
        <v>231832.0889</v>
      </c>
      <c r="BI245">
        <v>228962.19699999999</v>
      </c>
      <c r="BJ245">
        <v>184140.5698</v>
      </c>
      <c r="BK245">
        <v>237310.39780000001</v>
      </c>
      <c r="BL245">
        <v>223714.7</v>
      </c>
      <c r="BM245">
        <v>205535.82810000001</v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 x14ac:dyDescent="0.25">
      <c r="A246" t="str">
        <f>$A$40</f>
        <v xml:space="preserve">    UniCredit SpA</v>
      </c>
      <c r="B246" t="str">
        <f>$B$40</f>
        <v>UCG IM Equity</v>
      </c>
      <c r="C246" t="str">
        <f>$C$40</f>
        <v>BM105</v>
      </c>
      <c r="D246" t="str">
        <f>$D$40</f>
        <v>BS_TRADING_ASSETS</v>
      </c>
      <c r="E246" t="str">
        <f>$E$40</f>
        <v>Dynamic</v>
      </c>
      <c r="F246">
        <f ca="1">_xll.BDH($B$40,$C$40,$B$206,$B$207,CONCATENATE("Per=",$B$204),"Dts=H","Dir=H",CONCATENATE("Points=",$B$205),"Sort=R","Days=A","Fill=B",CONCATENATE("FX=", $B$203),"cols=60;rows=1")</f>
        <v>55083</v>
      </c>
      <c r="G246">
        <v>58286</v>
      </c>
      <c r="H246">
        <v>55674</v>
      </c>
      <c r="I246">
        <v>55472</v>
      </c>
      <c r="J246">
        <v>57274</v>
      </c>
      <c r="K246">
        <v>62938</v>
      </c>
      <c r="L246">
        <v>66942</v>
      </c>
      <c r="M246">
        <v>62293</v>
      </c>
      <c r="N246">
        <v>64443</v>
      </c>
      <c r="O246">
        <v>79136</v>
      </c>
      <c r="P246">
        <v>74668</v>
      </c>
      <c r="Q246">
        <v>76144</v>
      </c>
      <c r="R246">
        <v>80109</v>
      </c>
      <c r="S246">
        <v>80545</v>
      </c>
      <c r="T246">
        <v>78991</v>
      </c>
      <c r="U246">
        <v>73925</v>
      </c>
      <c r="V246">
        <v>72705</v>
      </c>
      <c r="W246">
        <v>73165</v>
      </c>
      <c r="X246">
        <v>67236</v>
      </c>
      <c r="Y246">
        <v>69756</v>
      </c>
      <c r="Z246">
        <v>63280</v>
      </c>
      <c r="AA246">
        <v>74871</v>
      </c>
      <c r="AB246">
        <v>67344</v>
      </c>
      <c r="AC246">
        <v>67135</v>
      </c>
      <c r="AD246">
        <v>65231</v>
      </c>
      <c r="AE246">
        <v>81258</v>
      </c>
      <c r="AF246">
        <v>83261.558999999994</v>
      </c>
      <c r="AG246">
        <v>80324</v>
      </c>
      <c r="AH246">
        <v>74685.89</v>
      </c>
      <c r="AI246">
        <v>81493</v>
      </c>
      <c r="AJ246">
        <v>79529.274999999994</v>
      </c>
      <c r="AK246">
        <v>86191</v>
      </c>
      <c r="AL246">
        <v>87466.838000000003</v>
      </c>
      <c r="AM246">
        <v>93433</v>
      </c>
      <c r="AN246">
        <v>105074.558</v>
      </c>
      <c r="AO246">
        <v>97239</v>
      </c>
      <c r="AP246">
        <v>89994.911999999997</v>
      </c>
      <c r="AQ246">
        <v>90306</v>
      </c>
      <c r="AR246">
        <v>97625.888000000006</v>
      </c>
      <c r="AS246">
        <v>113249</v>
      </c>
      <c r="AT246">
        <v>101225.546</v>
      </c>
      <c r="AU246">
        <v>93026</v>
      </c>
      <c r="AV246">
        <v>84079.335999999996</v>
      </c>
      <c r="AW246">
        <v>79368</v>
      </c>
      <c r="AX246">
        <v>80700.678</v>
      </c>
      <c r="AY246">
        <v>87802</v>
      </c>
      <c r="AZ246">
        <v>93771.944000000003</v>
      </c>
      <c r="BA246">
        <v>98593</v>
      </c>
      <c r="BB246">
        <v>107118.564</v>
      </c>
      <c r="BC246">
        <v>112902</v>
      </c>
      <c r="BD246">
        <v>126174.77</v>
      </c>
      <c r="BE246">
        <v>119109</v>
      </c>
      <c r="BF246">
        <v>130985.409</v>
      </c>
      <c r="BG246">
        <v>140008</v>
      </c>
      <c r="BH246">
        <v>107202.94899999999</v>
      </c>
      <c r="BI246">
        <v>106400</v>
      </c>
      <c r="BJ246">
        <v>122551.402</v>
      </c>
      <c r="BK246">
        <v>156983</v>
      </c>
      <c r="BL246">
        <v>152099.80900000001</v>
      </c>
      <c r="BM246">
        <v>138495</v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 x14ac:dyDescent="0.25">
      <c r="A247" t="str">
        <f>$A$42</f>
        <v xml:space="preserve">    ABN AMRO Bank NV</v>
      </c>
      <c r="B247" t="str">
        <f>$B$42</f>
        <v>ABN NA Equity</v>
      </c>
      <c r="C247" t="str">
        <f>$C$42</f>
        <v>BM109</v>
      </c>
      <c r="D247" t="str">
        <f>$D$42</f>
        <v>BS_TRADING_SECURITIES_DERIVS</v>
      </c>
      <c r="E247" t="str">
        <f>$E$42</f>
        <v>Dynamic</v>
      </c>
      <c r="F247">
        <f ca="1">_xll.BDH($B$42,$C$42,$B$206,$B$207,CONCATENATE("Per=",$B$204),"Dts=H","Dir=H",CONCATENATE("Points=",$B$205),"Sort=R","Days=A","Fill=B",CONCATENATE("FX=", $B$203),"cols=60;rows=1")</f>
        <v>3886</v>
      </c>
      <c r="H247">
        <v>4218</v>
      </c>
      <c r="J247">
        <v>4034</v>
      </c>
      <c r="L247">
        <v>4768</v>
      </c>
      <c r="N247">
        <v>4831</v>
      </c>
      <c r="P247">
        <v>4516</v>
      </c>
      <c r="R247">
        <v>2975</v>
      </c>
      <c r="T247">
        <v>3880</v>
      </c>
      <c r="V247">
        <v>5040</v>
      </c>
      <c r="X247">
        <v>5921</v>
      </c>
      <c r="Z247">
        <v>4499</v>
      </c>
      <c r="AB247">
        <v>5232</v>
      </c>
      <c r="AD247">
        <v>4839</v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 x14ac:dyDescent="0.25">
      <c r="A248" t="str">
        <f>$A$43</f>
        <v xml:space="preserve">    AIB Group PLC</v>
      </c>
      <c r="B248" t="str">
        <f>$B$43</f>
        <v>AIBG ID Equity</v>
      </c>
      <c r="C248" t="str">
        <f>$C$43</f>
        <v>BM109</v>
      </c>
      <c r="D248" t="str">
        <f>$D$43</f>
        <v>BS_TRADING_SECURITIES_DERIVS</v>
      </c>
      <c r="E248" t="str">
        <f>$E$43</f>
        <v>Dynamic</v>
      </c>
      <c r="F248" t="str">
        <f ca="1">_xll.BDH($B$43,$C$43,$B$206,$B$207,CONCATENATE("Per=",$B$204),"Dts=H","Dir=H",CONCATENATE("Points=",$B$205),"Sort=R","Days=A","Fill=B",CONCATENATE("FX=", $B$203) )</f>
        <v/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 x14ac:dyDescent="0.25">
      <c r="A249" t="str">
        <f>$A$44</f>
        <v xml:space="preserve">    Banco de Sabadell SA</v>
      </c>
      <c r="B249" t="str">
        <f>$B$44</f>
        <v>SAB SM Equity</v>
      </c>
      <c r="C249" t="str">
        <f>$C$44</f>
        <v>BM109</v>
      </c>
      <c r="D249" t="str">
        <f>$D$44</f>
        <v>BS_TRADING_SECURITIES_DERIVS</v>
      </c>
      <c r="E249" t="str">
        <f>$E$44</f>
        <v>Dynamic</v>
      </c>
      <c r="F249">
        <f ca="1">_xll.BDH($B$44,$C$44,$B$206,$B$207,CONCATENATE("Per=",$B$204),"Dts=H","Dir=H",CONCATENATE("Points=",$B$205),"Sort=R","Days=A","Fill=B",CONCATENATE("FX=", $B$203),"cols=60;rows=1")</f>
        <v>2017.999</v>
      </c>
      <c r="J249">
        <v>2563.9940000000001</v>
      </c>
      <c r="L249">
        <v>3505.1329999999998</v>
      </c>
      <c r="N249">
        <v>3600.1219999999998</v>
      </c>
      <c r="P249">
        <v>2628.3609999999999</v>
      </c>
      <c r="R249">
        <v>1378.998</v>
      </c>
      <c r="T249">
        <v>1720.079</v>
      </c>
      <c r="V249">
        <v>2364.5949999999998</v>
      </c>
      <c r="X249">
        <v>2607.569</v>
      </c>
      <c r="Z249">
        <v>1840.2449999999999</v>
      </c>
      <c r="AB249">
        <v>1950.7049999999999</v>
      </c>
      <c r="AD249">
        <v>1720.2739999999999</v>
      </c>
      <c r="AF249">
        <v>1842.021</v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 x14ac:dyDescent="0.25">
      <c r="A250" t="str">
        <f>$A$45</f>
        <v xml:space="preserve">    Banco Santander SA</v>
      </c>
      <c r="B250" t="str">
        <f>$B$45</f>
        <v>SAN SM Equity</v>
      </c>
      <c r="C250" t="str">
        <f>$C$45</f>
        <v>BM109</v>
      </c>
      <c r="D250" t="str">
        <f>$D$45</f>
        <v>BS_TRADING_SECURITIES_DERIVS</v>
      </c>
      <c r="E250" t="str">
        <f>$E$45</f>
        <v>Dynamic</v>
      </c>
      <c r="F250" t="str">
        <f ca="1">_xll.BDH($B$45,$C$45,$B$206,$B$207,CONCATENATE("Per=",$B$204),"Dts=H","Dir=H",CONCATENATE("Points=",$B$205),"Sort=R","Days=A","Fill=B",CONCATENATE("FX=", $B$203),"cols=60;rows=1")</f>
        <v/>
      </c>
      <c r="Z250">
        <v>63397</v>
      </c>
      <c r="AA250">
        <v>68673</v>
      </c>
      <c r="AB250">
        <v>57798</v>
      </c>
      <c r="AC250">
        <v>56207</v>
      </c>
      <c r="AD250">
        <v>55939</v>
      </c>
      <c r="AE250">
        <v>52677</v>
      </c>
      <c r="AF250">
        <v>55997</v>
      </c>
      <c r="AH250">
        <v>57243</v>
      </c>
      <c r="AI250">
        <v>56913</v>
      </c>
      <c r="AJ250">
        <v>58210</v>
      </c>
      <c r="AL250">
        <v>72043</v>
      </c>
      <c r="AM250">
        <v>83756</v>
      </c>
      <c r="AN250">
        <v>87275</v>
      </c>
      <c r="AO250">
        <v>76643</v>
      </c>
      <c r="AP250">
        <v>76724</v>
      </c>
      <c r="AQ250">
        <v>80425</v>
      </c>
      <c r="AR250">
        <v>72557</v>
      </c>
      <c r="AS250">
        <v>89305</v>
      </c>
      <c r="AT250">
        <v>76858</v>
      </c>
      <c r="AU250">
        <v>71533</v>
      </c>
      <c r="AV250">
        <v>64335</v>
      </c>
      <c r="AW250">
        <v>60252</v>
      </c>
      <c r="AX250">
        <v>58899</v>
      </c>
      <c r="AY250">
        <v>79669</v>
      </c>
      <c r="AZ250">
        <v>91437</v>
      </c>
      <c r="BA250">
        <v>105391</v>
      </c>
      <c r="BB250">
        <v>110319</v>
      </c>
      <c r="BC250">
        <v>122472</v>
      </c>
      <c r="BD250">
        <v>112303</v>
      </c>
      <c r="BF250">
        <v>102498</v>
      </c>
      <c r="BH250">
        <v>68494</v>
      </c>
      <c r="BI250">
        <v>62509</v>
      </c>
      <c r="BJ250">
        <v>73068.769</v>
      </c>
      <c r="BL250">
        <v>85357</v>
      </c>
      <c r="BM250">
        <v>71637</v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 x14ac:dyDescent="0.25">
      <c r="A251" t="str">
        <f>$A$46</f>
        <v xml:space="preserve">    Barclays PLC</v>
      </c>
      <c r="B251" t="str">
        <f>$B$46</f>
        <v>BARC LN Equity</v>
      </c>
      <c r="C251" t="str">
        <f>$C$46</f>
        <v>BM109</v>
      </c>
      <c r="D251" t="str">
        <f>$D$46</f>
        <v>BS_TRADING_SECURITIES_DERIVS</v>
      </c>
      <c r="E251" t="str">
        <f>$E$46</f>
        <v>Dynamic</v>
      </c>
      <c r="F251">
        <f ca="1">_xll.BDH($B$46,$C$46,$B$206,$B$207,CONCATENATE("Per=",$B$204),"Dts=H","Dir=H",CONCATENATE("Points=",$B$205),"Sort=R","Days=A","Fill=B",CONCATENATE("FX=", $B$203),"cols=60;rows=1")</f>
        <v>352006.60249999998</v>
      </c>
      <c r="H251">
        <v>295814.07</v>
      </c>
      <c r="J251">
        <v>293746.25890000002</v>
      </c>
      <c r="L251">
        <v>308219.1618</v>
      </c>
      <c r="N251">
        <v>340708.18839999998</v>
      </c>
      <c r="P251">
        <v>399622.35359999997</v>
      </c>
      <c r="R251">
        <v>311067.25189999997</v>
      </c>
      <c r="T251">
        <v>297797.6876</v>
      </c>
      <c r="V251">
        <v>337093.15990000003</v>
      </c>
      <c r="Z251">
        <v>270555.04220000003</v>
      </c>
      <c r="AD251">
        <v>247511.91620000001</v>
      </c>
      <c r="AH251">
        <v>267177.18320000003</v>
      </c>
      <c r="AL251">
        <v>404544.25709999999</v>
      </c>
      <c r="AP251">
        <v>443093.93040000001</v>
      </c>
      <c r="BD251">
        <v>635533.16229999997</v>
      </c>
      <c r="BF251">
        <v>640591.10759999999</v>
      </c>
      <c r="BH251">
        <v>418344.37410000002</v>
      </c>
      <c r="BJ251">
        <v>488266.82069999998</v>
      </c>
      <c r="BL251">
        <v>614816.08279999997</v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 x14ac:dyDescent="0.25">
      <c r="A252" t="str">
        <f>$A$47</f>
        <v xml:space="preserve">    BAWAG Group AG</v>
      </c>
      <c r="B252" t="str">
        <f>$B$47</f>
        <v>BG AV Equity</v>
      </c>
      <c r="C252" t="str">
        <f>$C$47</f>
        <v>BM109</v>
      </c>
      <c r="D252" t="str">
        <f>$D$47</f>
        <v>BS_TRADING_SECURITIES_DERIVS</v>
      </c>
      <c r="E252" t="str">
        <f>$E$47</f>
        <v>Dynamic</v>
      </c>
      <c r="F252" t="str">
        <f ca="1">_xll.BDH($B$47,$C$47,$B$206,$B$207,CONCATENATE("Per=",$B$204),"Dts=H","Dir=H",CONCATENATE("Points=",$B$205),"Sort=R","Days=A","Fill=B",CONCATENATE("FX=", $B$203),"cols=60;rows=1")</f>
        <v/>
      </c>
      <c r="H252">
        <v>58</v>
      </c>
      <c r="N252">
        <v>156</v>
      </c>
      <c r="AB252">
        <v>494</v>
      </c>
      <c r="AF252">
        <v>440</v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 x14ac:dyDescent="0.25">
      <c r="A253" t="str">
        <f>$A$48</f>
        <v xml:space="preserve">    BNP Paribas SA</v>
      </c>
      <c r="B253" t="str">
        <f>$B$48</f>
        <v>BNP FP Equity</v>
      </c>
      <c r="C253" t="str">
        <f>$C$48</f>
        <v>BM109</v>
      </c>
      <c r="D253" t="str">
        <f>$D$48</f>
        <v>BS_TRADING_SECURITIES_DERIVS</v>
      </c>
      <c r="E253" t="str">
        <f>$E$48</f>
        <v>Dynamic</v>
      </c>
      <c r="F253">
        <f ca="1">_xll.BDH($B$48,$C$48,$B$206,$B$207,CONCATENATE("Per=",$B$204),"Dts=H","Dir=H",CONCATENATE("Points=",$B$205),"Sort=R","Days=A","Fill=B",CONCATENATE("FX=", $B$203),"cols=60;rows=1")</f>
        <v>322631</v>
      </c>
      <c r="G253">
        <v>282380</v>
      </c>
      <c r="H253">
        <v>278668</v>
      </c>
      <c r="I253">
        <v>282436</v>
      </c>
      <c r="J253">
        <v>292079</v>
      </c>
      <c r="K253">
        <v>332004</v>
      </c>
      <c r="L253">
        <v>312894</v>
      </c>
      <c r="M253">
        <v>278949</v>
      </c>
      <c r="N253">
        <v>327932</v>
      </c>
      <c r="O253">
        <v>458962</v>
      </c>
      <c r="P253">
        <v>354070</v>
      </c>
      <c r="Q253">
        <v>283413</v>
      </c>
      <c r="R253">
        <v>240423</v>
      </c>
      <c r="S253">
        <v>244187</v>
      </c>
      <c r="T253">
        <v>237889</v>
      </c>
      <c r="U253">
        <v>254337</v>
      </c>
      <c r="V253">
        <v>276779</v>
      </c>
      <c r="W253">
        <v>272013</v>
      </c>
      <c r="X253">
        <v>292798</v>
      </c>
      <c r="Y253">
        <v>369561</v>
      </c>
      <c r="Z253">
        <v>247287</v>
      </c>
      <c r="AA253">
        <v>297716</v>
      </c>
      <c r="AB253">
        <v>256250</v>
      </c>
      <c r="AC253">
        <v>237779</v>
      </c>
      <c r="AD253">
        <v>232895</v>
      </c>
      <c r="AE253">
        <v>241176</v>
      </c>
      <c r="AF253">
        <v>240778</v>
      </c>
      <c r="AG253">
        <v>226162</v>
      </c>
      <c r="AH253">
        <v>229896</v>
      </c>
      <c r="AI253">
        <v>241399</v>
      </c>
      <c r="AJ253">
        <v>253559</v>
      </c>
      <c r="AK253">
        <v>272369</v>
      </c>
      <c r="AL253">
        <v>328162</v>
      </c>
      <c r="AM253">
        <v>334356</v>
      </c>
      <c r="AN253">
        <v>383444</v>
      </c>
      <c r="AO253">
        <v>363226</v>
      </c>
      <c r="AP253">
        <v>336624</v>
      </c>
      <c r="AR253">
        <v>359092</v>
      </c>
      <c r="AT253">
        <v>412498</v>
      </c>
      <c r="AV253">
        <v>303388</v>
      </c>
      <c r="AX253">
        <v>305643</v>
      </c>
      <c r="BB253">
        <v>410635</v>
      </c>
      <c r="BF253">
        <v>451967</v>
      </c>
      <c r="BJ253">
        <v>347783</v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 x14ac:dyDescent="0.25">
      <c r="A254" t="str">
        <f>$A$49</f>
        <v xml:space="preserve">    Banco BPM SpA</v>
      </c>
      <c r="B254" t="str">
        <f>$B$49</f>
        <v>BAMI IM Equity</v>
      </c>
      <c r="C254" t="str">
        <f>$C$49</f>
        <v>BM109</v>
      </c>
      <c r="D254" t="str">
        <f>$D$49</f>
        <v>BS_TRADING_SECURITIES_DERIVS</v>
      </c>
      <c r="E254" t="str">
        <f>$E$49</f>
        <v>Dynamic</v>
      </c>
      <c r="F254" t="str">
        <f ca="1">_xll.BDH($B$49,$C$49,$B$206,$B$207,CONCATENATE("Per=",$B$204),"Dts=H","Dir=H",CONCATENATE("Points=",$B$205),"Sort=R","Days=A","Fill=B",CONCATENATE("FX=", $B$203),"cols=60;rows=1")</f>
        <v/>
      </c>
      <c r="H254">
        <v>1839.6369999999999</v>
      </c>
      <c r="J254">
        <v>1892.8140000000001</v>
      </c>
      <c r="L254">
        <v>2307.7109999999998</v>
      </c>
      <c r="N254">
        <v>2724.0030000000002</v>
      </c>
      <c r="P254">
        <v>3587.4070000000002</v>
      </c>
      <c r="R254">
        <v>1995.454</v>
      </c>
      <c r="T254">
        <v>1798.627</v>
      </c>
      <c r="V254">
        <v>2586.585</v>
      </c>
      <c r="X254">
        <v>1920.779</v>
      </c>
      <c r="Z254">
        <v>1959.7090000000001</v>
      </c>
      <c r="AB254">
        <v>1797.91</v>
      </c>
      <c r="AD254">
        <v>1738.2819999999999</v>
      </c>
      <c r="AF254">
        <v>2067.1219999999998</v>
      </c>
      <c r="AH254">
        <v>1905.248</v>
      </c>
      <c r="AL254">
        <v>1578.883</v>
      </c>
      <c r="AP254">
        <v>2345.6469999999999</v>
      </c>
      <c r="AT254">
        <v>2983.0239999999999</v>
      </c>
      <c r="AX254">
        <v>3267.0729999999999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 x14ac:dyDescent="0.25">
      <c r="A255" t="str">
        <f>$A$50</f>
        <v xml:space="preserve">    Banco Bilbao Vizcaya Argentaria SA</v>
      </c>
      <c r="B255" t="str">
        <f>$B$50</f>
        <v>BBVA SM Equity</v>
      </c>
      <c r="C255" t="str">
        <f>$C$50</f>
        <v>BM109</v>
      </c>
      <c r="D255" t="str">
        <f>$D$50</f>
        <v>BS_TRADING_SECURITIES_DERIVS</v>
      </c>
      <c r="E255" t="str">
        <f>$E$50</f>
        <v>Dynamic</v>
      </c>
      <c r="F255">
        <f ca="1">_xll.BDH($B$50,$C$50,$B$206,$B$207,CONCATENATE("Per=",$B$204),"Dts=H","Dir=H",CONCATENATE("Points=",$B$205),"Sort=R","Days=A","Fill=B",CONCATENATE("FX=", $B$203),"cols=60;rows=1")</f>
        <v>36003</v>
      </c>
      <c r="H255">
        <v>33183</v>
      </c>
      <c r="J255">
        <v>34293</v>
      </c>
      <c r="L255">
        <v>39346</v>
      </c>
      <c r="N255">
        <v>39908</v>
      </c>
      <c r="R255">
        <v>30933</v>
      </c>
      <c r="V255">
        <v>40182</v>
      </c>
      <c r="Z255">
        <v>32232</v>
      </c>
      <c r="AD255">
        <v>30536</v>
      </c>
      <c r="AH255">
        <v>35265</v>
      </c>
      <c r="AL255">
        <v>42955</v>
      </c>
      <c r="AP255">
        <v>40902</v>
      </c>
      <c r="AT255">
        <v>44229</v>
      </c>
      <c r="AX255">
        <v>37638</v>
      </c>
      <c r="BB255">
        <v>48650</v>
      </c>
      <c r="BF255">
        <v>47429</v>
      </c>
      <c r="BJ255">
        <v>33665</v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 x14ac:dyDescent="0.25">
      <c r="A256" t="str">
        <f>$A$51</f>
        <v xml:space="preserve">    Bank of Ireland Group PLC</v>
      </c>
      <c r="B256" t="str">
        <f>$B$51</f>
        <v>BIRG ID Equity</v>
      </c>
      <c r="C256" t="str">
        <f>$C$51</f>
        <v>BM109</v>
      </c>
      <c r="D256" t="str">
        <f>$D$51</f>
        <v>BS_TRADING_SECURITIES_DERIVS</v>
      </c>
      <c r="E256" t="str">
        <f>$E$51</f>
        <v>Dynamic</v>
      </c>
      <c r="F256" t="str">
        <f ca="1">_xll.BDH($B$51,$C$51,$B$206,$B$207,CONCATENATE("Per=",$B$204),"Dts=H","Dir=H",CONCATENATE("Points=",$B$205),"Sort=R","Days=A","Fill=B",CONCATENATE("FX=", $B$203) )</f>
        <v/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 x14ac:dyDescent="0.25">
      <c r="A257" t="str">
        <f>$A$52</f>
        <v xml:space="preserve">    Bankinter SA</v>
      </c>
      <c r="B257" t="str">
        <f>$B$52</f>
        <v>BKT SM Equity</v>
      </c>
      <c r="C257" t="str">
        <f>$C$52</f>
        <v>BM109</v>
      </c>
      <c r="D257" t="str">
        <f>$D$52</f>
        <v>BS_TRADING_SECURITIES_DERIVS</v>
      </c>
      <c r="E257" t="str">
        <f>$E$52</f>
        <v>Dynamic</v>
      </c>
      <c r="F257" t="str">
        <f ca="1">_xll.BDH($B$52,$C$52,$B$206,$B$207,CONCATENATE("Per=",$B$204),"Dts=H","Dir=H",CONCATENATE("Points=",$B$205),"Sort=R","Days=A","Fill=B",CONCATENATE("FX=", $B$203),"cols=60;rows=1")</f>
        <v/>
      </c>
      <c r="J257">
        <v>756.16</v>
      </c>
      <c r="N257">
        <v>1181.732</v>
      </c>
      <c r="R257">
        <v>342.07</v>
      </c>
      <c r="V257">
        <v>498.92200000000003</v>
      </c>
      <c r="Z257">
        <v>314.21499999999997</v>
      </c>
      <c r="AD257">
        <v>432.233</v>
      </c>
      <c r="AH257">
        <v>268.303</v>
      </c>
      <c r="AL257">
        <v>386.89699999999999</v>
      </c>
      <c r="AP257">
        <v>356.041</v>
      </c>
      <c r="AR257">
        <v>240.471</v>
      </c>
      <c r="AT257">
        <v>436.95800000000003</v>
      </c>
      <c r="AV257">
        <v>320.87400000000002</v>
      </c>
      <c r="AX257">
        <v>643.68899999999996</v>
      </c>
      <c r="AZ257">
        <v>574.49800000000005</v>
      </c>
      <c r="BB257">
        <v>656.51099999999997</v>
      </c>
      <c r="BD257">
        <v>566.45299999999997</v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 x14ac:dyDescent="0.25">
      <c r="A258" t="str">
        <f>$A$53</f>
        <v xml:space="preserve">    CaixaBank SA</v>
      </c>
      <c r="B258" t="str">
        <f>$B$53</f>
        <v>CABK SM Equity</v>
      </c>
      <c r="C258" t="str">
        <f>$C$53</f>
        <v>BM109</v>
      </c>
      <c r="D258" t="str">
        <f>$D$53</f>
        <v>BS_TRADING_SECURITIES_DERIVS</v>
      </c>
      <c r="E258" t="str">
        <f>$E$53</f>
        <v>Dynamic</v>
      </c>
      <c r="F258">
        <f ca="1">_xll.BDH($B$53,$C$53,$B$206,$B$207,CONCATENATE("Per=",$B$204),"Dts=H","Dir=H",CONCATENATE("Points=",$B$205),"Sort=R","Days=A","Fill=B",CONCATENATE("FX=", $B$203),"cols=60;rows=1")</f>
        <v>4867</v>
      </c>
      <c r="J258">
        <v>6344</v>
      </c>
      <c r="L258">
        <v>6894</v>
      </c>
      <c r="N258">
        <v>6963</v>
      </c>
      <c r="P258">
        <v>7502</v>
      </c>
      <c r="R258">
        <v>10319</v>
      </c>
      <c r="T258">
        <v>10953</v>
      </c>
      <c r="V258">
        <v>5301</v>
      </c>
      <c r="Z258">
        <v>6194</v>
      </c>
      <c r="AB258">
        <v>10819.432000000001</v>
      </c>
      <c r="AD258">
        <v>8707</v>
      </c>
      <c r="AH258">
        <v>8162.1719999999996</v>
      </c>
      <c r="AJ258">
        <v>8787.0550000000003</v>
      </c>
      <c r="AL258">
        <v>9575.8320000000003</v>
      </c>
      <c r="AP258">
        <v>9806.1910000000007</v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 x14ac:dyDescent="0.25">
      <c r="A259" t="str">
        <f>$A$54</f>
        <v xml:space="preserve">    Commerzbank AG</v>
      </c>
      <c r="B259" t="str">
        <f>$B$54</f>
        <v>CBK GR Equity</v>
      </c>
      <c r="C259" t="str">
        <f>$C$54</f>
        <v>BM109</v>
      </c>
      <c r="D259" t="str">
        <f>$D$54</f>
        <v>BS_TRADING_SECURITIES_DERIVS</v>
      </c>
      <c r="E259" t="str">
        <f>$E$54</f>
        <v>Dynamic</v>
      </c>
      <c r="F259" t="str">
        <f ca="1">_xll.BDH($B$54,$C$54,$B$206,$B$207,CONCATENATE("Per=",$B$204),"Dts=H","Dir=H",CONCATENATE("Points=",$B$205),"Sort=R","Days=A","Fill=B",CONCATENATE("FX=", $B$203),"cols=60;rows=1")</f>
        <v/>
      </c>
      <c r="H259">
        <v>17529</v>
      </c>
      <c r="J259">
        <v>20486</v>
      </c>
      <c r="L259">
        <v>19276</v>
      </c>
      <c r="N259">
        <v>26320</v>
      </c>
      <c r="P259">
        <v>34846</v>
      </c>
      <c r="R259">
        <v>29126</v>
      </c>
      <c r="T259">
        <v>37504</v>
      </c>
      <c r="V259">
        <v>45524</v>
      </c>
      <c r="W259">
        <v>44689</v>
      </c>
      <c r="X259">
        <v>47594</v>
      </c>
      <c r="Y259">
        <v>50212</v>
      </c>
      <c r="Z259">
        <v>39328</v>
      </c>
      <c r="AA259">
        <v>48297</v>
      </c>
      <c r="AB259">
        <v>41007</v>
      </c>
      <c r="AC259">
        <v>39830</v>
      </c>
      <c r="AD259">
        <v>38067</v>
      </c>
      <c r="AE259">
        <v>39790</v>
      </c>
      <c r="AF259">
        <v>42937</v>
      </c>
      <c r="AG259">
        <v>41879</v>
      </c>
      <c r="AH259">
        <v>44833</v>
      </c>
      <c r="AI259">
        <v>49594</v>
      </c>
      <c r="AJ259">
        <v>53827</v>
      </c>
      <c r="AK259">
        <v>57230</v>
      </c>
      <c r="AL259">
        <v>62205</v>
      </c>
      <c r="AM259">
        <v>71857</v>
      </c>
      <c r="AN259">
        <v>83288</v>
      </c>
      <c r="AO259">
        <v>80562</v>
      </c>
      <c r="AP259">
        <v>76721</v>
      </c>
      <c r="AQ259">
        <v>80237</v>
      </c>
      <c r="AR259">
        <v>77313</v>
      </c>
      <c r="AS259">
        <v>105156</v>
      </c>
      <c r="AT259">
        <v>89315</v>
      </c>
      <c r="AU259">
        <v>82327</v>
      </c>
      <c r="AV259">
        <v>68924</v>
      </c>
      <c r="AW259">
        <v>66038</v>
      </c>
      <c r="AX259">
        <v>65818</v>
      </c>
      <c r="AY259">
        <v>72682</v>
      </c>
      <c r="AZ259">
        <v>80042</v>
      </c>
      <c r="BA259">
        <v>97333</v>
      </c>
      <c r="BB259">
        <v>106400</v>
      </c>
      <c r="BC259">
        <v>118133</v>
      </c>
      <c r="BD259">
        <v>117079</v>
      </c>
      <c r="BE259">
        <v>117332</v>
      </c>
      <c r="BG259">
        <v>144949</v>
      </c>
      <c r="BH259">
        <v>99795</v>
      </c>
      <c r="BK259">
        <v>211601</v>
      </c>
      <c r="BL259">
        <v>218251</v>
      </c>
      <c r="BM259">
        <v>183046</v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 x14ac:dyDescent="0.25">
      <c r="A260" t="str">
        <f>$A$55</f>
        <v xml:space="preserve">    Credit Agricole SA</v>
      </c>
      <c r="B260" t="str">
        <f>$B$55</f>
        <v>ACA FP Equity</v>
      </c>
      <c r="C260" t="str">
        <f>$C$55</f>
        <v>BM109</v>
      </c>
      <c r="D260" t="str">
        <f>$D$55</f>
        <v>BS_TRADING_SECURITIES_DERIVS</v>
      </c>
      <c r="E260" t="str">
        <f>$E$55</f>
        <v>Dynamic</v>
      </c>
      <c r="F260">
        <f ca="1">_xll.BDH($B$55,$C$55,$B$206,$B$207,CONCATENATE("Per=",$B$204),"Dts=H","Dir=H",CONCATENATE("Points=",$B$205),"Sort=R","Days=A","Fill=B",CONCATENATE("FX=", $B$203),"cols=60;rows=1")</f>
        <v>146171</v>
      </c>
      <c r="H260">
        <v>117136</v>
      </c>
      <c r="J260">
        <v>108404</v>
      </c>
      <c r="N260">
        <v>119573</v>
      </c>
      <c r="R260">
        <v>93898</v>
      </c>
      <c r="T260">
        <v>95791</v>
      </c>
      <c r="V260">
        <v>116237</v>
      </c>
      <c r="X260">
        <v>124241</v>
      </c>
      <c r="Z260">
        <v>100795</v>
      </c>
      <c r="AB260">
        <v>111458</v>
      </c>
      <c r="AD260">
        <v>94554</v>
      </c>
      <c r="AF260">
        <v>99167</v>
      </c>
      <c r="AH260">
        <v>105795</v>
      </c>
      <c r="AJ260">
        <v>122753</v>
      </c>
      <c r="AL260">
        <v>149308</v>
      </c>
      <c r="AP260">
        <v>155743</v>
      </c>
      <c r="AT260">
        <v>182440</v>
      </c>
      <c r="AX260">
        <v>150344</v>
      </c>
      <c r="BB260">
        <v>198485</v>
      </c>
      <c r="BF260">
        <v>349448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 x14ac:dyDescent="0.25">
      <c r="A261" t="str">
        <f>$A$56</f>
        <v xml:space="preserve">    Deutsche Bank AG</v>
      </c>
      <c r="B261" t="str">
        <f>$B$56</f>
        <v>DBK GR Equity</v>
      </c>
      <c r="C261" t="str">
        <f>$C$56</f>
        <v>BM109</v>
      </c>
      <c r="D261" t="str">
        <f>$D$56</f>
        <v>BS_TRADING_SECURITIES_DERIVS</v>
      </c>
      <c r="E261" t="str">
        <f>$E$56</f>
        <v>Dynamic</v>
      </c>
      <c r="F261">
        <f ca="1">_xll.BDH($B$56,$C$56,$B$206,$B$207,CONCATENATE("Per=",$B$204),"Dts=H","Dir=H",CONCATENATE("Points=",$B$205),"Sort=R","Days=A","Fill=B",CONCATENATE("FX=", $B$203),"cols=60;rows=1")</f>
        <v>291754</v>
      </c>
      <c r="G261">
        <v>243383</v>
      </c>
      <c r="H261">
        <v>237222</v>
      </c>
      <c r="I261">
        <v>231186</v>
      </c>
      <c r="K261">
        <v>287597</v>
      </c>
      <c r="L261">
        <v>258731</v>
      </c>
      <c r="M261">
        <v>246299</v>
      </c>
      <c r="N261">
        <v>299686</v>
      </c>
      <c r="O261">
        <v>394993</v>
      </c>
      <c r="P261">
        <v>322978</v>
      </c>
      <c r="Q261">
        <v>292011</v>
      </c>
      <c r="R261">
        <v>299732</v>
      </c>
      <c r="S261">
        <v>277147</v>
      </c>
      <c r="T261">
        <v>273877</v>
      </c>
      <c r="U261">
        <v>290488</v>
      </c>
      <c r="V261">
        <v>343455</v>
      </c>
      <c r="W261">
        <v>341836</v>
      </c>
      <c r="X261">
        <v>372811</v>
      </c>
      <c r="Y261">
        <v>433846</v>
      </c>
      <c r="Z261">
        <v>332931</v>
      </c>
      <c r="AB261">
        <v>366007</v>
      </c>
      <c r="AC261">
        <v>331040</v>
      </c>
      <c r="AD261">
        <v>320058</v>
      </c>
      <c r="AI261">
        <v>372019</v>
      </c>
      <c r="AX261">
        <v>504590</v>
      </c>
      <c r="BB261">
        <v>768353</v>
      </c>
      <c r="BF261">
        <v>859582</v>
      </c>
      <c r="BH261">
        <v>554958</v>
      </c>
      <c r="BJ261">
        <v>657780</v>
      </c>
      <c r="BK261">
        <v>819830</v>
      </c>
      <c r="BL261">
        <v>802709</v>
      </c>
      <c r="BM261">
        <v>619633</v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 x14ac:dyDescent="0.25">
      <c r="A262" t="str">
        <f>$A$57</f>
        <v xml:space="preserve">    DNB Bank ASA</v>
      </c>
      <c r="B262" t="str">
        <f>$B$57</f>
        <v>DNB NO Equity</v>
      </c>
      <c r="C262" t="str">
        <f>$C$57</f>
        <v>BM109</v>
      </c>
      <c r="D262" t="str">
        <f>$D$57</f>
        <v>BS_TRADING_SECURITIES_DERIVS</v>
      </c>
      <c r="E262" t="str">
        <f>$E$57</f>
        <v>Dynamic</v>
      </c>
      <c r="F262">
        <f ca="1">_xll.BDH($B$57,$C$57,$B$206,$B$207,CONCATENATE("Per=",$B$204),"Dts=H","Dir=H",CONCATENATE("Points=",$B$205),"Sort=R","Days=A","Fill=B",CONCATENATE("FX=", $B$203),"cols=60;rows=1")</f>
        <v>9308.3143</v>
      </c>
      <c r="J262">
        <v>11515.698899999999</v>
      </c>
      <c r="N262">
        <v>16397.909500000002</v>
      </c>
      <c r="R262">
        <v>11779.7539</v>
      </c>
      <c r="V262">
        <v>14763.9053</v>
      </c>
      <c r="Z262">
        <v>9827.8381000000008</v>
      </c>
      <c r="AD262">
        <v>10096.5401</v>
      </c>
      <c r="AH262">
        <v>10771.941999999999</v>
      </c>
      <c r="AL262">
        <v>13733.795400000001</v>
      </c>
      <c r="AP262">
        <v>17222.356800000001</v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 x14ac:dyDescent="0.25">
      <c r="A263" t="str">
        <f>$A$58</f>
        <v xml:space="preserve">    Danske Bank A/S</v>
      </c>
      <c r="B263" t="str">
        <f>$B$58</f>
        <v>DANSKE DC Equity</v>
      </c>
      <c r="C263" t="str">
        <f>$C$58</f>
        <v>BM109</v>
      </c>
      <c r="D263" t="str">
        <f>$D$58</f>
        <v>BS_TRADING_SECURITIES_DERIVS</v>
      </c>
      <c r="E263" t="str">
        <f>$E$58</f>
        <v>Dynamic</v>
      </c>
      <c r="F263">
        <f ca="1">_xll.BDH($B$58,$C$58,$B$206,$B$207,CONCATENATE("Per=",$B$204),"Dts=H","Dir=H",CONCATENATE("Points=",$B$205),"Sort=R","Days=A","Fill=B",CONCATENATE("FX=", $B$203),"cols=60;rows=1")</f>
        <v>34961.96</v>
      </c>
      <c r="J263">
        <v>41144.2019</v>
      </c>
      <c r="R263">
        <v>33963.076800000003</v>
      </c>
      <c r="AD263">
        <v>31647.080600000001</v>
      </c>
      <c r="AH263">
        <v>33373.485800000002</v>
      </c>
      <c r="AT263">
        <v>44451.621899999998</v>
      </c>
      <c r="AX263">
        <v>21706.6878</v>
      </c>
      <c r="AY263">
        <v>15356.041300000001</v>
      </c>
      <c r="BA263">
        <v>15247.486699999999</v>
      </c>
      <c r="BB263">
        <v>14439.988300000001</v>
      </c>
      <c r="BC263">
        <v>13941.9391</v>
      </c>
      <c r="BD263">
        <v>14187.933199999999</v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 x14ac:dyDescent="0.25">
      <c r="A264" t="str">
        <f>$A$59</f>
        <v xml:space="preserve">    Erste Group Bank AG</v>
      </c>
      <c r="B264" t="str">
        <f>$B$59</f>
        <v>EBS AV Equity</v>
      </c>
      <c r="C264" t="str">
        <f>$C$59</f>
        <v>BM109</v>
      </c>
      <c r="D264" t="str">
        <f>$D$59</f>
        <v>BS_TRADING_SECURITIES_DERIVS</v>
      </c>
      <c r="E264" t="str">
        <f>$E$59</f>
        <v>Dynamic</v>
      </c>
      <c r="F264">
        <f ca="1">_xll.BDH($B$59,$C$59,$B$206,$B$207,CONCATENATE("Per=",$B$204),"Dts=H","Dir=H",CONCATENATE("Points=",$B$205),"Sort=R","Days=A","Fill=B",CONCATENATE("FX=", $B$203),"cols=60;rows=1")</f>
        <v>1226</v>
      </c>
      <c r="G264">
        <v>1103</v>
      </c>
      <c r="H264">
        <v>1048</v>
      </c>
      <c r="I264">
        <v>1105.123</v>
      </c>
      <c r="J264">
        <v>1262</v>
      </c>
      <c r="K264">
        <v>1356.5309999999999</v>
      </c>
      <c r="L264">
        <v>1305.538</v>
      </c>
      <c r="M264">
        <v>1668.2059999999999</v>
      </c>
      <c r="N264">
        <v>1718</v>
      </c>
      <c r="O264">
        <v>1981.7629999999999</v>
      </c>
      <c r="P264">
        <v>1933.7070000000001</v>
      </c>
      <c r="Q264">
        <v>2171.8539999999998</v>
      </c>
      <c r="R264">
        <v>2264.4</v>
      </c>
      <c r="S264">
        <v>2269.3649999999998</v>
      </c>
      <c r="T264">
        <v>2145.5770000000002</v>
      </c>
      <c r="U264">
        <v>2551.2869999999998</v>
      </c>
      <c r="V264">
        <v>2954.4</v>
      </c>
      <c r="W264">
        <v>3369.3130000000001</v>
      </c>
      <c r="X264">
        <v>3232.52</v>
      </c>
      <c r="Y264">
        <v>4034.8380000000002</v>
      </c>
      <c r="Z264">
        <v>2805.4470000000001</v>
      </c>
      <c r="AA264">
        <v>3551.4409999999998</v>
      </c>
      <c r="AB264">
        <v>3100.84</v>
      </c>
      <c r="AC264">
        <v>3207.701</v>
      </c>
      <c r="AD264">
        <v>3037.413</v>
      </c>
      <c r="AE264">
        <v>3303.3150000000001</v>
      </c>
      <c r="AF264">
        <v>3804.2649999999999</v>
      </c>
      <c r="AG264">
        <v>3696.009</v>
      </c>
      <c r="AH264">
        <v>3333.1419999999998</v>
      </c>
      <c r="AI264">
        <v>3638.93</v>
      </c>
      <c r="AJ264">
        <v>3990.2150000000001</v>
      </c>
      <c r="AK264">
        <v>4101.4290000000001</v>
      </c>
      <c r="AL264">
        <v>4474.7830000000004</v>
      </c>
      <c r="AM264">
        <v>5297.3249999999998</v>
      </c>
      <c r="AN264">
        <v>5609.982</v>
      </c>
      <c r="AO264">
        <v>5668.2879999999996</v>
      </c>
      <c r="AP264">
        <v>5303.0010000000002</v>
      </c>
      <c r="AQ264">
        <v>5633.4129999999996</v>
      </c>
      <c r="AR264">
        <v>5613.3429999999998</v>
      </c>
      <c r="AS264">
        <v>7628.1409999999996</v>
      </c>
      <c r="AT264">
        <v>7173.38</v>
      </c>
      <c r="AX264">
        <v>6342.2370000000001</v>
      </c>
      <c r="BA264">
        <v>8149</v>
      </c>
      <c r="BC264">
        <v>9642</v>
      </c>
      <c r="BD264">
        <v>9006</v>
      </c>
      <c r="BE264">
        <v>8082</v>
      </c>
      <c r="BF264">
        <v>7948</v>
      </c>
      <c r="BG264">
        <v>8889</v>
      </c>
      <c r="BH264">
        <v>5317</v>
      </c>
      <c r="BI264">
        <v>7064</v>
      </c>
      <c r="BJ264">
        <v>6019</v>
      </c>
      <c r="BK264">
        <v>3383</v>
      </c>
      <c r="BL264">
        <v>2872</v>
      </c>
      <c r="BM264">
        <v>2901</v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 x14ac:dyDescent="0.25">
      <c r="A265" t="str">
        <f>$A$60</f>
        <v xml:space="preserve">    FinecoBank Banca Fineco SpA</v>
      </c>
      <c r="B265" t="str">
        <f>$B$60</f>
        <v>FBK IM Equity</v>
      </c>
      <c r="C265" t="str">
        <f>$C$60</f>
        <v>BM109</v>
      </c>
      <c r="D265" t="str">
        <f>$D$60</f>
        <v>BS_TRADING_SECURITIES_DERIVS</v>
      </c>
      <c r="E265" t="str">
        <f>$E$60</f>
        <v>Dynamic</v>
      </c>
      <c r="F265" t="str">
        <f ca="1">_xll.BDH($B$60,$C$60,$B$206,$B$207,CONCATENATE("Per=",$B$204),"Dts=H","Dir=H",CONCATENATE("Points=",$B$205),"Sort=R","Days=A","Fill=B",CONCATENATE("FX=", $B$203),"cols=60;rows=1")</f>
        <v/>
      </c>
      <c r="H265">
        <v>6.6349999999999998</v>
      </c>
      <c r="J265">
        <v>5.3209999999999997</v>
      </c>
      <c r="L265">
        <v>7.1929999999999996</v>
      </c>
      <c r="N265">
        <v>6.3650000000000002</v>
      </c>
      <c r="P265">
        <v>11.105</v>
      </c>
      <c r="R265">
        <v>5.4429999999999996</v>
      </c>
      <c r="T265">
        <v>6.6870000000000003</v>
      </c>
      <c r="V265">
        <v>7.0549999999999997</v>
      </c>
      <c r="X265">
        <v>8.5399999999999991</v>
      </c>
      <c r="AB265">
        <v>4.2270000000000003</v>
      </c>
      <c r="AD265">
        <v>4.7590000000000003</v>
      </c>
      <c r="AF265">
        <v>6.8529999999999998</v>
      </c>
      <c r="AJ265">
        <v>6.4859999999999998</v>
      </c>
      <c r="AL265">
        <v>4.8639999999999999</v>
      </c>
      <c r="AP265">
        <v>3.3519999999999999</v>
      </c>
      <c r="AR265">
        <v>5.3929999999999998</v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 x14ac:dyDescent="0.25">
      <c r="A266" t="str">
        <f>$A$61</f>
        <v xml:space="preserve">    HSBC Holdings PLC</v>
      </c>
      <c r="B266" t="str">
        <f>$B$61</f>
        <v>HSBA LN Equity</v>
      </c>
      <c r="C266" t="str">
        <f>$C$61</f>
        <v>BM109</v>
      </c>
      <c r="D266" t="str">
        <f>$D$61</f>
        <v>BS_TRADING_SECURITIES_DERIVS</v>
      </c>
      <c r="E266" t="str">
        <f>$E$61</f>
        <v>Dynamic</v>
      </c>
      <c r="F266" t="str">
        <f ca="1">_xll.BDH($B$61,$C$61,$B$206,$B$207,CONCATENATE("Per=",$B$204),"Dts=H","Dir=H",CONCATENATE("Points=",$B$205),"Sort=R","Days=A","Fill=B",CONCATENATE("FX=", $B$203),"cols=60;rows=1")</f>
        <v/>
      </c>
      <c r="AV266">
        <v>197106.64720000001</v>
      </c>
      <c r="AZ266">
        <v>230075.35560000001</v>
      </c>
      <c r="BB266">
        <v>266875.04739999998</v>
      </c>
      <c r="BD266">
        <v>281348.51</v>
      </c>
      <c r="BF266">
        <v>264594.13579999999</v>
      </c>
      <c r="BH266">
        <v>179649.89660000001</v>
      </c>
      <c r="BJ266">
        <v>192046.23670000001</v>
      </c>
      <c r="BL266">
        <v>235195.39850000001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 x14ac:dyDescent="0.25">
      <c r="A267" t="str">
        <f>$A$62</f>
        <v xml:space="preserve">    ING Groep NV</v>
      </c>
      <c r="B267" t="str">
        <f>$B$62</f>
        <v>INGA NA Equity</v>
      </c>
      <c r="C267" t="str">
        <f>$C$62</f>
        <v>BM109</v>
      </c>
      <c r="D267" t="str">
        <f>$D$62</f>
        <v>BS_TRADING_SECURITIES_DERIVS</v>
      </c>
      <c r="E267" t="str">
        <f>$E$62</f>
        <v>Dynamic</v>
      </c>
      <c r="F267">
        <f ca="1">_xll.BDH($B$62,$C$62,$B$206,$B$207,CONCATENATE("Per=",$B$204),"Dts=H","Dir=H",CONCATENATE("Points=",$B$205),"Sort=R","Days=A","Fill=B",CONCATENATE("FX=", $B$203),"cols=60;rows=1")</f>
        <v>1606</v>
      </c>
      <c r="J267">
        <v>771</v>
      </c>
      <c r="N267">
        <v>30841</v>
      </c>
      <c r="R267">
        <v>19764</v>
      </c>
      <c r="V267">
        <v>27238</v>
      </c>
      <c r="Z267">
        <v>21694</v>
      </c>
      <c r="AD267">
        <v>22110</v>
      </c>
      <c r="AH267">
        <v>27444</v>
      </c>
      <c r="AX267">
        <v>31433</v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 x14ac:dyDescent="0.25">
      <c r="A268" t="str">
        <f>$A$63</f>
        <v xml:space="preserve">    Intesa Sanpaolo SpA</v>
      </c>
      <c r="B268" t="str">
        <f>$B$63</f>
        <v>ISP IM Equity</v>
      </c>
      <c r="C268" t="str">
        <f>$C$63</f>
        <v>BM109</v>
      </c>
      <c r="D268" t="str">
        <f>$D$63</f>
        <v>BS_TRADING_SECURITIES_DERIVS</v>
      </c>
      <c r="E268" t="str">
        <f>$E$63</f>
        <v>Dynamic</v>
      </c>
      <c r="F268" t="str">
        <f ca="1">_xll.BDH($B$63,$C$63,$B$206,$B$207,CONCATENATE("Per=",$B$204),"Dts=H","Dir=H",CONCATENATE("Points=",$B$205),"Sort=R","Days=A","Fill=B",CONCATENATE("FX=", $B$203),"cols=60;rows=1")</f>
        <v/>
      </c>
      <c r="G268">
        <v>25394</v>
      </c>
      <c r="H268">
        <v>24992</v>
      </c>
      <c r="I268">
        <v>25458</v>
      </c>
      <c r="J268">
        <v>25520</v>
      </c>
      <c r="K268">
        <v>29666</v>
      </c>
      <c r="L268">
        <v>29001</v>
      </c>
      <c r="M268">
        <v>28846</v>
      </c>
      <c r="N268">
        <v>30955</v>
      </c>
      <c r="O268">
        <v>34865</v>
      </c>
      <c r="P268">
        <v>28508</v>
      </c>
      <c r="Q268">
        <v>24329</v>
      </c>
      <c r="R268">
        <v>23120</v>
      </c>
      <c r="S268">
        <v>24165</v>
      </c>
      <c r="T268">
        <v>23870</v>
      </c>
      <c r="U268">
        <v>26102</v>
      </c>
      <c r="V268">
        <v>29899</v>
      </c>
      <c r="W268">
        <v>30521</v>
      </c>
      <c r="X268">
        <v>31535</v>
      </c>
      <c r="Y268">
        <v>32183</v>
      </c>
      <c r="Z268">
        <v>26402</v>
      </c>
      <c r="AA268">
        <v>31028</v>
      </c>
      <c r="AB268">
        <v>27226</v>
      </c>
      <c r="AC268">
        <v>26027</v>
      </c>
      <c r="AD268">
        <v>25902</v>
      </c>
      <c r="AE268">
        <v>24672</v>
      </c>
      <c r="AF268">
        <v>25917</v>
      </c>
      <c r="AG268">
        <v>24728</v>
      </c>
      <c r="AH268">
        <v>24780</v>
      </c>
      <c r="AL268">
        <v>30220</v>
      </c>
      <c r="AP268">
        <v>30894</v>
      </c>
      <c r="AR268">
        <v>31654</v>
      </c>
      <c r="AT268">
        <v>36729</v>
      </c>
      <c r="AU268">
        <v>34174</v>
      </c>
      <c r="AX268">
        <v>29909</v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 x14ac:dyDescent="0.25">
      <c r="A269" t="str">
        <f>$A$64</f>
        <v xml:space="preserve">    Jyske Bank A/S</v>
      </c>
      <c r="B269" t="str">
        <f>$B$64</f>
        <v>JYSK DC Equity</v>
      </c>
      <c r="C269" t="str">
        <f>$C$64</f>
        <v>BM109</v>
      </c>
      <c r="D269" t="str">
        <f>$D$64</f>
        <v>BS_TRADING_SECURITIES_DERIVS</v>
      </c>
      <c r="E269" t="str">
        <f>$E$64</f>
        <v>Dynamic</v>
      </c>
      <c r="F269" t="str">
        <f ca="1">_xll.BDH($B$64,$C$64,$B$206,$B$207,CONCATENATE("Per=",$B$204),"Dts=H","Dir=H",CONCATENATE("Points=",$B$205),"Sort=R","Days=A","Fill=B",CONCATENATE("FX=", $B$203) )</f>
        <v/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 x14ac:dyDescent="0.25">
      <c r="A270" t="str">
        <f>$A$65</f>
        <v xml:space="preserve">    KBC Group NV</v>
      </c>
      <c r="B270" t="str">
        <f>$B$65</f>
        <v>KBC BB Equity</v>
      </c>
      <c r="C270" t="str">
        <f>$C$65</f>
        <v>BM109</v>
      </c>
      <c r="D270" t="str">
        <f>$D$65</f>
        <v>BS_TRADING_SECURITIES_DERIVS</v>
      </c>
      <c r="E270" t="str">
        <f>$E$65</f>
        <v>Dynamic</v>
      </c>
      <c r="F270">
        <f ca="1">_xll.BDH($B$65,$C$65,$B$206,$B$207,CONCATENATE("Per=",$B$204),"Dts=H","Dir=H",CONCATENATE("Points=",$B$205),"Sort=R","Days=A","Fill=B",CONCATENATE("FX=", $B$203),"cols=60;rows=1")</f>
        <v>4584</v>
      </c>
      <c r="G270">
        <v>3657</v>
      </c>
      <c r="H270">
        <v>4239</v>
      </c>
      <c r="I270">
        <v>4137</v>
      </c>
      <c r="J270">
        <v>4618</v>
      </c>
      <c r="K270">
        <v>5607</v>
      </c>
      <c r="L270">
        <v>5350</v>
      </c>
      <c r="M270">
        <v>5337</v>
      </c>
      <c r="N270">
        <v>6279</v>
      </c>
      <c r="O270">
        <v>8521</v>
      </c>
      <c r="P270">
        <v>7271</v>
      </c>
      <c r="Q270">
        <v>5838</v>
      </c>
      <c r="R270">
        <v>5443</v>
      </c>
      <c r="S270">
        <v>4643</v>
      </c>
      <c r="T270">
        <v>4594</v>
      </c>
      <c r="U270">
        <v>5340</v>
      </c>
      <c r="V270">
        <v>5659</v>
      </c>
      <c r="W270">
        <v>6246</v>
      </c>
      <c r="X270">
        <v>5836</v>
      </c>
      <c r="Y270">
        <v>7740</v>
      </c>
      <c r="Z270">
        <v>5163</v>
      </c>
      <c r="AA270">
        <v>6551</v>
      </c>
      <c r="AB270">
        <v>5270</v>
      </c>
      <c r="AC270">
        <v>5395</v>
      </c>
      <c r="AD270">
        <v>4942</v>
      </c>
      <c r="AE270">
        <v>5205</v>
      </c>
      <c r="AF270">
        <v>5758</v>
      </c>
      <c r="AG270">
        <v>5168</v>
      </c>
      <c r="AH270">
        <v>5765</v>
      </c>
      <c r="AI270">
        <v>6087</v>
      </c>
      <c r="AJ270">
        <v>6503</v>
      </c>
      <c r="AK270">
        <v>6777</v>
      </c>
      <c r="AL270">
        <v>8249</v>
      </c>
      <c r="AP270">
        <v>8188</v>
      </c>
      <c r="AT270">
        <v>8814</v>
      </c>
      <c r="AV270">
        <v>8117</v>
      </c>
      <c r="AX270">
        <v>7823</v>
      </c>
      <c r="AY270">
        <v>8696</v>
      </c>
      <c r="AZ270">
        <v>9127</v>
      </c>
      <c r="BA270">
        <v>11171</v>
      </c>
      <c r="BB270">
        <v>12095</v>
      </c>
      <c r="BC270">
        <v>14429</v>
      </c>
      <c r="BD270">
        <v>14951</v>
      </c>
      <c r="BE270">
        <v>14514</v>
      </c>
      <c r="BF270">
        <v>16750</v>
      </c>
      <c r="BJ270">
        <v>15758</v>
      </c>
      <c r="BK270">
        <v>18985</v>
      </c>
      <c r="BL270">
        <v>29066</v>
      </c>
      <c r="BM270">
        <v>25806</v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 x14ac:dyDescent="0.25">
      <c r="A271" t="str">
        <f>$A$66</f>
        <v xml:space="preserve">    Komercni Banka AS</v>
      </c>
      <c r="B271" t="str">
        <f>$B$66</f>
        <v>KOMB CP Equity</v>
      </c>
      <c r="C271" t="str">
        <f>$C$66</f>
        <v>BM109</v>
      </c>
      <c r="D271" t="str">
        <f>$D$66</f>
        <v>BS_TRADING_SECURITIES_DERIVS</v>
      </c>
      <c r="E271" t="str">
        <f>$E$66</f>
        <v>Dynamic</v>
      </c>
      <c r="F271" t="str">
        <f ca="1">_xll.BDH($B$66,$C$66,$B$206,$B$207,CONCATENATE("Per=",$B$204),"Dts=H","Dir=H",CONCATENATE("Points=",$B$205),"Sort=R","Days=A","Fill=B",CONCATENATE("FX=", $B$203),"cols=60;rows=1")</f>
        <v/>
      </c>
      <c r="AP271">
        <v>685.62530000000004</v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 x14ac:dyDescent="0.25">
      <c r="A272" t="str">
        <f>$A$67</f>
        <v xml:space="preserve">    Lloyds Banking Group PLC</v>
      </c>
      <c r="B272" t="str">
        <f>$B$67</f>
        <v>LLOY LN Equity</v>
      </c>
      <c r="C272" t="str">
        <f>$C$67</f>
        <v>BM109</v>
      </c>
      <c r="D272" t="str">
        <f>$D$67</f>
        <v>BS_TRADING_SECURITIES_DERIVS</v>
      </c>
      <c r="E272" t="str">
        <f>$E$67</f>
        <v>Dynamic</v>
      </c>
      <c r="F272" t="str">
        <f ca="1">_xll.BDH($B$67,$C$67,$B$206,$B$207,CONCATENATE("Per=",$B$204),"Dts=H","Dir=H",CONCATENATE("Points=",$B$205),"Sort=R","Days=A","Fill=B",CONCATENATE("FX=", $B$203),"cols=60;rows=1")</f>
        <v/>
      </c>
      <c r="H272">
        <v>22365.3449</v>
      </c>
      <c r="L272">
        <v>27530.757300000001</v>
      </c>
      <c r="P272">
        <v>34310.030400000003</v>
      </c>
      <c r="R272">
        <v>26110.686399999999</v>
      </c>
      <c r="T272">
        <v>25635.226600000002</v>
      </c>
      <c r="V272">
        <v>32156.061099999999</v>
      </c>
      <c r="X272">
        <v>34582.585700000003</v>
      </c>
      <c r="Z272">
        <v>29685.5445</v>
      </c>
      <c r="AB272">
        <v>27494.4709</v>
      </c>
      <c r="AD272">
        <v>24521.469799999999</v>
      </c>
      <c r="AF272">
        <v>28022.984799999998</v>
      </c>
      <c r="AH272">
        <v>26945.630700000002</v>
      </c>
      <c r="AJ272">
        <v>31709.0658</v>
      </c>
      <c r="AP272">
        <v>36314.306499999999</v>
      </c>
      <c r="AT272">
        <v>41070.743399999999</v>
      </c>
      <c r="BD272">
        <v>55869.371700000003</v>
      </c>
      <c r="BF272">
        <v>63619.210400000004</v>
      </c>
      <c r="BH272">
        <v>50112.209000000003</v>
      </c>
      <c r="BJ272">
        <v>50590.847000000002</v>
      </c>
      <c r="BL272">
        <v>64525.114500000003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 x14ac:dyDescent="0.25">
      <c r="A273" t="str">
        <f>$A$68</f>
        <v xml:space="preserve">    Mediobanca Banca di Credito Finanziario SpA</v>
      </c>
      <c r="B273" t="str">
        <f>$B$68</f>
        <v>MB IM Equity</v>
      </c>
      <c r="C273" t="str">
        <f>$C$68</f>
        <v>BM109</v>
      </c>
      <c r="D273" t="str">
        <f>$D$68</f>
        <v>BS_TRADING_SECURITIES_DERIVS</v>
      </c>
      <c r="E273" t="str">
        <f>$E$68</f>
        <v>Dynamic</v>
      </c>
      <c r="F273" t="str">
        <f ca="1">_xll.BDH($B$68,$C$68,$B$206,$B$207,CONCATENATE("Per=",$B$204),"Dts=H","Dir=H",CONCATENATE("Points=",$B$205),"Sort=R","Days=A","Fill=B",CONCATENATE("FX=", $B$203),"cols=60;rows=1")</f>
        <v/>
      </c>
      <c r="H273">
        <v>2814.3249999999998</v>
      </c>
      <c r="J273">
        <v>2468.1080000000002</v>
      </c>
      <c r="L273">
        <v>2876.4389999999999</v>
      </c>
      <c r="N273">
        <v>3083.4769999999999</v>
      </c>
      <c r="P273">
        <v>3320.6039999999998</v>
      </c>
      <c r="R273">
        <v>3908.384</v>
      </c>
      <c r="T273">
        <v>4004.2820000000002</v>
      </c>
      <c r="V273">
        <v>3811.0430000000001</v>
      </c>
      <c r="X273">
        <v>3279.8989999999999</v>
      </c>
      <c r="Z273">
        <v>3194.6909999999998</v>
      </c>
      <c r="AB273">
        <v>2774.6019999999999</v>
      </c>
      <c r="AD273">
        <v>3346.2069999999999</v>
      </c>
      <c r="AF273">
        <v>3563.2930000000001</v>
      </c>
      <c r="AH273">
        <v>3563.7260000000001</v>
      </c>
      <c r="AJ273">
        <v>3249.3690000000001</v>
      </c>
      <c r="AL273">
        <v>4328.7870000000003</v>
      </c>
      <c r="AN273">
        <v>5144.1279999999997</v>
      </c>
      <c r="AP273">
        <v>5311.1270000000004</v>
      </c>
      <c r="AR273">
        <v>5698.5730000000003</v>
      </c>
      <c r="AV273">
        <v>5941.5469999999996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 x14ac:dyDescent="0.25">
      <c r="A274" t="str">
        <f>$A$69</f>
        <v xml:space="preserve">    NatWest Group PLC</v>
      </c>
      <c r="B274" t="str">
        <f>$B$69</f>
        <v>NWG LN Equity</v>
      </c>
      <c r="C274" t="str">
        <f>$C$69</f>
        <v>BM109</v>
      </c>
      <c r="D274" t="str">
        <f>$D$69</f>
        <v>BS_TRADING_SECURITIES_DERIVS</v>
      </c>
      <c r="E274" t="str">
        <f>$E$69</f>
        <v>Dynamic</v>
      </c>
      <c r="F274">
        <f ca="1">_xll.BDH($B$69,$C$69,$B$206,$B$207,CONCATENATE("Per=",$B$204),"Dts=H","Dir=H",CONCATENATE("Points=",$B$205),"Sort=R","Days=A","Fill=B",CONCATENATE("FX=", $B$203),"cols=60;rows=1")</f>
        <v>94846.334300000002</v>
      </c>
      <c r="J274">
        <v>91020.585000000006</v>
      </c>
      <c r="N274">
        <v>112435.3851</v>
      </c>
      <c r="R274">
        <v>126171.7341</v>
      </c>
      <c r="V274">
        <v>185947.27799999999</v>
      </c>
      <c r="Z274">
        <v>177204.97169999999</v>
      </c>
      <c r="AD274">
        <v>148416.552</v>
      </c>
      <c r="AH274">
        <v>177600.6508</v>
      </c>
      <c r="AL274">
        <v>283479.68520000001</v>
      </c>
      <c r="AP274">
        <v>350775.23710000003</v>
      </c>
      <c r="AT274">
        <v>455.8408</v>
      </c>
      <c r="AX274">
        <v>346047.86959999998</v>
      </c>
      <c r="BB274">
        <v>543865.16070000001</v>
      </c>
      <c r="BE274">
        <v>543773.16339999996</v>
      </c>
      <c r="BF274">
        <v>633784.3798</v>
      </c>
      <c r="BJ274">
        <v>498171.29340000002</v>
      </c>
      <c r="BK274">
        <v>633744.86340000003</v>
      </c>
      <c r="BL274">
        <v>638306.17390000005</v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 x14ac:dyDescent="0.25">
      <c r="A275" t="str">
        <f>$A$70</f>
        <v xml:space="preserve">    Nordea Bank Abp</v>
      </c>
      <c r="B275" t="str">
        <f>$B$70</f>
        <v>NDA FH Equity</v>
      </c>
      <c r="C275" t="str">
        <f>$C$70</f>
        <v>BM109</v>
      </c>
      <c r="D275" t="str">
        <f>$D$70</f>
        <v>BS_TRADING_SECURITIES_DERIVS</v>
      </c>
      <c r="E275" t="str">
        <f>$E$70</f>
        <v>Dynamic</v>
      </c>
      <c r="F275">
        <f ca="1">_xll.BDH($B$70,$C$70,$B$206,$B$207,CONCATENATE("Per=",$B$204),"Dts=H","Dir=H",CONCATENATE("Points=",$B$205),"Sort=R","Days=A","Fill=B",CONCATENATE("FX=", $B$203),"cols=60;rows=1")</f>
        <v>20651</v>
      </c>
      <c r="J275">
        <v>20411</v>
      </c>
      <c r="N275">
        <v>29972</v>
      </c>
      <c r="R275">
        <v>28139</v>
      </c>
      <c r="V275">
        <v>41323</v>
      </c>
      <c r="Z275">
        <v>36784</v>
      </c>
      <c r="AD275">
        <v>33915</v>
      </c>
      <c r="AH275">
        <v>44415</v>
      </c>
      <c r="AL275">
        <v>67438</v>
      </c>
      <c r="AP275">
        <v>77594</v>
      </c>
      <c r="AT275">
        <v>102279</v>
      </c>
      <c r="AX275">
        <v>69003</v>
      </c>
      <c r="AY275">
        <v>72427</v>
      </c>
      <c r="AZ275">
        <v>76595</v>
      </c>
      <c r="BB275">
        <v>115706</v>
      </c>
      <c r="BC275">
        <v>147970</v>
      </c>
      <c r="BD275">
        <v>155552</v>
      </c>
      <c r="BE275">
        <v>163410</v>
      </c>
      <c r="BF275">
        <v>169402</v>
      </c>
      <c r="BG275">
        <v>155133</v>
      </c>
      <c r="BH275">
        <v>81034</v>
      </c>
      <c r="BI275">
        <v>81215</v>
      </c>
      <c r="BJ275">
        <v>96099</v>
      </c>
      <c r="BK275">
        <v>137318</v>
      </c>
      <c r="BL275">
        <v>120250</v>
      </c>
      <c r="BM275">
        <v>182928</v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 x14ac:dyDescent="0.25">
      <c r="A276" t="str">
        <f>$A$71</f>
        <v xml:space="preserve">    Raiffeisen Bank International AG</v>
      </c>
      <c r="B276" t="str">
        <f>$B$71</f>
        <v>RBI AV Equity</v>
      </c>
      <c r="C276" t="str">
        <f>$C$71</f>
        <v>BM109</v>
      </c>
      <c r="D276" t="str">
        <f>$D$71</f>
        <v>BS_TRADING_SECURITIES_DERIVS</v>
      </c>
      <c r="E276" t="str">
        <f>$E$71</f>
        <v>Dynamic</v>
      </c>
      <c r="F276" t="str">
        <f ca="1">_xll.BDH($B$71,$C$71,$B$206,$B$207,CONCATENATE("Per=",$B$204),"Dts=H","Dir=H",CONCATENATE("Points=",$B$205),"Sort=R","Days=A","Fill=B",CONCATENATE("FX=", $B$203),"cols=60;rows=1")</f>
        <v/>
      </c>
      <c r="AA276">
        <v>2282</v>
      </c>
      <c r="AB276">
        <v>2018</v>
      </c>
      <c r="AC276">
        <v>2033</v>
      </c>
      <c r="AE276">
        <v>1850</v>
      </c>
      <c r="AF276">
        <v>2028</v>
      </c>
      <c r="AG276">
        <v>1994</v>
      </c>
      <c r="AI276">
        <v>2122</v>
      </c>
      <c r="AJ276">
        <v>2302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 x14ac:dyDescent="0.25">
      <c r="A277" t="str">
        <f>$A$72</f>
        <v xml:space="preserve">    Skandinaviska Enskilda Banken AB</v>
      </c>
      <c r="B277" t="str">
        <f>$B$72</f>
        <v>SEBA SS Equity</v>
      </c>
      <c r="C277" t="str">
        <f>$C$72</f>
        <v>BM109</v>
      </c>
      <c r="D277" t="str">
        <f>$D$72</f>
        <v>BS_TRADING_SECURITIES_DERIVS</v>
      </c>
      <c r="E277" t="str">
        <f>$E$72</f>
        <v>Dynamic</v>
      </c>
      <c r="F277" t="str">
        <f ca="1">_xll.BDH($B$72,$C$72,$B$206,$B$207,CONCATENATE("Per=",$B$204),"Dts=H","Dir=H",CONCATENATE("Points=",$B$205),"Sort=R","Days=A","Fill=B",CONCATENATE("FX=", $B$203),"cols=60;rows=1")</f>
        <v/>
      </c>
      <c r="AL277">
        <v>20688.492200000001</v>
      </c>
      <c r="AP277">
        <v>21659.344799999999</v>
      </c>
      <c r="AT277">
        <v>26653.491300000002</v>
      </c>
      <c r="AX277">
        <v>14665.487999999999</v>
      </c>
      <c r="BB277">
        <v>17725.9895</v>
      </c>
      <c r="BF277">
        <v>16669.088599999999</v>
      </c>
      <c r="BJ277">
        <v>12939.728800000001</v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 x14ac:dyDescent="0.25">
      <c r="A278" t="str">
        <f>$A$73</f>
        <v xml:space="preserve">    Svenska Handelsbanken AB</v>
      </c>
      <c r="B278" t="str">
        <f>$B$73</f>
        <v>SHBA SS Equity</v>
      </c>
      <c r="C278" t="str">
        <f>$C$73</f>
        <v>BM109</v>
      </c>
      <c r="D278" t="str">
        <f>$D$73</f>
        <v>BS_TRADING_SECURITIES_DERIVS</v>
      </c>
      <c r="E278" t="str">
        <f>$E$73</f>
        <v>Dynamic</v>
      </c>
      <c r="F278">
        <f ca="1">_xll.BDH($B$73,$C$73,$B$206,$B$207,CONCATENATE("Per=",$B$204),"Dts=H","Dir=H",CONCATENATE("Points=",$B$205),"Sort=R","Days=A","Fill=B",CONCATENATE("FX=", $B$203),"cols=60;rows=1")</f>
        <v>4172.0652</v>
      </c>
      <c r="G278">
        <v>3304.1837999999998</v>
      </c>
      <c r="H278">
        <v>3552.7770999999998</v>
      </c>
      <c r="I278">
        <v>4147.1965</v>
      </c>
      <c r="J278">
        <v>4112.0365000000002</v>
      </c>
      <c r="K278">
        <v>6575.7573000000002</v>
      </c>
      <c r="L278">
        <v>7129.0326999999997</v>
      </c>
      <c r="M278">
        <v>6017.9610000000002</v>
      </c>
      <c r="N278">
        <v>6705.3627999999999</v>
      </c>
      <c r="O278">
        <v>9816.3816999999999</v>
      </c>
      <c r="P278">
        <v>7734.8784999999998</v>
      </c>
      <c r="Q278">
        <v>4448.1397999999999</v>
      </c>
      <c r="R278">
        <v>2805.7100999999998</v>
      </c>
      <c r="S278">
        <v>2540.5817000000002</v>
      </c>
      <c r="T278">
        <v>2437.9859000000001</v>
      </c>
      <c r="U278">
        <v>2932.6453999999999</v>
      </c>
      <c r="V278">
        <v>2833.3247000000001</v>
      </c>
      <c r="W278">
        <v>3413.3398999999999</v>
      </c>
      <c r="X278">
        <v>3438.8074999999999</v>
      </c>
      <c r="Y278">
        <v>5299.3344999999999</v>
      </c>
      <c r="Z278">
        <v>2556.8244</v>
      </c>
      <c r="AA278">
        <v>4088.3404999999998</v>
      </c>
      <c r="AB278">
        <v>946.97500000000002</v>
      </c>
      <c r="AC278">
        <v>1386.2938999999999</v>
      </c>
      <c r="AD278">
        <v>760.6617</v>
      </c>
      <c r="AE278">
        <v>2646.1671999999999</v>
      </c>
      <c r="AF278">
        <v>1711.5442</v>
      </c>
      <c r="AG278">
        <v>1291.5391</v>
      </c>
      <c r="AH278">
        <v>1059.6673000000001</v>
      </c>
      <c r="AI278">
        <v>1509.1968999999999</v>
      </c>
      <c r="AJ278">
        <v>1645.8653999999999</v>
      </c>
      <c r="AK278">
        <v>1561.3135</v>
      </c>
      <c r="AL278">
        <v>2059.9695000000002</v>
      </c>
      <c r="AM278">
        <v>1835.837</v>
      </c>
      <c r="AN278">
        <v>3198.26</v>
      </c>
      <c r="AO278">
        <v>5912.1623</v>
      </c>
      <c r="AP278">
        <v>3372.3018000000002</v>
      </c>
      <c r="AR278">
        <v>4185.1262999999999</v>
      </c>
      <c r="AS278">
        <v>9461.5409</v>
      </c>
      <c r="AT278">
        <v>6707.8458000000001</v>
      </c>
      <c r="AV278">
        <v>5122.973</v>
      </c>
      <c r="AW278">
        <v>5152.2353999999996</v>
      </c>
      <c r="BB278">
        <v>9677.2175000000007</v>
      </c>
      <c r="BE278">
        <v>10300.4966</v>
      </c>
      <c r="BF278">
        <v>13184.840700000001</v>
      </c>
      <c r="BH278">
        <v>7824.5078000000003</v>
      </c>
      <c r="BI278">
        <v>8650.8467999999993</v>
      </c>
      <c r="BJ278">
        <v>9104.0329999999994</v>
      </c>
      <c r="BK278">
        <v>12691.191699999999</v>
      </c>
      <c r="BL278">
        <v>12112.6286</v>
      </c>
      <c r="BM278">
        <v>8845.1061000000009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 x14ac:dyDescent="0.25">
      <c r="A279" t="str">
        <f>$A$74</f>
        <v xml:space="preserve">    Swedbank AB</v>
      </c>
      <c r="B279" t="str">
        <f>$B$74</f>
        <v>SWEDA SS Equity</v>
      </c>
      <c r="C279" t="str">
        <f>$C$74</f>
        <v>BM109</v>
      </c>
      <c r="D279" t="str">
        <f>$D$74</f>
        <v>BS_TRADING_SECURITIES_DERIVS</v>
      </c>
      <c r="E279" t="str">
        <f>$E$74</f>
        <v>Dynamic</v>
      </c>
      <c r="F279">
        <f ca="1">_xll.BDH($B$74,$C$74,$B$206,$B$207,CONCATENATE("Per=",$B$204),"Dts=H","Dir=H",CONCATENATE("Points=",$B$205),"Sort=R","Days=A","Fill=B",CONCATENATE("FX=", $B$203),"cols=60;rows=1")</f>
        <v>2104.7950000000001</v>
      </c>
      <c r="G279">
        <v>692.31870000000004</v>
      </c>
      <c r="H279">
        <v>1044.6392000000001</v>
      </c>
      <c r="I279">
        <v>2564.1120000000001</v>
      </c>
      <c r="J279">
        <v>2060.7905000000001</v>
      </c>
      <c r="K279">
        <v>2560.4265999999998</v>
      </c>
      <c r="L279">
        <v>2854.5189999999998</v>
      </c>
      <c r="M279">
        <v>1566.4549999999999</v>
      </c>
      <c r="N279">
        <v>2588.3429999999998</v>
      </c>
      <c r="O279">
        <v>5910.5303000000004</v>
      </c>
      <c r="P279">
        <v>4604.7611999999999</v>
      </c>
      <c r="Q279">
        <v>2409.6660999999999</v>
      </c>
      <c r="R279">
        <v>2963.2148000000002</v>
      </c>
      <c r="S279">
        <v>2716.4400999999998</v>
      </c>
      <c r="T279">
        <v>2446.9580999999998</v>
      </c>
      <c r="U279">
        <v>3648.3510999999999</v>
      </c>
      <c r="V279">
        <v>3679.56</v>
      </c>
      <c r="W279">
        <v>3566.4819000000002</v>
      </c>
      <c r="X279">
        <v>3493.2719000000002</v>
      </c>
      <c r="Y279">
        <v>6077.1135999999997</v>
      </c>
      <c r="Z279">
        <v>2918.8195999999998</v>
      </c>
      <c r="AA279">
        <v>3846.6758</v>
      </c>
      <c r="AB279">
        <v>2720.9672999999998</v>
      </c>
      <c r="AC279">
        <v>3150.4497000000001</v>
      </c>
      <c r="AD279">
        <v>2837.7635</v>
      </c>
      <c r="AE279">
        <v>6003.1118999999999</v>
      </c>
      <c r="AH279">
        <v>4563.6881999999996</v>
      </c>
      <c r="AJ279">
        <v>7800.5618000000004</v>
      </c>
      <c r="AK279">
        <v>7683.1818000000003</v>
      </c>
      <c r="AL279">
        <v>7399.2785999999996</v>
      </c>
      <c r="AM279">
        <v>9813.1699000000008</v>
      </c>
      <c r="AN279">
        <v>10663.813</v>
      </c>
      <c r="AO279">
        <v>10625.243899999999</v>
      </c>
      <c r="AP279">
        <v>7387.4700999999995</v>
      </c>
      <c r="AQ279">
        <v>10617.413</v>
      </c>
      <c r="AR279">
        <v>10338.502899999999</v>
      </c>
      <c r="AS279">
        <v>14973.8184</v>
      </c>
      <c r="AT279">
        <v>10615.728800000001</v>
      </c>
      <c r="AW279">
        <v>7606.7218000000003</v>
      </c>
      <c r="AX279">
        <v>5542.9674000000005</v>
      </c>
      <c r="BH279">
        <v>6639.7329</v>
      </c>
      <c r="BJ279">
        <v>7255.8986999999997</v>
      </c>
      <c r="BL279">
        <v>8080.4762000000001</v>
      </c>
      <c r="BM279">
        <v>7853.9690000000001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 x14ac:dyDescent="0.25">
      <c r="A280" t="str">
        <f>$A$75</f>
        <v xml:space="preserve">    Societe Generale SA</v>
      </c>
      <c r="B280" t="str">
        <f>$B$75</f>
        <v>GLE FP Equity</v>
      </c>
      <c r="C280" t="str">
        <f>$C$75</f>
        <v>BM109</v>
      </c>
      <c r="D280" t="str">
        <f>$D$75</f>
        <v>BS_TRADING_SECURITIES_DERIVS</v>
      </c>
      <c r="E280" t="str">
        <f>$E$75</f>
        <v>Dynamic</v>
      </c>
      <c r="F280">
        <f ca="1">_xll.BDH($B$75,$C$75,$B$206,$B$207,CONCATENATE("Per=",$B$204),"Dts=H","Dir=H",CONCATENATE("Points=",$B$205),"Sort=R","Days=A","Fill=B",CONCATENATE("FX=", $B$203),"cols=60;rows=1")</f>
        <v>96745</v>
      </c>
      <c r="H280">
        <v>91377</v>
      </c>
      <c r="J280">
        <v>83535</v>
      </c>
      <c r="L280">
        <v>75269</v>
      </c>
      <c r="N280">
        <v>76775</v>
      </c>
      <c r="P280">
        <v>110713</v>
      </c>
      <c r="R280">
        <v>100355</v>
      </c>
      <c r="T280">
        <v>130816</v>
      </c>
      <c r="V280">
        <v>151536</v>
      </c>
      <c r="X280">
        <v>169488</v>
      </c>
      <c r="Z280">
        <v>135849</v>
      </c>
      <c r="AB280">
        <v>146007</v>
      </c>
      <c r="AD280">
        <v>122983</v>
      </c>
      <c r="AF280">
        <v>130006</v>
      </c>
      <c r="AH280">
        <v>134450</v>
      </c>
      <c r="AT280">
        <v>209779</v>
      </c>
      <c r="AV280">
        <v>175884</v>
      </c>
      <c r="AX280">
        <v>162072</v>
      </c>
      <c r="BB280">
        <v>218124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 x14ac:dyDescent="0.25">
      <c r="A281" t="str">
        <f>$A$76</f>
        <v xml:space="preserve">    Standard Chartered PLC</v>
      </c>
      <c r="B281" t="str">
        <f>$B$76</f>
        <v>STAN LN Equity</v>
      </c>
      <c r="C281" t="str">
        <f>$C$76</f>
        <v>BM109</v>
      </c>
      <c r="D281" t="str">
        <f>$D$76</f>
        <v>BS_TRADING_SECURITIES_DERIVS</v>
      </c>
      <c r="E281" t="str">
        <f>$E$76</f>
        <v>Dynamic</v>
      </c>
      <c r="F281" t="str">
        <f ca="1">_xll.BDH($B$76,$C$76,$B$206,$B$207,CONCATENATE("Per=",$B$204),"Dts=H","Dir=H",CONCATENATE("Points=",$B$205),"Sort=R","Days=A","Fill=B",CONCATENATE("FX=", $B$203) )</f>
        <v/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 x14ac:dyDescent="0.25">
      <c r="A282" t="str">
        <f>$A$77</f>
        <v xml:space="preserve">    UBS Group AG</v>
      </c>
      <c r="B282" t="str">
        <f>$B$77</f>
        <v>UBSG SW Equity</v>
      </c>
      <c r="C282" t="str">
        <f>$C$77</f>
        <v>BM109</v>
      </c>
      <c r="D282" t="str">
        <f>$D$77</f>
        <v>BS_TRADING_SECURITIES_DERIVS</v>
      </c>
      <c r="E282" t="str">
        <f>$E$77</f>
        <v>Dynamic</v>
      </c>
      <c r="F282" t="str">
        <f ca="1">_xll.BDH($B$77,$C$77,$B$206,$B$207,CONCATENATE("Per=",$B$204),"Dts=H","Dir=H",CONCATENATE("Points=",$B$205),"Sort=R","Days=A","Fill=B",CONCATENATE("FX=", $B$203),"cols=60;rows=1")</f>
        <v/>
      </c>
      <c r="BJ282">
        <v>322825.22129999998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 x14ac:dyDescent="0.25">
      <c r="A283" t="str">
        <f>$A$78</f>
        <v xml:space="preserve">    UniCredit SpA</v>
      </c>
      <c r="B283" t="str">
        <f>$B$78</f>
        <v>UCG IM Equity</v>
      </c>
      <c r="C283" t="str">
        <f>$C$78</f>
        <v>BM109</v>
      </c>
      <c r="D283" t="str">
        <f>$D$78</f>
        <v>BS_TRADING_SECURITIES_DERIVS</v>
      </c>
      <c r="E283" t="str">
        <f>$E$78</f>
        <v>Dynamic</v>
      </c>
      <c r="F283">
        <f ca="1">_xll.BDH($B$78,$C$78,$B$206,$B$207,CONCATENATE("Per=",$B$204),"Dts=H","Dir=H",CONCATENATE("Points=",$B$205),"Sort=R","Days=A","Fill=B",CONCATENATE("FX=", $B$203),"cols=60;rows=1")</f>
        <v>29519</v>
      </c>
      <c r="H283">
        <v>28433</v>
      </c>
      <c r="J283">
        <v>29309</v>
      </c>
      <c r="L283">
        <v>33214</v>
      </c>
      <c r="N283">
        <v>39643</v>
      </c>
      <c r="P283">
        <v>41702</v>
      </c>
      <c r="R283">
        <v>40824</v>
      </c>
      <c r="T283">
        <v>39102</v>
      </c>
      <c r="V283">
        <v>45162</v>
      </c>
      <c r="X283">
        <v>43119</v>
      </c>
      <c r="Z283">
        <v>34351</v>
      </c>
      <c r="AB283">
        <v>35686</v>
      </c>
      <c r="AD283">
        <v>32152</v>
      </c>
      <c r="AF283">
        <v>35662.673000000003</v>
      </c>
      <c r="AH283">
        <v>34769.334000000003</v>
      </c>
      <c r="AJ283">
        <v>39062.720000000001</v>
      </c>
      <c r="AL283">
        <v>46226.794999999998</v>
      </c>
      <c r="AN283">
        <v>54247.313000000002</v>
      </c>
      <c r="AP283">
        <v>48140.506999999998</v>
      </c>
      <c r="AR283">
        <v>57673.267999999996</v>
      </c>
      <c r="AV283">
        <v>48705.983999999997</v>
      </c>
      <c r="AZ283">
        <v>59746.889000000003</v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 x14ac:dyDescent="0.25">
      <c r="A284" t="str">
        <f>$A$80</f>
        <v xml:space="preserve">    ABN AMRO Bank NV</v>
      </c>
      <c r="B284" t="str">
        <f>$B$80</f>
        <v>ABN NA Equity</v>
      </c>
      <c r="C284" t="str">
        <f>$C$80</f>
        <v>BS017</v>
      </c>
      <c r="D284" t="str">
        <f>$D$80</f>
        <v>BS_CONS_LOAN</v>
      </c>
      <c r="E284" t="str">
        <f>$E$80</f>
        <v>Dynamic</v>
      </c>
      <c r="F284">
        <f ca="1">_xll.BDH($B$80,$C$80,$B$206,$B$207,CONCATENATE("Per=",$B$204),"Dts=H","Dir=H",CONCATENATE("Points=",$B$205),"Sort=R","Days=A","Fill=B",CONCATENATE("FX=", $B$203),"cols=60;rows=1")</f>
        <v>159800</v>
      </c>
      <c r="G284">
        <v>158659</v>
      </c>
      <c r="H284">
        <v>155403</v>
      </c>
      <c r="I284">
        <v>154609</v>
      </c>
      <c r="J284">
        <v>154197</v>
      </c>
      <c r="K284">
        <v>151318</v>
      </c>
      <c r="L284">
        <v>152222</v>
      </c>
      <c r="M284">
        <v>152192</v>
      </c>
      <c r="N284">
        <v>151659</v>
      </c>
      <c r="O284">
        <v>151565</v>
      </c>
      <c r="P284">
        <v>153711</v>
      </c>
      <c r="Q284">
        <v>156271</v>
      </c>
      <c r="R284">
        <v>157145</v>
      </c>
      <c r="S284">
        <v>157458</v>
      </c>
      <c r="T284">
        <v>157288</v>
      </c>
      <c r="U284">
        <v>156847</v>
      </c>
      <c r="V284">
        <v>156904</v>
      </c>
      <c r="W284">
        <v>157971</v>
      </c>
      <c r="X284">
        <v>161841</v>
      </c>
      <c r="Y284">
        <v>159491</v>
      </c>
      <c r="Z284">
        <v>160519</v>
      </c>
      <c r="AA284">
        <v>161270</v>
      </c>
      <c r="AB284">
        <v>163453</v>
      </c>
      <c r="AC284">
        <v>160277</v>
      </c>
      <c r="AD284">
        <v>161054</v>
      </c>
      <c r="AE284">
        <v>162482</v>
      </c>
      <c r="AF284">
        <v>164870</v>
      </c>
      <c r="AG284">
        <v>162999</v>
      </c>
      <c r="AH284">
        <v>165251</v>
      </c>
      <c r="AI284">
        <v>163825</v>
      </c>
      <c r="AJ284">
        <v>163359</v>
      </c>
      <c r="AK284">
        <v>163042</v>
      </c>
      <c r="AL284">
        <v>164867</v>
      </c>
      <c r="AM284">
        <v>161591</v>
      </c>
      <c r="AN284">
        <v>164831</v>
      </c>
      <c r="AO284">
        <v>161400</v>
      </c>
      <c r="AP284">
        <v>167013</v>
      </c>
      <c r="AQ284">
        <v>167454</v>
      </c>
      <c r="AR284">
        <v>167896</v>
      </c>
      <c r="AT284">
        <v>168588</v>
      </c>
      <c r="AU284">
        <v>165788</v>
      </c>
      <c r="AV284">
        <v>167191</v>
      </c>
      <c r="AW284">
        <v>170396</v>
      </c>
      <c r="AX284">
        <v>170265</v>
      </c>
      <c r="AY284">
        <v>172102</v>
      </c>
      <c r="AZ284">
        <v>169157</v>
      </c>
      <c r="BA284">
        <v>174298</v>
      </c>
      <c r="BB284">
        <v>170774</v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 x14ac:dyDescent="0.25">
      <c r="A285" t="str">
        <f>$A$81</f>
        <v xml:space="preserve">    AIB Group PLC</v>
      </c>
      <c r="B285" t="str">
        <f>$B$81</f>
        <v>AIBG ID Equity</v>
      </c>
      <c r="C285" t="str">
        <f>$C$81</f>
        <v>BS017</v>
      </c>
      <c r="D285" t="str">
        <f>$D$81</f>
        <v>BS_CONS_LOAN</v>
      </c>
      <c r="E285" t="str">
        <f>$E$81</f>
        <v>Dynamic</v>
      </c>
      <c r="F285" t="str">
        <f ca="1">_xll.BDH($B$81,$C$81,$B$206,$B$207,CONCATENATE("Per=",$B$204),"Dts=H","Dir=H",CONCATENATE("Points=",$B$205),"Sort=R","Days=A","Fill=B",CONCATENATE("FX=", $B$203) )</f>
        <v/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 x14ac:dyDescent="0.25">
      <c r="A286" t="str">
        <f>$A$82</f>
        <v xml:space="preserve">    Banco de Sabadell SA</v>
      </c>
      <c r="B286" t="str">
        <f>$B$82</f>
        <v>SAB SM Equity</v>
      </c>
      <c r="C286" t="str">
        <f>$C$82</f>
        <v>BS017</v>
      </c>
      <c r="D286" t="str">
        <f>$D$82</f>
        <v>BS_CONS_LOAN</v>
      </c>
      <c r="E286" t="str">
        <f>$E$82</f>
        <v>Dynamic</v>
      </c>
      <c r="F286">
        <f ca="1">_xll.BDH($B$82,$C$82,$B$206,$B$207,CONCATENATE("Per=",$B$204),"Dts=H","Dir=H",CONCATENATE("Points=",$B$205),"Sort=R","Days=A","Fill=B",CONCATENATE("FX=", $B$203),"cols=60;rows=1")</f>
        <v>98022.642000000007</v>
      </c>
      <c r="G286">
        <v>139754</v>
      </c>
      <c r="H286">
        <v>139256</v>
      </c>
      <c r="I286">
        <v>136442</v>
      </c>
      <c r="J286">
        <v>93995.421000000002</v>
      </c>
      <c r="K286">
        <v>137058</v>
      </c>
      <c r="L286">
        <v>95529.126000000004</v>
      </c>
      <c r="M286">
        <v>140290</v>
      </c>
      <c r="N286">
        <v>96121.271999999997</v>
      </c>
      <c r="O286">
        <v>144346</v>
      </c>
      <c r="P286">
        <v>97494.888999999996</v>
      </c>
      <c r="Q286">
        <v>143299</v>
      </c>
      <c r="R286">
        <v>97189.187999999995</v>
      </c>
      <c r="S286">
        <v>141698</v>
      </c>
      <c r="T286">
        <v>95077.388999999996</v>
      </c>
      <c r="U286">
        <v>139323</v>
      </c>
      <c r="V286">
        <v>92103.764999999999</v>
      </c>
      <c r="W286">
        <v>135111</v>
      </c>
      <c r="X286">
        <v>90232.471999999994</v>
      </c>
      <c r="Y286">
        <v>131682</v>
      </c>
      <c r="Z286">
        <v>94426.471000000005</v>
      </c>
      <c r="AA286">
        <v>129809</v>
      </c>
      <c r="AB286">
        <v>91554.52</v>
      </c>
      <c r="AC286">
        <v>128901</v>
      </c>
      <c r="AD286">
        <v>91446.982999999993</v>
      </c>
      <c r="AE286">
        <v>129294</v>
      </c>
      <c r="AF286">
        <v>93529.936000000002</v>
      </c>
      <c r="AG286">
        <v>127003</v>
      </c>
      <c r="AH286">
        <v>94148.426999999996</v>
      </c>
      <c r="AI286">
        <v>127540</v>
      </c>
      <c r="AJ286">
        <v>94662.476999999999</v>
      </c>
      <c r="AK286">
        <v>127774</v>
      </c>
      <c r="AL286">
        <v>97494.960999999996</v>
      </c>
      <c r="AM286">
        <v>128772</v>
      </c>
      <c r="AN286">
        <v>96682.841</v>
      </c>
      <c r="AO286">
        <v>95216</v>
      </c>
      <c r="AP286">
        <v>99946.888000000006</v>
      </c>
      <c r="AQ286">
        <v>92789</v>
      </c>
      <c r="AR286">
        <v>95141.017000000007</v>
      </c>
      <c r="AS286">
        <v>64984.536999999997</v>
      </c>
      <c r="AT286">
        <v>61998.498</v>
      </c>
      <c r="AU286">
        <v>66126</v>
      </c>
      <c r="AV286">
        <v>65670.894</v>
      </c>
      <c r="AW286">
        <v>64201.472999999998</v>
      </c>
      <c r="AX286">
        <v>65447.625999999997</v>
      </c>
      <c r="AY286">
        <v>61035.703000000001</v>
      </c>
      <c r="AZ286">
        <v>69165.997000000003</v>
      </c>
      <c r="BA286">
        <v>58047.186000000002</v>
      </c>
      <c r="BB286">
        <v>58800.534</v>
      </c>
      <c r="BC286">
        <v>59886.453999999998</v>
      </c>
      <c r="BD286">
        <v>66081.092999999993</v>
      </c>
      <c r="BE286">
        <v>36129.216999999997</v>
      </c>
      <c r="BF286">
        <v>36201.298000000003</v>
      </c>
      <c r="BG286">
        <v>36618.385999999999</v>
      </c>
      <c r="BH286">
        <v>39974.303999999996</v>
      </c>
      <c r="BI286">
        <v>36453.779000000002</v>
      </c>
      <c r="BJ286">
        <v>37024.131999999998</v>
      </c>
      <c r="BK286">
        <v>32942.995000000003</v>
      </c>
      <c r="BL286">
        <v>33371.315999999999</v>
      </c>
      <c r="BM286">
        <v>33284.673000000003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 x14ac:dyDescent="0.25">
      <c r="A287" t="str">
        <f>$A$83</f>
        <v xml:space="preserve">    Banco Santander SA</v>
      </c>
      <c r="B287" t="str">
        <f>$B$83</f>
        <v>SAN SM Equity</v>
      </c>
      <c r="C287" t="str">
        <f>$C$83</f>
        <v>BS017</v>
      </c>
      <c r="D287" t="str">
        <f>$D$83</f>
        <v>BS_CONS_LOAN</v>
      </c>
      <c r="E287" t="str">
        <f>$E$83</f>
        <v>Dynamic</v>
      </c>
      <c r="F287">
        <f ca="1">_xll.BDH($B$83,$C$83,$B$206,$B$207,CONCATENATE("Per=",$B$204),"Dts=H","Dir=H",CONCATENATE("Points=",$B$205),"Sort=R","Days=A","Fill=B",CONCATENATE("FX=", $B$203),"cols=60;rows=1")</f>
        <v>878730</v>
      </c>
      <c r="G287">
        <v>830698</v>
      </c>
      <c r="H287">
        <v>886642</v>
      </c>
      <c r="I287">
        <v>883060</v>
      </c>
      <c r="J287">
        <v>874231</v>
      </c>
      <c r="K287">
        <v>883232</v>
      </c>
      <c r="L287">
        <v>884240</v>
      </c>
      <c r="M287">
        <v>879113</v>
      </c>
      <c r="N287">
        <v>878344</v>
      </c>
      <c r="O287">
        <v>899669</v>
      </c>
      <c r="P287">
        <v>873479</v>
      </c>
      <c r="Q287">
        <v>864126</v>
      </c>
      <c r="R287">
        <v>832327</v>
      </c>
      <c r="S287">
        <v>820162</v>
      </c>
      <c r="T287">
        <v>816845</v>
      </c>
      <c r="U287">
        <v>809318</v>
      </c>
      <c r="V287">
        <v>791664</v>
      </c>
      <c r="W287">
        <v>727122</v>
      </c>
      <c r="X287">
        <v>757683</v>
      </c>
      <c r="Y287">
        <v>798014</v>
      </c>
      <c r="Z287">
        <v>804959</v>
      </c>
      <c r="AA287">
        <v>791141</v>
      </c>
      <c r="AB287">
        <v>788366</v>
      </c>
      <c r="AC287">
        <v>787600</v>
      </c>
      <c r="AD287">
        <v>766847</v>
      </c>
      <c r="AE287">
        <v>758584</v>
      </c>
      <c r="AF287">
        <v>757694</v>
      </c>
      <c r="AG287">
        <v>755092</v>
      </c>
      <c r="AH287">
        <v>753186</v>
      </c>
      <c r="AI287">
        <v>693316</v>
      </c>
      <c r="AJ287">
        <v>692749</v>
      </c>
      <c r="AK287">
        <v>712411</v>
      </c>
      <c r="AL287">
        <v>705749</v>
      </c>
      <c r="AM287">
        <v>471267</v>
      </c>
      <c r="AN287">
        <v>469072</v>
      </c>
      <c r="AO287">
        <v>482308</v>
      </c>
      <c r="AP287">
        <v>478925</v>
      </c>
      <c r="AT287">
        <v>368463</v>
      </c>
      <c r="AX287">
        <v>346587</v>
      </c>
      <c r="BB287">
        <v>367486</v>
      </c>
      <c r="BF287">
        <v>378591</v>
      </c>
      <c r="BJ287">
        <v>360340.03600000002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 x14ac:dyDescent="0.25">
      <c r="A288" t="str">
        <f>$A$84</f>
        <v xml:space="preserve">    Barclays PLC</v>
      </c>
      <c r="B288" t="str">
        <f>$B$84</f>
        <v>BARC LN Equity</v>
      </c>
      <c r="C288" t="str">
        <f>$C$84</f>
        <v>BS017</v>
      </c>
      <c r="D288" t="str">
        <f>$D$84</f>
        <v>BS_CONS_LOAN</v>
      </c>
      <c r="E288" t="str">
        <f>$E$84</f>
        <v>Dynamic</v>
      </c>
      <c r="F288">
        <f ca="1">_xll.BDH($B$84,$C$84,$B$206,$B$207,CONCATENATE("Per=",$B$204),"Dts=H","Dir=H",CONCATENATE("Points=",$B$205),"Sort=R","Days=A","Fill=B",CONCATENATE("FX=", $B$203),"cols=60;rows=1")</f>
        <v>319216.9596</v>
      </c>
      <c r="G288">
        <v>257562.9252</v>
      </c>
      <c r="H288">
        <v>241213.74859999999</v>
      </c>
      <c r="I288">
        <v>255021.2579</v>
      </c>
      <c r="J288">
        <v>295766.14439999999</v>
      </c>
      <c r="K288">
        <v>246539.73740000001</v>
      </c>
      <c r="L288">
        <v>247536.891</v>
      </c>
      <c r="M288">
        <v>262123.19399999999</v>
      </c>
      <c r="N288">
        <v>253828.71290000001</v>
      </c>
      <c r="O288">
        <v>255559.12460000001</v>
      </c>
      <c r="P288">
        <v>255595.0325</v>
      </c>
      <c r="R288">
        <v>251303.32029999999</v>
      </c>
      <c r="S288">
        <v>242968.08350000001</v>
      </c>
      <c r="T288">
        <v>239165.4486</v>
      </c>
      <c r="V288">
        <v>224400.10709999999</v>
      </c>
      <c r="W288">
        <v>221113.8168</v>
      </c>
      <c r="X288">
        <v>222877.052</v>
      </c>
      <c r="Z288">
        <v>247697.65719999999</v>
      </c>
      <c r="AA288">
        <v>244299.67989999999</v>
      </c>
      <c r="AB288">
        <v>240711.01370000001</v>
      </c>
      <c r="AD288">
        <v>228811.40169999999</v>
      </c>
      <c r="AE288">
        <v>236110.2838</v>
      </c>
      <c r="AF288">
        <v>234977.9425</v>
      </c>
      <c r="AH288">
        <v>226345.32260000001</v>
      </c>
      <c r="AJ288">
        <v>226875.79569999999</v>
      </c>
      <c r="AL288">
        <v>235844.86350000001</v>
      </c>
      <c r="AN288">
        <v>237871.40719999999</v>
      </c>
      <c r="AP288">
        <v>292924.01530000003</v>
      </c>
      <c r="AR288">
        <v>313706.20689999999</v>
      </c>
      <c r="AT288">
        <v>290872.804</v>
      </c>
      <c r="AV288">
        <v>292168.11949999997</v>
      </c>
      <c r="AX288">
        <v>279013.77710000001</v>
      </c>
      <c r="AZ288">
        <v>276519.95919999998</v>
      </c>
      <c r="BB288">
        <v>280161.88500000001</v>
      </c>
      <c r="BD288">
        <v>282175.59350000002</v>
      </c>
      <c r="BF288">
        <v>264866.43560000003</v>
      </c>
      <c r="BH288">
        <v>245302.45189999999</v>
      </c>
      <c r="BJ288">
        <v>224555.42559999999</v>
      </c>
      <c r="BL288">
        <v>265096.70110000001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 x14ac:dyDescent="0.25">
      <c r="A289" t="str">
        <f>$A$85</f>
        <v xml:space="preserve">    BAWAG Group AG</v>
      </c>
      <c r="B289" t="str">
        <f>$B$85</f>
        <v>BG AV Equity</v>
      </c>
      <c r="C289" t="str">
        <f>$C$85</f>
        <v>BS017</v>
      </c>
      <c r="D289" t="str">
        <f>$D$85</f>
        <v>BS_CONS_LOAN</v>
      </c>
      <c r="E289" t="str">
        <f>$E$85</f>
        <v>Dynamic</v>
      </c>
      <c r="F289">
        <f ca="1">_xll.BDH($B$85,$C$85,$B$206,$B$207,CONCATENATE("Per=",$B$204),"Dts=H","Dir=H",CONCATENATE("Points=",$B$205),"Sort=R","Days=A","Fill=B",CONCATENATE("FX=", $B$203),"cols=60;rows=1")</f>
        <v>43489</v>
      </c>
      <c r="H289">
        <v>31007</v>
      </c>
      <c r="J289">
        <v>32071</v>
      </c>
      <c r="L289">
        <v>33037</v>
      </c>
      <c r="N289">
        <v>34449</v>
      </c>
      <c r="P289">
        <v>35874</v>
      </c>
      <c r="R289">
        <v>33596</v>
      </c>
      <c r="V289">
        <v>30654</v>
      </c>
      <c r="AN289">
        <v>1193</v>
      </c>
      <c r="AO289">
        <v>1149</v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  <row r="290" spans="1:125" x14ac:dyDescent="0.25">
      <c r="A290" t="str">
        <f>$A$86</f>
        <v xml:space="preserve">    BNP Paribas SA</v>
      </c>
      <c r="B290" t="str">
        <f>$B$86</f>
        <v>BNP FP Equity</v>
      </c>
      <c r="C290" t="str">
        <f>$C$86</f>
        <v>BS017</v>
      </c>
      <c r="D290" t="str">
        <f>$D$86</f>
        <v>BS_CONS_LOAN</v>
      </c>
      <c r="E290" t="str">
        <f>$E$86</f>
        <v>Dynamic</v>
      </c>
      <c r="F290">
        <f ca="1">_xll.BDH($B$86,$C$86,$B$206,$B$207,CONCATENATE("Per=",$B$204),"Dts=H","Dir=H",CONCATENATE("Points=",$B$205),"Sort=R","Days=A","Fill=B",CONCATENATE("FX=", $B$203),"cols=60;rows=1")</f>
        <v>916560</v>
      </c>
      <c r="H290">
        <v>888804</v>
      </c>
      <c r="J290">
        <v>876213</v>
      </c>
      <c r="L290">
        <v>869971</v>
      </c>
      <c r="N290">
        <v>874508</v>
      </c>
      <c r="P290">
        <v>874320</v>
      </c>
      <c r="R290">
        <v>833594</v>
      </c>
      <c r="T290">
        <v>846594</v>
      </c>
      <c r="V290">
        <v>829656</v>
      </c>
      <c r="X290">
        <v>849521</v>
      </c>
      <c r="Z290">
        <v>825740</v>
      </c>
      <c r="AB290">
        <v>813292</v>
      </c>
      <c r="AD290">
        <v>789016</v>
      </c>
      <c r="AF290">
        <v>773679</v>
      </c>
      <c r="AH290">
        <v>757917</v>
      </c>
      <c r="AJ290">
        <v>739148</v>
      </c>
      <c r="AN290">
        <v>717488</v>
      </c>
      <c r="AP290">
        <v>703243</v>
      </c>
      <c r="AT290">
        <v>681989</v>
      </c>
      <c r="AV290">
        <v>643197</v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  <c r="CI290" t="str">
        <f>""</f>
        <v/>
      </c>
      <c r="CJ290" t="str">
        <f>""</f>
        <v/>
      </c>
      <c r="CK290" t="str">
        <f>""</f>
        <v/>
      </c>
      <c r="CL290" t="str">
        <f>""</f>
        <v/>
      </c>
      <c r="CM290" t="str">
        <f>""</f>
        <v/>
      </c>
      <c r="CN290" t="str">
        <f>""</f>
        <v/>
      </c>
      <c r="CO290" t="str">
        <f>""</f>
        <v/>
      </c>
      <c r="CP290" t="str">
        <f>""</f>
        <v/>
      </c>
      <c r="CQ290" t="str">
        <f>""</f>
        <v/>
      </c>
      <c r="CR290" t="str">
        <f>""</f>
        <v/>
      </c>
      <c r="CS290" t="str">
        <f>""</f>
        <v/>
      </c>
      <c r="CT290" t="str">
        <f>""</f>
        <v/>
      </c>
      <c r="CU290" t="str">
        <f>""</f>
        <v/>
      </c>
      <c r="CV290" t="str">
        <f>""</f>
        <v/>
      </c>
      <c r="CW290" t="str">
        <f>""</f>
        <v/>
      </c>
      <c r="CX290" t="str">
        <f>""</f>
        <v/>
      </c>
      <c r="CY290" t="str">
        <f>""</f>
        <v/>
      </c>
      <c r="CZ290" t="str">
        <f>""</f>
        <v/>
      </c>
      <c r="DA290" t="str">
        <f>""</f>
        <v/>
      </c>
      <c r="DB290" t="str">
        <f>""</f>
        <v/>
      </c>
      <c r="DC290" t="str">
        <f>""</f>
        <v/>
      </c>
      <c r="DD290" t="str">
        <f>""</f>
        <v/>
      </c>
      <c r="DE290" t="str">
        <f>""</f>
        <v/>
      </c>
      <c r="DF290" t="str">
        <f>""</f>
        <v/>
      </c>
      <c r="DG290" t="str">
        <f>""</f>
        <v/>
      </c>
      <c r="DH290" t="str">
        <f>""</f>
        <v/>
      </c>
      <c r="DI290" t="str">
        <f>""</f>
        <v/>
      </c>
      <c r="DJ290" t="str">
        <f>""</f>
        <v/>
      </c>
      <c r="DK290" t="str">
        <f>""</f>
        <v/>
      </c>
      <c r="DL290" t="str">
        <f>""</f>
        <v/>
      </c>
      <c r="DM290" t="str">
        <f>""</f>
        <v/>
      </c>
      <c r="DN290" t="str">
        <f>""</f>
        <v/>
      </c>
      <c r="DO290" t="str">
        <f>""</f>
        <v/>
      </c>
      <c r="DP290" t="str">
        <f>""</f>
        <v/>
      </c>
      <c r="DQ290" t="str">
        <f>""</f>
        <v/>
      </c>
      <c r="DR290" t="str">
        <f>""</f>
        <v/>
      </c>
      <c r="DS290" t="str">
        <f>""</f>
        <v/>
      </c>
      <c r="DT290" t="str">
        <f>""</f>
        <v/>
      </c>
      <c r="DU290" t="str">
        <f>""</f>
        <v/>
      </c>
    </row>
    <row r="291" spans="1:125" x14ac:dyDescent="0.25">
      <c r="A291" t="str">
        <f>$A$87</f>
        <v xml:space="preserve">    Banco BPM SpA</v>
      </c>
      <c r="B291" t="str">
        <f>$B$87</f>
        <v>BAMI IM Equity</v>
      </c>
      <c r="C291" t="str">
        <f>$C$87</f>
        <v>BS017</v>
      </c>
      <c r="D291" t="str">
        <f>$D$87</f>
        <v>BS_CONS_LOAN</v>
      </c>
      <c r="E291" t="str">
        <f>$E$87</f>
        <v>Dynamic</v>
      </c>
      <c r="F291" t="str">
        <f ca="1">_xll.BDH($B$87,$C$87,$B$206,$B$207,CONCATENATE("Per=",$B$204),"Dts=H","Dir=H",CONCATENATE("Points=",$B$205),"Sort=R","Days=A","Fill=B",CONCATENATE("FX=", $B$203),"cols=60;rows=1")</f>
        <v/>
      </c>
      <c r="H291">
        <v>84949.145000000004</v>
      </c>
      <c r="J291">
        <v>86610</v>
      </c>
      <c r="L291">
        <v>90270.850999999995</v>
      </c>
      <c r="N291">
        <v>91559.573999999993</v>
      </c>
      <c r="P291">
        <v>92207.303</v>
      </c>
      <c r="R291">
        <v>89179.028000000006</v>
      </c>
      <c r="T291">
        <v>88940.827000000005</v>
      </c>
      <c r="V291">
        <v>86822.320999999996</v>
      </c>
      <c r="X291">
        <v>82066.695999999996</v>
      </c>
      <c r="Z291">
        <v>78707.923999999999</v>
      </c>
      <c r="AB291">
        <v>76506.846000000005</v>
      </c>
      <c r="AD291">
        <v>75819.822</v>
      </c>
      <c r="AF291">
        <v>75106.342000000004</v>
      </c>
      <c r="AH291">
        <v>78094.652000000002</v>
      </c>
      <c r="AJ291">
        <v>73713.349000000002</v>
      </c>
      <c r="AN291">
        <v>49482.906000000003</v>
      </c>
      <c r="AP291">
        <v>49974.133999999998</v>
      </c>
      <c r="AQ291">
        <v>50719.671999999999</v>
      </c>
      <c r="AR291">
        <v>51440.141000000003</v>
      </c>
      <c r="AS291">
        <v>51038.976000000002</v>
      </c>
      <c r="AT291">
        <v>50205.669000000002</v>
      </c>
      <c r="AU291">
        <v>52322.938000000002</v>
      </c>
      <c r="AV291">
        <v>53614.652999999998</v>
      </c>
      <c r="AW291">
        <v>54478.824999999997</v>
      </c>
      <c r="AX291">
        <v>54559.659</v>
      </c>
      <c r="AY291">
        <v>56020.805999999997</v>
      </c>
      <c r="AZ291">
        <v>56771.413999999997</v>
      </c>
      <c r="BA291">
        <v>57324.925000000003</v>
      </c>
      <c r="BB291">
        <v>58253.516000000003</v>
      </c>
      <c r="BC291">
        <v>58683.571000000004</v>
      </c>
      <c r="BD291">
        <v>59829.540999999997</v>
      </c>
      <c r="BE291">
        <v>60816.735999999997</v>
      </c>
      <c r="BF291">
        <v>61901.678999999996</v>
      </c>
      <c r="BG291">
        <v>63028.372000000003</v>
      </c>
      <c r="BH291">
        <v>63959.446000000004</v>
      </c>
      <c r="BI291">
        <v>63989.58</v>
      </c>
      <c r="BJ291">
        <v>62395.552000000003</v>
      </c>
      <c r="BK291">
        <v>62137.050999999999</v>
      </c>
      <c r="BL291">
        <v>62373.406000000003</v>
      </c>
      <c r="BM291">
        <v>60677.786</v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  <c r="CI291" t="str">
        <f>""</f>
        <v/>
      </c>
      <c r="CJ291" t="str">
        <f>""</f>
        <v/>
      </c>
      <c r="CK291" t="str">
        <f>""</f>
        <v/>
      </c>
      <c r="CL291" t="str">
        <f>""</f>
        <v/>
      </c>
      <c r="CM291" t="str">
        <f>""</f>
        <v/>
      </c>
      <c r="CN291" t="str">
        <f>""</f>
        <v/>
      </c>
      <c r="CO291" t="str">
        <f>""</f>
        <v/>
      </c>
      <c r="CP291" t="str">
        <f>""</f>
        <v/>
      </c>
      <c r="CQ291" t="str">
        <f>""</f>
        <v/>
      </c>
      <c r="CR291" t="str">
        <f>""</f>
        <v/>
      </c>
      <c r="CS291" t="str">
        <f>""</f>
        <v/>
      </c>
      <c r="CT291" t="str">
        <f>""</f>
        <v/>
      </c>
      <c r="CU291" t="str">
        <f>""</f>
        <v/>
      </c>
      <c r="CV291" t="str">
        <f>""</f>
        <v/>
      </c>
      <c r="CW291" t="str">
        <f>""</f>
        <v/>
      </c>
      <c r="CX291" t="str">
        <f>""</f>
        <v/>
      </c>
      <c r="CY291" t="str">
        <f>""</f>
        <v/>
      </c>
      <c r="CZ291" t="str">
        <f>""</f>
        <v/>
      </c>
      <c r="DA291" t="str">
        <f>""</f>
        <v/>
      </c>
      <c r="DB291" t="str">
        <f>""</f>
        <v/>
      </c>
      <c r="DC291" t="str">
        <f>""</f>
        <v/>
      </c>
      <c r="DD291" t="str">
        <f>""</f>
        <v/>
      </c>
      <c r="DE291" t="str">
        <f>""</f>
        <v/>
      </c>
      <c r="DF291" t="str">
        <f>""</f>
        <v/>
      </c>
      <c r="DG291" t="str">
        <f>""</f>
        <v/>
      </c>
      <c r="DH291" t="str">
        <f>""</f>
        <v/>
      </c>
      <c r="DI291" t="str">
        <f>""</f>
        <v/>
      </c>
      <c r="DJ291" t="str">
        <f>""</f>
        <v/>
      </c>
      <c r="DK291" t="str">
        <f>""</f>
        <v/>
      </c>
      <c r="DL291" t="str">
        <f>""</f>
        <v/>
      </c>
      <c r="DM291" t="str">
        <f>""</f>
        <v/>
      </c>
      <c r="DN291" t="str">
        <f>""</f>
        <v/>
      </c>
      <c r="DO291" t="str">
        <f>""</f>
        <v/>
      </c>
      <c r="DP291" t="str">
        <f>""</f>
        <v/>
      </c>
      <c r="DQ291" t="str">
        <f>""</f>
        <v/>
      </c>
      <c r="DR291" t="str">
        <f>""</f>
        <v/>
      </c>
      <c r="DS291" t="str">
        <f>""</f>
        <v/>
      </c>
      <c r="DT291" t="str">
        <f>""</f>
        <v/>
      </c>
      <c r="DU291" t="str">
        <f>""</f>
        <v/>
      </c>
    </row>
    <row r="292" spans="1:125" x14ac:dyDescent="0.25">
      <c r="A292" t="str">
        <f>$A$88</f>
        <v xml:space="preserve">    Banco Bilbao Vizcaya Argentaria SA</v>
      </c>
      <c r="B292" t="str">
        <f>$B$88</f>
        <v>BBVA SM Equity</v>
      </c>
      <c r="C292" t="str">
        <f>$C$88</f>
        <v>BS017</v>
      </c>
      <c r="D292" t="str">
        <f>$D$88</f>
        <v>BS_CONS_LOAN</v>
      </c>
      <c r="E292" t="str">
        <f>$E$88</f>
        <v>Dynamic</v>
      </c>
      <c r="F292">
        <f ca="1">_xll.BDH($B$88,$C$88,$B$206,$B$207,CONCATENATE("Per=",$B$204),"Dts=H","Dir=H",CONCATENATE("Points=",$B$205),"Sort=R","Days=A","Fill=B",CONCATENATE("FX=", $B$203),"cols=60;rows=1")</f>
        <v>384431</v>
      </c>
      <c r="G292">
        <v>158697</v>
      </c>
      <c r="H292">
        <v>161807</v>
      </c>
      <c r="I292">
        <v>161878</v>
      </c>
      <c r="J292">
        <v>205562</v>
      </c>
      <c r="K292">
        <v>153328</v>
      </c>
      <c r="L292">
        <v>151247</v>
      </c>
      <c r="M292">
        <v>148659</v>
      </c>
      <c r="N292">
        <v>190528</v>
      </c>
      <c r="O292">
        <v>146024</v>
      </c>
      <c r="P292">
        <v>143125</v>
      </c>
      <c r="Q292">
        <v>138769</v>
      </c>
      <c r="R292">
        <v>175680</v>
      </c>
      <c r="S292">
        <v>136628</v>
      </c>
      <c r="T292">
        <v>134669</v>
      </c>
      <c r="U292">
        <v>133241</v>
      </c>
      <c r="V292">
        <v>175024</v>
      </c>
      <c r="W292">
        <v>149749</v>
      </c>
      <c r="X292">
        <v>153077</v>
      </c>
      <c r="Y292">
        <v>134336</v>
      </c>
      <c r="Z292">
        <v>212629</v>
      </c>
      <c r="AA292">
        <v>160571</v>
      </c>
      <c r="AB292">
        <v>161249</v>
      </c>
      <c r="AC292">
        <v>161575</v>
      </c>
      <c r="AD292">
        <v>159974</v>
      </c>
      <c r="AE292">
        <v>169594</v>
      </c>
      <c r="AF292">
        <v>153100</v>
      </c>
      <c r="AG292">
        <v>137382</v>
      </c>
      <c r="AH292">
        <v>159780</v>
      </c>
      <c r="AI292">
        <v>169245</v>
      </c>
      <c r="AJ292">
        <v>169948</v>
      </c>
      <c r="AK292">
        <v>173167</v>
      </c>
      <c r="AL292">
        <v>226549</v>
      </c>
      <c r="AM292">
        <v>171775</v>
      </c>
      <c r="AN292">
        <v>177350</v>
      </c>
      <c r="AO292">
        <v>175462</v>
      </c>
      <c r="AP292">
        <v>225636</v>
      </c>
      <c r="AQ292">
        <v>177935</v>
      </c>
      <c r="AR292">
        <v>181356</v>
      </c>
      <c r="AS292">
        <v>160938</v>
      </c>
      <c r="AT292">
        <v>157477</v>
      </c>
      <c r="AU292">
        <v>162301</v>
      </c>
      <c r="AV292">
        <v>167789</v>
      </c>
      <c r="AW292">
        <v>168460</v>
      </c>
      <c r="AX292">
        <v>149891</v>
      </c>
      <c r="AZ292">
        <v>186513</v>
      </c>
      <c r="BA292">
        <v>192543</v>
      </c>
      <c r="BB292">
        <v>151243</v>
      </c>
      <c r="BF292">
        <v>139063</v>
      </c>
      <c r="BJ292">
        <v>135868</v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  <c r="CI292" t="str">
        <f>""</f>
        <v/>
      </c>
      <c r="CJ292" t="str">
        <f>""</f>
        <v/>
      </c>
      <c r="CK292" t="str">
        <f>""</f>
        <v/>
      </c>
      <c r="CL292" t="str">
        <f>""</f>
        <v/>
      </c>
      <c r="CM292" t="str">
        <f>""</f>
        <v/>
      </c>
      <c r="CN292" t="str">
        <f>""</f>
        <v/>
      </c>
      <c r="CO292" t="str">
        <f>""</f>
        <v/>
      </c>
      <c r="CP292" t="str">
        <f>""</f>
        <v/>
      </c>
      <c r="CQ292" t="str">
        <f>""</f>
        <v/>
      </c>
      <c r="CR292" t="str">
        <f>""</f>
        <v/>
      </c>
      <c r="CS292" t="str">
        <f>""</f>
        <v/>
      </c>
      <c r="CT292" t="str">
        <f>""</f>
        <v/>
      </c>
      <c r="CU292" t="str">
        <f>""</f>
        <v/>
      </c>
      <c r="CV292" t="str">
        <f>""</f>
        <v/>
      </c>
      <c r="CW292" t="str">
        <f>""</f>
        <v/>
      </c>
      <c r="CX292" t="str">
        <f>""</f>
        <v/>
      </c>
      <c r="CY292" t="str">
        <f>""</f>
        <v/>
      </c>
      <c r="CZ292" t="str">
        <f>""</f>
        <v/>
      </c>
      <c r="DA292" t="str">
        <f>""</f>
        <v/>
      </c>
      <c r="DB292" t="str">
        <f>""</f>
        <v/>
      </c>
      <c r="DC292" t="str">
        <f>""</f>
        <v/>
      </c>
      <c r="DD292" t="str">
        <f>""</f>
        <v/>
      </c>
      <c r="DE292" t="str">
        <f>""</f>
        <v/>
      </c>
      <c r="DF292" t="str">
        <f>""</f>
        <v/>
      </c>
      <c r="DG292" t="str">
        <f>""</f>
        <v/>
      </c>
      <c r="DH292" t="str">
        <f>""</f>
        <v/>
      </c>
      <c r="DI292" t="str">
        <f>""</f>
        <v/>
      </c>
      <c r="DJ292" t="str">
        <f>""</f>
        <v/>
      </c>
      <c r="DK292" t="str">
        <f>""</f>
        <v/>
      </c>
      <c r="DL292" t="str">
        <f>""</f>
        <v/>
      </c>
      <c r="DM292" t="str">
        <f>""</f>
        <v/>
      </c>
      <c r="DN292" t="str">
        <f>""</f>
        <v/>
      </c>
      <c r="DO292" t="str">
        <f>""</f>
        <v/>
      </c>
      <c r="DP292" t="str">
        <f>""</f>
        <v/>
      </c>
      <c r="DQ292" t="str">
        <f>""</f>
        <v/>
      </c>
      <c r="DR292" t="str">
        <f>""</f>
        <v/>
      </c>
      <c r="DS292" t="str">
        <f>""</f>
        <v/>
      </c>
      <c r="DT292" t="str">
        <f>""</f>
        <v/>
      </c>
      <c r="DU292" t="str">
        <f>""</f>
        <v/>
      </c>
    </row>
    <row r="293" spans="1:125" x14ac:dyDescent="0.25">
      <c r="A293" t="str">
        <f>$A$89</f>
        <v xml:space="preserve">    Bank of Ireland Group PLC</v>
      </c>
      <c r="B293" t="str">
        <f>$B$89</f>
        <v>BIRG ID Equity</v>
      </c>
      <c r="C293" t="str">
        <f>$C$89</f>
        <v>BS017</v>
      </c>
      <c r="D293" t="str">
        <f>$D$89</f>
        <v>BS_CONS_LOAN</v>
      </c>
      <c r="E293" t="str">
        <f>$E$89</f>
        <v>Dynamic</v>
      </c>
      <c r="F293" t="str">
        <f ca="1">_xll.BDH($B$89,$C$89,$B$206,$B$207,CONCATENATE("Per=",$B$204),"Dts=H","Dir=H",CONCATENATE("Points=",$B$205),"Sort=R","Days=A","Fill=B",CONCATENATE("FX=", $B$203) )</f>
        <v/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  <c r="CI293" t="str">
        <f>""</f>
        <v/>
      </c>
      <c r="CJ293" t="str">
        <f>""</f>
        <v/>
      </c>
      <c r="CK293" t="str">
        <f>""</f>
        <v/>
      </c>
      <c r="CL293" t="str">
        <f>""</f>
        <v/>
      </c>
      <c r="CM293" t="str">
        <f>""</f>
        <v/>
      </c>
      <c r="CN293" t="str">
        <f>""</f>
        <v/>
      </c>
      <c r="CO293" t="str">
        <f>""</f>
        <v/>
      </c>
      <c r="CP293" t="str">
        <f>""</f>
        <v/>
      </c>
      <c r="CQ293" t="str">
        <f>""</f>
        <v/>
      </c>
      <c r="CR293" t="str">
        <f>""</f>
        <v/>
      </c>
      <c r="CS293" t="str">
        <f>""</f>
        <v/>
      </c>
      <c r="CT293" t="str">
        <f>""</f>
        <v/>
      </c>
      <c r="CU293" t="str">
        <f>""</f>
        <v/>
      </c>
      <c r="CV293" t="str">
        <f>""</f>
        <v/>
      </c>
      <c r="CW293" t="str">
        <f>""</f>
        <v/>
      </c>
      <c r="CX293" t="str">
        <f>""</f>
        <v/>
      </c>
      <c r="CY293" t="str">
        <f>""</f>
        <v/>
      </c>
      <c r="CZ293" t="str">
        <f>""</f>
        <v/>
      </c>
      <c r="DA293" t="str">
        <f>""</f>
        <v/>
      </c>
      <c r="DB293" t="str">
        <f>""</f>
        <v/>
      </c>
      <c r="DC293" t="str">
        <f>""</f>
        <v/>
      </c>
      <c r="DD293" t="str">
        <f>""</f>
        <v/>
      </c>
      <c r="DE293" t="str">
        <f>""</f>
        <v/>
      </c>
      <c r="DF293" t="str">
        <f>""</f>
        <v/>
      </c>
      <c r="DG293" t="str">
        <f>""</f>
        <v/>
      </c>
      <c r="DH293" t="str">
        <f>""</f>
        <v/>
      </c>
      <c r="DI293" t="str">
        <f>""</f>
        <v/>
      </c>
      <c r="DJ293" t="str">
        <f>""</f>
        <v/>
      </c>
      <c r="DK293" t="str">
        <f>""</f>
        <v/>
      </c>
      <c r="DL293" t="str">
        <f>""</f>
        <v/>
      </c>
      <c r="DM293" t="str">
        <f>""</f>
        <v/>
      </c>
      <c r="DN293" t="str">
        <f>""</f>
        <v/>
      </c>
      <c r="DO293" t="str">
        <f>""</f>
        <v/>
      </c>
      <c r="DP293" t="str">
        <f>""</f>
        <v/>
      </c>
      <c r="DQ293" t="str">
        <f>""</f>
        <v/>
      </c>
      <c r="DR293" t="str">
        <f>""</f>
        <v/>
      </c>
      <c r="DS293" t="str">
        <f>""</f>
        <v/>
      </c>
      <c r="DT293" t="str">
        <f>""</f>
        <v/>
      </c>
      <c r="DU293" t="str">
        <f>""</f>
        <v/>
      </c>
    </row>
    <row r="294" spans="1:125" x14ac:dyDescent="0.25">
      <c r="A294" t="str">
        <f>$A$90</f>
        <v xml:space="preserve">    Bankinter SA</v>
      </c>
      <c r="B294" t="str">
        <f>$B$90</f>
        <v>BKT SM Equity</v>
      </c>
      <c r="C294" t="str">
        <f>$C$90</f>
        <v>BS017</v>
      </c>
      <c r="D294" t="str">
        <f>$D$90</f>
        <v>BS_CONS_LOAN</v>
      </c>
      <c r="E294" t="str">
        <f>$E$90</f>
        <v>Dynamic</v>
      </c>
      <c r="F294">
        <f ca="1">_xll.BDH($B$90,$C$90,$B$206,$B$207,CONCATENATE("Per=",$B$204),"Dts=H","Dir=H",CONCATENATE("Points=",$B$205),"Sort=R","Days=A","Fill=B",CONCATENATE("FX=", $B$203),"cols=60;rows=1")</f>
        <v>44954.290999999997</v>
      </c>
      <c r="G294">
        <v>57547.974000000002</v>
      </c>
      <c r="H294">
        <v>57250.588000000003</v>
      </c>
      <c r="I294">
        <v>56068.328999999998</v>
      </c>
      <c r="J294">
        <v>43219.29</v>
      </c>
      <c r="K294">
        <v>54771.262000000002</v>
      </c>
      <c r="L294">
        <v>54846.351999999999</v>
      </c>
      <c r="M294">
        <v>54247.400999999998</v>
      </c>
      <c r="N294">
        <v>42224.108999999997</v>
      </c>
      <c r="O294">
        <v>52797</v>
      </c>
      <c r="P294">
        <v>52582.173999999999</v>
      </c>
      <c r="Q294">
        <v>51550.817999999999</v>
      </c>
      <c r="R294">
        <v>38963.892</v>
      </c>
      <c r="S294">
        <v>49646.392999999996</v>
      </c>
      <c r="T294">
        <v>49486.347000000002</v>
      </c>
      <c r="U294">
        <v>48806.277000000002</v>
      </c>
      <c r="V294">
        <v>36122.279000000002</v>
      </c>
      <c r="W294">
        <v>47606.36</v>
      </c>
      <c r="X294">
        <v>47523.099000000002</v>
      </c>
      <c r="Y294">
        <v>43934.684999999998</v>
      </c>
      <c r="Z294">
        <v>35494.807000000001</v>
      </c>
      <c r="AA294">
        <v>42673.508000000002</v>
      </c>
      <c r="AB294">
        <v>41872.561000000002</v>
      </c>
      <c r="AC294">
        <v>39975.972999999998</v>
      </c>
      <c r="AD294">
        <v>41587.021000000001</v>
      </c>
      <c r="AE294">
        <v>39056.707000000002</v>
      </c>
      <c r="AF294">
        <v>38928.252999999997</v>
      </c>
      <c r="AG294">
        <v>38337.082000000002</v>
      </c>
      <c r="AH294">
        <v>39775.760000000002</v>
      </c>
      <c r="AI294">
        <v>37751.453000000001</v>
      </c>
      <c r="AJ294">
        <v>37672.718999999997</v>
      </c>
      <c r="AK294">
        <v>37632.394999999997</v>
      </c>
      <c r="AL294">
        <v>39017.902999999998</v>
      </c>
      <c r="AM294">
        <v>37370.953999999998</v>
      </c>
      <c r="AN294">
        <v>37387.131000000001</v>
      </c>
      <c r="AO294">
        <v>32440.958999999999</v>
      </c>
      <c r="AP294">
        <v>27057.811000000002</v>
      </c>
      <c r="AQ294">
        <v>32792.656000000003</v>
      </c>
      <c r="AR294">
        <v>31584.697</v>
      </c>
      <c r="AS294">
        <v>31436.537</v>
      </c>
      <c r="AT294">
        <v>26621.56</v>
      </c>
      <c r="AU294">
        <v>31510.721000000001</v>
      </c>
      <c r="AV294">
        <v>29983.838</v>
      </c>
      <c r="AW294">
        <v>29388.879000000001</v>
      </c>
      <c r="AX294">
        <v>26291.585999999999</v>
      </c>
      <c r="AY294">
        <v>30071.09</v>
      </c>
      <c r="AZ294">
        <v>27569.749</v>
      </c>
      <c r="BA294">
        <v>27751.511999999999</v>
      </c>
      <c r="BB294">
        <v>28511.360000000001</v>
      </c>
      <c r="BC294">
        <v>28307.025000000001</v>
      </c>
      <c r="BD294">
        <v>28220.675999999999</v>
      </c>
      <c r="BE294">
        <v>28363.109</v>
      </c>
      <c r="BF294">
        <v>739.56200000000001</v>
      </c>
      <c r="BG294">
        <v>29241.355</v>
      </c>
      <c r="BH294">
        <v>29113.455999999998</v>
      </c>
      <c r="BI294">
        <v>29256.573</v>
      </c>
      <c r="BJ294">
        <v>31223.083999999999</v>
      </c>
      <c r="BK294">
        <v>29951.109</v>
      </c>
      <c r="BL294">
        <v>29915.382000000001</v>
      </c>
      <c r="BM294">
        <v>28794.464</v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  <c r="CI294" t="str">
        <f>""</f>
        <v/>
      </c>
      <c r="CJ294" t="str">
        <f>""</f>
        <v/>
      </c>
      <c r="CK294" t="str">
        <f>""</f>
        <v/>
      </c>
      <c r="CL294" t="str">
        <f>""</f>
        <v/>
      </c>
      <c r="CM294" t="str">
        <f>""</f>
        <v/>
      </c>
      <c r="CN294" t="str">
        <f>""</f>
        <v/>
      </c>
      <c r="CO294" t="str">
        <f>""</f>
        <v/>
      </c>
      <c r="CP294" t="str">
        <f>""</f>
        <v/>
      </c>
      <c r="CQ294" t="str">
        <f>""</f>
        <v/>
      </c>
      <c r="CR294" t="str">
        <f>""</f>
        <v/>
      </c>
      <c r="CS294" t="str">
        <f>""</f>
        <v/>
      </c>
      <c r="CT294" t="str">
        <f>""</f>
        <v/>
      </c>
      <c r="CU294" t="str">
        <f>""</f>
        <v/>
      </c>
      <c r="CV294" t="str">
        <f>""</f>
        <v/>
      </c>
      <c r="CW294" t="str">
        <f>""</f>
        <v/>
      </c>
      <c r="CX294" t="str">
        <f>""</f>
        <v/>
      </c>
      <c r="CY294" t="str">
        <f>""</f>
        <v/>
      </c>
      <c r="CZ294" t="str">
        <f>""</f>
        <v/>
      </c>
      <c r="DA294" t="str">
        <f>""</f>
        <v/>
      </c>
      <c r="DB294" t="str">
        <f>""</f>
        <v/>
      </c>
      <c r="DC294" t="str">
        <f>""</f>
        <v/>
      </c>
      <c r="DD294" t="str">
        <f>""</f>
        <v/>
      </c>
      <c r="DE294" t="str">
        <f>""</f>
        <v/>
      </c>
      <c r="DF294" t="str">
        <f>""</f>
        <v/>
      </c>
      <c r="DG294" t="str">
        <f>""</f>
        <v/>
      </c>
      <c r="DH294" t="str">
        <f>""</f>
        <v/>
      </c>
      <c r="DI294" t="str">
        <f>""</f>
        <v/>
      </c>
      <c r="DJ294" t="str">
        <f>""</f>
        <v/>
      </c>
      <c r="DK294" t="str">
        <f>""</f>
        <v/>
      </c>
      <c r="DL294" t="str">
        <f>""</f>
        <v/>
      </c>
      <c r="DM294" t="str">
        <f>""</f>
        <v/>
      </c>
      <c r="DN294" t="str">
        <f>""</f>
        <v/>
      </c>
      <c r="DO294" t="str">
        <f>""</f>
        <v/>
      </c>
      <c r="DP294" t="str">
        <f>""</f>
        <v/>
      </c>
      <c r="DQ294" t="str">
        <f>""</f>
        <v/>
      </c>
      <c r="DR294" t="str">
        <f>""</f>
        <v/>
      </c>
      <c r="DS294" t="str">
        <f>""</f>
        <v/>
      </c>
      <c r="DT294" t="str">
        <f>""</f>
        <v/>
      </c>
      <c r="DU294" t="str">
        <f>""</f>
        <v/>
      </c>
    </row>
    <row r="295" spans="1:125" x14ac:dyDescent="0.25">
      <c r="A295" t="str">
        <f>$A$91</f>
        <v xml:space="preserve">    CaixaBank SA</v>
      </c>
      <c r="B295" t="str">
        <f>$B$91</f>
        <v>CABK SM Equity</v>
      </c>
      <c r="C295" t="str">
        <f>$C$91</f>
        <v>BS017</v>
      </c>
      <c r="D295" t="str">
        <f>$D$91</f>
        <v>BS_CONS_LOAN</v>
      </c>
      <c r="E295" t="str">
        <f>$E$91</f>
        <v>Dynamic</v>
      </c>
      <c r="F295">
        <f ca="1">_xll.BDH($B$91,$C$91,$B$206,$B$207,CONCATENATE("Per=",$B$204),"Dts=H","Dir=H",CONCATENATE("Points=",$B$205),"Sort=R","Days=A","Fill=B",CONCATENATE("FX=", $B$203),"cols=60;rows=1")</f>
        <v>176726</v>
      </c>
      <c r="G295">
        <v>154333</v>
      </c>
      <c r="H295">
        <v>153363</v>
      </c>
      <c r="I295">
        <v>152828</v>
      </c>
      <c r="J295">
        <v>175808</v>
      </c>
      <c r="K295">
        <v>153358</v>
      </c>
      <c r="L295">
        <v>154981</v>
      </c>
      <c r="M295">
        <v>156378</v>
      </c>
      <c r="N295">
        <v>183867</v>
      </c>
      <c r="O295">
        <v>159008</v>
      </c>
      <c r="P295">
        <v>186128</v>
      </c>
      <c r="Q295">
        <v>157491</v>
      </c>
      <c r="R295">
        <v>184751</v>
      </c>
      <c r="S295">
        <v>187177</v>
      </c>
      <c r="T295">
        <v>192592</v>
      </c>
      <c r="U295">
        <v>164322</v>
      </c>
      <c r="V295">
        <v>120649</v>
      </c>
      <c r="W295">
        <v>121757</v>
      </c>
      <c r="X295">
        <v>124153</v>
      </c>
      <c r="Y295">
        <v>102520</v>
      </c>
      <c r="Z295">
        <v>124334</v>
      </c>
      <c r="AA295">
        <v>125216</v>
      </c>
      <c r="AB295">
        <v>104485</v>
      </c>
      <c r="AC295">
        <v>104418</v>
      </c>
      <c r="AD295">
        <v>127046</v>
      </c>
      <c r="AE295">
        <v>92456</v>
      </c>
      <c r="AF295">
        <v>104152</v>
      </c>
      <c r="AG295">
        <v>104017</v>
      </c>
      <c r="AH295">
        <v>128490</v>
      </c>
      <c r="AI295">
        <v>129127</v>
      </c>
      <c r="AJ295">
        <v>131293</v>
      </c>
      <c r="AK295">
        <v>96786</v>
      </c>
      <c r="AL295">
        <v>86405</v>
      </c>
      <c r="AM295">
        <v>87483</v>
      </c>
      <c r="AN295">
        <v>88221</v>
      </c>
      <c r="AO295">
        <v>88651</v>
      </c>
      <c r="AP295">
        <v>89378</v>
      </c>
      <c r="AQ295">
        <v>90505</v>
      </c>
      <c r="AR295">
        <v>91465</v>
      </c>
      <c r="AS295">
        <v>92741</v>
      </c>
      <c r="AT295">
        <v>80421</v>
      </c>
      <c r="AU295">
        <v>84518</v>
      </c>
      <c r="AV295">
        <v>85493</v>
      </c>
      <c r="AW295">
        <v>86440</v>
      </c>
      <c r="AX295">
        <v>84412</v>
      </c>
      <c r="AY295">
        <v>88832</v>
      </c>
      <c r="AZ295">
        <v>90321</v>
      </c>
      <c r="BA295">
        <v>91640</v>
      </c>
      <c r="BB295">
        <v>87720</v>
      </c>
      <c r="BC295">
        <v>90467</v>
      </c>
      <c r="BD295">
        <v>68700</v>
      </c>
      <c r="BE295">
        <v>69136</v>
      </c>
      <c r="BF295">
        <v>69705</v>
      </c>
      <c r="BG295">
        <v>69931</v>
      </c>
      <c r="BH295">
        <v>70032</v>
      </c>
      <c r="BI295">
        <v>69946</v>
      </c>
      <c r="BJ295">
        <v>70054</v>
      </c>
      <c r="BK295">
        <v>67543</v>
      </c>
      <c r="BL295">
        <v>67655</v>
      </c>
      <c r="BM295">
        <v>67061</v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  <c r="CH295" t="str">
        <f>""</f>
        <v/>
      </c>
      <c r="CI295" t="str">
        <f>""</f>
        <v/>
      </c>
      <c r="CJ295" t="str">
        <f>""</f>
        <v/>
      </c>
      <c r="CK295" t="str">
        <f>""</f>
        <v/>
      </c>
      <c r="CL295" t="str">
        <f>""</f>
        <v/>
      </c>
      <c r="CM295" t="str">
        <f>""</f>
        <v/>
      </c>
      <c r="CN295" t="str">
        <f>""</f>
        <v/>
      </c>
      <c r="CO295" t="str">
        <f>""</f>
        <v/>
      </c>
      <c r="CP295" t="str">
        <f>""</f>
        <v/>
      </c>
      <c r="CQ295" t="str">
        <f>""</f>
        <v/>
      </c>
      <c r="CR295" t="str">
        <f>""</f>
        <v/>
      </c>
      <c r="CS295" t="str">
        <f>""</f>
        <v/>
      </c>
      <c r="CT295" t="str">
        <f>""</f>
        <v/>
      </c>
      <c r="CU295" t="str">
        <f>""</f>
        <v/>
      </c>
      <c r="CV295" t="str">
        <f>""</f>
        <v/>
      </c>
      <c r="CW295" t="str">
        <f>""</f>
        <v/>
      </c>
      <c r="CX295" t="str">
        <f>""</f>
        <v/>
      </c>
      <c r="CY295" t="str">
        <f>""</f>
        <v/>
      </c>
      <c r="CZ295" t="str">
        <f>""</f>
        <v/>
      </c>
      <c r="DA295" t="str">
        <f>""</f>
        <v/>
      </c>
      <c r="DB295" t="str">
        <f>""</f>
        <v/>
      </c>
      <c r="DC295" t="str">
        <f>""</f>
        <v/>
      </c>
      <c r="DD295" t="str">
        <f>""</f>
        <v/>
      </c>
      <c r="DE295" t="str">
        <f>""</f>
        <v/>
      </c>
      <c r="DF295" t="str">
        <f>""</f>
        <v/>
      </c>
      <c r="DG295" t="str">
        <f>""</f>
        <v/>
      </c>
      <c r="DH295" t="str">
        <f>""</f>
        <v/>
      </c>
      <c r="DI295" t="str">
        <f>""</f>
        <v/>
      </c>
      <c r="DJ295" t="str">
        <f>""</f>
        <v/>
      </c>
      <c r="DK295" t="str">
        <f>""</f>
        <v/>
      </c>
      <c r="DL295" t="str">
        <f>""</f>
        <v/>
      </c>
      <c r="DM295" t="str">
        <f>""</f>
        <v/>
      </c>
      <c r="DN295" t="str">
        <f>""</f>
        <v/>
      </c>
      <c r="DO295" t="str">
        <f>""</f>
        <v/>
      </c>
      <c r="DP295" t="str">
        <f>""</f>
        <v/>
      </c>
      <c r="DQ295" t="str">
        <f>""</f>
        <v/>
      </c>
      <c r="DR295" t="str">
        <f>""</f>
        <v/>
      </c>
      <c r="DS295" t="str">
        <f>""</f>
        <v/>
      </c>
      <c r="DT295" t="str">
        <f>""</f>
        <v/>
      </c>
      <c r="DU295" t="str">
        <f>""</f>
        <v/>
      </c>
    </row>
    <row r="296" spans="1:125" x14ac:dyDescent="0.25">
      <c r="A296" t="str">
        <f>$A$92</f>
        <v xml:space="preserve">    Commerzbank AG</v>
      </c>
      <c r="B296" t="str">
        <f>$B$92</f>
        <v>CBK GR Equity</v>
      </c>
      <c r="C296" t="str">
        <f>$C$92</f>
        <v>BS017</v>
      </c>
      <c r="D296" t="str">
        <f>$D$92</f>
        <v>BS_CONS_LOAN</v>
      </c>
      <c r="E296" t="str">
        <f>$E$92</f>
        <v>Dynamic</v>
      </c>
      <c r="F296" t="str">
        <f ca="1">_xll.BDH($B$92,$C$92,$B$206,$B$207,CONCATENATE("Per=",$B$204),"Dts=H","Dir=H",CONCATENATE("Points=",$B$205),"Sort=R","Days=A","Fill=B",CONCATENATE("FX=", $B$203),"cols=60;rows=1")</f>
        <v/>
      </c>
      <c r="J296">
        <v>129736</v>
      </c>
      <c r="N296">
        <v>129249</v>
      </c>
      <c r="R296">
        <v>126781</v>
      </c>
      <c r="T296">
        <v>122093</v>
      </c>
      <c r="V296">
        <v>117906</v>
      </c>
      <c r="W296">
        <v>115102</v>
      </c>
      <c r="X296">
        <v>112788</v>
      </c>
      <c r="Y296">
        <v>111303</v>
      </c>
      <c r="Z296">
        <v>109706</v>
      </c>
      <c r="AA296">
        <v>107535</v>
      </c>
      <c r="AB296">
        <v>105455</v>
      </c>
      <c r="AC296">
        <v>103326</v>
      </c>
      <c r="AD296">
        <v>100902</v>
      </c>
      <c r="AE296">
        <v>98652</v>
      </c>
      <c r="AF296">
        <v>96357</v>
      </c>
      <c r="AG296">
        <v>94816</v>
      </c>
      <c r="AH296">
        <v>93476</v>
      </c>
      <c r="AL296">
        <v>82636</v>
      </c>
      <c r="AO296">
        <v>25325</v>
      </c>
      <c r="AP296">
        <v>67091</v>
      </c>
      <c r="AQ296">
        <v>28295</v>
      </c>
      <c r="AR296">
        <v>28087</v>
      </c>
      <c r="AS296">
        <v>29876</v>
      </c>
      <c r="AT296">
        <v>64189</v>
      </c>
      <c r="AU296">
        <v>29360</v>
      </c>
      <c r="AV296">
        <v>29773</v>
      </c>
      <c r="AW296">
        <v>30461</v>
      </c>
      <c r="AX296">
        <v>62740</v>
      </c>
      <c r="AY296">
        <v>30003</v>
      </c>
      <c r="AZ296">
        <v>39416</v>
      </c>
      <c r="BA296">
        <v>31409</v>
      </c>
      <c r="BB296">
        <v>63907</v>
      </c>
      <c r="BC296">
        <v>33487</v>
      </c>
      <c r="BD296">
        <v>28549</v>
      </c>
      <c r="BE296">
        <v>27539</v>
      </c>
      <c r="BF296">
        <v>68062</v>
      </c>
      <c r="BG296">
        <v>28662</v>
      </c>
      <c r="BH296">
        <v>28975</v>
      </c>
      <c r="BI296">
        <v>21303</v>
      </c>
      <c r="BK296">
        <v>24890</v>
      </c>
      <c r="BL296">
        <v>27785</v>
      </c>
      <c r="BM296">
        <v>23589</v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  <c r="BT296" t="str">
        <f>""</f>
        <v/>
      </c>
      <c r="BU296" t="str">
        <f>""</f>
        <v/>
      </c>
      <c r="BV296" t="str">
        <f>""</f>
        <v/>
      </c>
      <c r="BW296" t="str">
        <f>""</f>
        <v/>
      </c>
      <c r="BX296" t="str">
        <f>""</f>
        <v/>
      </c>
      <c r="BY296" t="str">
        <f>""</f>
        <v/>
      </c>
      <c r="BZ296" t="str">
        <f>""</f>
        <v/>
      </c>
      <c r="CA296" t="str">
        <f>""</f>
        <v/>
      </c>
      <c r="CB296" t="str">
        <f>""</f>
        <v/>
      </c>
      <c r="CC296" t="str">
        <f>""</f>
        <v/>
      </c>
      <c r="CD296" t="str">
        <f>""</f>
        <v/>
      </c>
      <c r="CE296" t="str">
        <f>""</f>
        <v/>
      </c>
      <c r="CF296" t="str">
        <f>""</f>
        <v/>
      </c>
      <c r="CG296" t="str">
        <f>""</f>
        <v/>
      </c>
      <c r="CH296" t="str">
        <f>""</f>
        <v/>
      </c>
      <c r="CI296" t="str">
        <f>""</f>
        <v/>
      </c>
      <c r="CJ296" t="str">
        <f>""</f>
        <v/>
      </c>
      <c r="CK296" t="str">
        <f>""</f>
        <v/>
      </c>
      <c r="CL296" t="str">
        <f>""</f>
        <v/>
      </c>
      <c r="CM296" t="str">
        <f>""</f>
        <v/>
      </c>
      <c r="CN296" t="str">
        <f>""</f>
        <v/>
      </c>
      <c r="CO296" t="str">
        <f>""</f>
        <v/>
      </c>
      <c r="CP296" t="str">
        <f>""</f>
        <v/>
      </c>
      <c r="CQ296" t="str">
        <f>""</f>
        <v/>
      </c>
      <c r="CR296" t="str">
        <f>""</f>
        <v/>
      </c>
      <c r="CS296" t="str">
        <f>""</f>
        <v/>
      </c>
      <c r="CT296" t="str">
        <f>""</f>
        <v/>
      </c>
      <c r="CU296" t="str">
        <f>""</f>
        <v/>
      </c>
      <c r="CV296" t="str">
        <f>""</f>
        <v/>
      </c>
      <c r="CW296" t="str">
        <f>""</f>
        <v/>
      </c>
      <c r="CX296" t="str">
        <f>""</f>
        <v/>
      </c>
      <c r="CY296" t="str">
        <f>""</f>
        <v/>
      </c>
      <c r="CZ296" t="str">
        <f>""</f>
        <v/>
      </c>
      <c r="DA296" t="str">
        <f>""</f>
        <v/>
      </c>
      <c r="DB296" t="str">
        <f>""</f>
        <v/>
      </c>
      <c r="DC296" t="str">
        <f>""</f>
        <v/>
      </c>
      <c r="DD296" t="str">
        <f>""</f>
        <v/>
      </c>
      <c r="DE296" t="str">
        <f>""</f>
        <v/>
      </c>
      <c r="DF296" t="str">
        <f>""</f>
        <v/>
      </c>
      <c r="DG296" t="str">
        <f>""</f>
        <v/>
      </c>
      <c r="DH296" t="str">
        <f>""</f>
        <v/>
      </c>
      <c r="DI296" t="str">
        <f>""</f>
        <v/>
      </c>
      <c r="DJ296" t="str">
        <f>""</f>
        <v/>
      </c>
      <c r="DK296" t="str">
        <f>""</f>
        <v/>
      </c>
      <c r="DL296" t="str">
        <f>""</f>
        <v/>
      </c>
      <c r="DM296" t="str">
        <f>""</f>
        <v/>
      </c>
      <c r="DN296" t="str">
        <f>""</f>
        <v/>
      </c>
      <c r="DO296" t="str">
        <f>""</f>
        <v/>
      </c>
      <c r="DP296" t="str">
        <f>""</f>
        <v/>
      </c>
      <c r="DQ296" t="str">
        <f>""</f>
        <v/>
      </c>
      <c r="DR296" t="str">
        <f>""</f>
        <v/>
      </c>
      <c r="DS296" t="str">
        <f>""</f>
        <v/>
      </c>
      <c r="DT296" t="str">
        <f>""</f>
        <v/>
      </c>
      <c r="DU296" t="str">
        <f>""</f>
        <v/>
      </c>
    </row>
    <row r="297" spans="1:125" x14ac:dyDescent="0.25">
      <c r="A297" t="str">
        <f>$A$93</f>
        <v xml:space="preserve">    Credit Agricole SA</v>
      </c>
      <c r="B297" t="str">
        <f>$B$93</f>
        <v>ACA FP Equity</v>
      </c>
      <c r="C297" t="str">
        <f>$C$93</f>
        <v>BS017</v>
      </c>
      <c r="D297" t="str">
        <f>$D$93</f>
        <v>BS_CONS_LOAN</v>
      </c>
      <c r="E297" t="str">
        <f>$E$93</f>
        <v>Dynamic</v>
      </c>
      <c r="F297">
        <f ca="1">_xll.BDH($B$93,$C$93,$B$206,$B$207,CONCATENATE("Per=",$B$204),"Dts=H","Dir=H",CONCATENATE("Points=",$B$205),"Sort=R","Days=A","Fill=B",CONCATENATE("FX=", $B$203),"cols=60;rows=1")</f>
        <v>504624</v>
      </c>
      <c r="H297">
        <v>484483</v>
      </c>
      <c r="J297">
        <v>476688</v>
      </c>
      <c r="L297">
        <v>473020</v>
      </c>
      <c r="N297">
        <v>457346</v>
      </c>
      <c r="P297">
        <v>445685</v>
      </c>
      <c r="R297">
        <v>433802</v>
      </c>
      <c r="T297">
        <v>405500</v>
      </c>
      <c r="V297">
        <v>380578</v>
      </c>
      <c r="X297">
        <v>387235</v>
      </c>
      <c r="Z297">
        <v>367865</v>
      </c>
      <c r="AB297">
        <v>359097</v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  <c r="BT297" t="str">
        <f>""</f>
        <v/>
      </c>
      <c r="BU297" t="str">
        <f>""</f>
        <v/>
      </c>
      <c r="BV297" t="str">
        <f>""</f>
        <v/>
      </c>
      <c r="BW297" t="str">
        <f>""</f>
        <v/>
      </c>
      <c r="BX297" t="str">
        <f>""</f>
        <v/>
      </c>
      <c r="BY297" t="str">
        <f>""</f>
        <v/>
      </c>
      <c r="BZ297" t="str">
        <f>""</f>
        <v/>
      </c>
      <c r="CA297" t="str">
        <f>""</f>
        <v/>
      </c>
      <c r="CB297" t="str">
        <f>""</f>
        <v/>
      </c>
      <c r="CC297" t="str">
        <f>""</f>
        <v/>
      </c>
      <c r="CD297" t="str">
        <f>""</f>
        <v/>
      </c>
      <c r="CE297" t="str">
        <f>""</f>
        <v/>
      </c>
      <c r="CF297" t="str">
        <f>""</f>
        <v/>
      </c>
      <c r="CG297" t="str">
        <f>""</f>
        <v/>
      </c>
      <c r="CH297" t="str">
        <f>""</f>
        <v/>
      </c>
      <c r="CI297" t="str">
        <f>""</f>
        <v/>
      </c>
      <c r="CJ297" t="str">
        <f>""</f>
        <v/>
      </c>
      <c r="CK297" t="str">
        <f>""</f>
        <v/>
      </c>
      <c r="CL297" t="str">
        <f>""</f>
        <v/>
      </c>
      <c r="CM297" t="str">
        <f>""</f>
        <v/>
      </c>
      <c r="CN297" t="str">
        <f>""</f>
        <v/>
      </c>
      <c r="CO297" t="str">
        <f>""</f>
        <v/>
      </c>
      <c r="CP297" t="str">
        <f>""</f>
        <v/>
      </c>
      <c r="CQ297" t="str">
        <f>""</f>
        <v/>
      </c>
      <c r="CR297" t="str">
        <f>""</f>
        <v/>
      </c>
      <c r="CS297" t="str">
        <f>""</f>
        <v/>
      </c>
      <c r="CT297" t="str">
        <f>""</f>
        <v/>
      </c>
      <c r="CU297" t="str">
        <f>""</f>
        <v/>
      </c>
      <c r="CV297" t="str">
        <f>""</f>
        <v/>
      </c>
      <c r="CW297" t="str">
        <f>""</f>
        <v/>
      </c>
      <c r="CX297" t="str">
        <f>""</f>
        <v/>
      </c>
      <c r="CY297" t="str">
        <f>""</f>
        <v/>
      </c>
      <c r="CZ297" t="str">
        <f>""</f>
        <v/>
      </c>
      <c r="DA297" t="str">
        <f>""</f>
        <v/>
      </c>
      <c r="DB297" t="str">
        <f>""</f>
        <v/>
      </c>
      <c r="DC297" t="str">
        <f>""</f>
        <v/>
      </c>
      <c r="DD297" t="str">
        <f>""</f>
        <v/>
      </c>
      <c r="DE297" t="str">
        <f>""</f>
        <v/>
      </c>
      <c r="DF297" t="str">
        <f>""</f>
        <v/>
      </c>
      <c r="DG297" t="str">
        <f>""</f>
        <v/>
      </c>
      <c r="DH297" t="str">
        <f>""</f>
        <v/>
      </c>
      <c r="DI297" t="str">
        <f>""</f>
        <v/>
      </c>
      <c r="DJ297" t="str">
        <f>""</f>
        <v/>
      </c>
      <c r="DK297" t="str">
        <f>""</f>
        <v/>
      </c>
      <c r="DL297" t="str">
        <f>""</f>
        <v/>
      </c>
      <c r="DM297" t="str">
        <f>""</f>
        <v/>
      </c>
      <c r="DN297" t="str">
        <f>""</f>
        <v/>
      </c>
      <c r="DO297" t="str">
        <f>""</f>
        <v/>
      </c>
      <c r="DP297" t="str">
        <f>""</f>
        <v/>
      </c>
      <c r="DQ297" t="str">
        <f>""</f>
        <v/>
      </c>
      <c r="DR297" t="str">
        <f>""</f>
        <v/>
      </c>
      <c r="DS297" t="str">
        <f>""</f>
        <v/>
      </c>
      <c r="DT297" t="str">
        <f>""</f>
        <v/>
      </c>
      <c r="DU297" t="str">
        <f>""</f>
        <v/>
      </c>
    </row>
    <row r="298" spans="1:125" x14ac:dyDescent="0.25">
      <c r="A298" t="str">
        <f>$A$94</f>
        <v xml:space="preserve">    Deutsche Bank AG</v>
      </c>
      <c r="B298" t="str">
        <f>$B$94</f>
        <v>DBK GR Equity</v>
      </c>
      <c r="C298" t="str">
        <f>$C$94</f>
        <v>BS017</v>
      </c>
      <c r="D298" t="str">
        <f>$D$94</f>
        <v>BS_CONS_LOAN</v>
      </c>
      <c r="E298" t="str">
        <f>$E$94</f>
        <v>Dynamic</v>
      </c>
      <c r="F298">
        <f ca="1">_xll.BDH($B$94,$C$94,$B$206,$B$207,CONCATENATE("Per=",$B$204),"Dts=H","Dir=H",CONCATENATE("Points=",$B$205),"Sort=R","Days=A","Fill=B",CONCATENATE("FX=", $B$203),"cols=60;rows=1")</f>
        <v>199812</v>
      </c>
      <c r="J298">
        <v>210982</v>
      </c>
      <c r="N298">
        <v>214796</v>
      </c>
      <c r="R298">
        <v>212436</v>
      </c>
      <c r="V298">
        <v>205331</v>
      </c>
      <c r="Z298">
        <v>196732</v>
      </c>
      <c r="AD298">
        <v>188494</v>
      </c>
      <c r="AH298">
        <v>186729</v>
      </c>
      <c r="AL298">
        <v>187869</v>
      </c>
      <c r="AP298">
        <v>200006</v>
      </c>
      <c r="AT298">
        <v>197979</v>
      </c>
      <c r="AX298">
        <v>193516</v>
      </c>
      <c r="BB298">
        <v>180974</v>
      </c>
      <c r="BF298">
        <v>174188</v>
      </c>
      <c r="BJ298">
        <v>167350</v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  <c r="BT298" t="str">
        <f>""</f>
        <v/>
      </c>
      <c r="BU298" t="str">
        <f>""</f>
        <v/>
      </c>
      <c r="BV298" t="str">
        <f>""</f>
        <v/>
      </c>
      <c r="BW298" t="str">
        <f>""</f>
        <v/>
      </c>
      <c r="BX298" t="str">
        <f>""</f>
        <v/>
      </c>
      <c r="BY298" t="str">
        <f>""</f>
        <v/>
      </c>
      <c r="BZ298" t="str">
        <f>""</f>
        <v/>
      </c>
      <c r="CA298" t="str">
        <f>""</f>
        <v/>
      </c>
      <c r="CB298" t="str">
        <f>""</f>
        <v/>
      </c>
      <c r="CC298" t="str">
        <f>""</f>
        <v/>
      </c>
      <c r="CD298" t="str">
        <f>""</f>
        <v/>
      </c>
      <c r="CE298" t="str">
        <f>""</f>
        <v/>
      </c>
      <c r="CF298" t="str">
        <f>""</f>
        <v/>
      </c>
      <c r="CG298" t="str">
        <f>""</f>
        <v/>
      </c>
      <c r="CH298" t="str">
        <f>""</f>
        <v/>
      </c>
      <c r="CI298" t="str">
        <f>""</f>
        <v/>
      </c>
      <c r="CJ298" t="str">
        <f>""</f>
        <v/>
      </c>
      <c r="CK298" t="str">
        <f>""</f>
        <v/>
      </c>
      <c r="CL298" t="str">
        <f>""</f>
        <v/>
      </c>
      <c r="CM298" t="str">
        <f>""</f>
        <v/>
      </c>
      <c r="CN298" t="str">
        <f>""</f>
        <v/>
      </c>
      <c r="CO298" t="str">
        <f>""</f>
        <v/>
      </c>
      <c r="CP298" t="str">
        <f>""</f>
        <v/>
      </c>
      <c r="CQ298" t="str">
        <f>""</f>
        <v/>
      </c>
      <c r="CR298" t="str">
        <f>""</f>
        <v/>
      </c>
      <c r="CS298" t="str">
        <f>""</f>
        <v/>
      </c>
      <c r="CT298" t="str">
        <f>""</f>
        <v/>
      </c>
      <c r="CU298" t="str">
        <f>""</f>
        <v/>
      </c>
      <c r="CV298" t="str">
        <f>""</f>
        <v/>
      </c>
      <c r="CW298" t="str">
        <f>""</f>
        <v/>
      </c>
      <c r="CX298" t="str">
        <f>""</f>
        <v/>
      </c>
      <c r="CY298" t="str">
        <f>""</f>
        <v/>
      </c>
      <c r="CZ298" t="str">
        <f>""</f>
        <v/>
      </c>
      <c r="DA298" t="str">
        <f>""</f>
        <v/>
      </c>
      <c r="DB298" t="str">
        <f>""</f>
        <v/>
      </c>
      <c r="DC298" t="str">
        <f>""</f>
        <v/>
      </c>
      <c r="DD298" t="str">
        <f>""</f>
        <v/>
      </c>
      <c r="DE298" t="str">
        <f>""</f>
        <v/>
      </c>
      <c r="DF298" t="str">
        <f>""</f>
        <v/>
      </c>
      <c r="DG298" t="str">
        <f>""</f>
        <v/>
      </c>
      <c r="DH298" t="str">
        <f>""</f>
        <v/>
      </c>
      <c r="DI298" t="str">
        <f>""</f>
        <v/>
      </c>
      <c r="DJ298" t="str">
        <f>""</f>
        <v/>
      </c>
      <c r="DK298" t="str">
        <f>""</f>
        <v/>
      </c>
      <c r="DL298" t="str">
        <f>""</f>
        <v/>
      </c>
      <c r="DM298" t="str">
        <f>""</f>
        <v/>
      </c>
      <c r="DN298" t="str">
        <f>""</f>
        <v/>
      </c>
      <c r="DO298" t="str">
        <f>""</f>
        <v/>
      </c>
      <c r="DP298" t="str">
        <f>""</f>
        <v/>
      </c>
      <c r="DQ298" t="str">
        <f>""</f>
        <v/>
      </c>
      <c r="DR298" t="str">
        <f>""</f>
        <v/>
      </c>
      <c r="DS298" t="str">
        <f>""</f>
        <v/>
      </c>
      <c r="DT298" t="str">
        <f>""</f>
        <v/>
      </c>
      <c r="DU298" t="str">
        <f>""</f>
        <v/>
      </c>
    </row>
    <row r="299" spans="1:125" x14ac:dyDescent="0.25">
      <c r="A299" t="str">
        <f>$A$95</f>
        <v xml:space="preserve">    DNB Bank ASA</v>
      </c>
      <c r="B299" t="str">
        <f>$B$95</f>
        <v>DNB NO Equity</v>
      </c>
      <c r="C299" t="str">
        <f>$C$95</f>
        <v>BS017</v>
      </c>
      <c r="D299" t="str">
        <f>$D$95</f>
        <v>BS_CONS_LOAN</v>
      </c>
      <c r="E299" t="str">
        <f>$E$95</f>
        <v>Dynamic</v>
      </c>
      <c r="F299">
        <f ca="1">_xll.BDH($B$95,$C$95,$B$206,$B$207,CONCATENATE("Per=",$B$204),"Dts=H","Dir=H",CONCATENATE("Points=",$B$205),"Sort=R","Days=A","Fill=B",CONCATENATE("FX=", $B$203),"cols=60;rows=1")</f>
        <v>82356.755300000004</v>
      </c>
      <c r="G299">
        <v>82479.429499999998</v>
      </c>
      <c r="H299">
        <v>84194.163799999995</v>
      </c>
      <c r="I299">
        <v>82303.630799999999</v>
      </c>
      <c r="J299">
        <v>86860.071500000005</v>
      </c>
      <c r="K299">
        <v>86135.608399999997</v>
      </c>
      <c r="L299">
        <v>83141.929499999998</v>
      </c>
      <c r="M299">
        <v>85501.891900000002</v>
      </c>
      <c r="N299">
        <v>91790.190100000007</v>
      </c>
      <c r="O299">
        <v>89974.960300000006</v>
      </c>
      <c r="P299">
        <v>91725.498099999997</v>
      </c>
      <c r="Q299">
        <v>96140.504400000005</v>
      </c>
      <c r="R299">
        <v>86095.020999999993</v>
      </c>
      <c r="S299">
        <v>84384.734500000006</v>
      </c>
      <c r="T299">
        <v>82850.125599999999</v>
      </c>
      <c r="U299">
        <v>82851.626300000004</v>
      </c>
      <c r="V299">
        <v>78357.4804</v>
      </c>
      <c r="W299">
        <v>74306.078899999993</v>
      </c>
      <c r="X299">
        <v>73813.553799999994</v>
      </c>
      <c r="Y299">
        <v>69055.611199999999</v>
      </c>
      <c r="Z299">
        <v>79340.368300000002</v>
      </c>
      <c r="AA299">
        <v>78796.296100000007</v>
      </c>
      <c r="AB299">
        <v>79923.904299999995</v>
      </c>
      <c r="AC299">
        <v>79251.055999999997</v>
      </c>
      <c r="AD299">
        <v>76117.986999999994</v>
      </c>
      <c r="AE299">
        <v>79830.316800000001</v>
      </c>
      <c r="AF299">
        <v>78545.960300000006</v>
      </c>
      <c r="AG299">
        <v>75931.835699999996</v>
      </c>
      <c r="AH299">
        <v>80934.250499999995</v>
      </c>
      <c r="AL299">
        <v>82886.467600000004</v>
      </c>
      <c r="AP299">
        <v>77558.266199999998</v>
      </c>
      <c r="AT299">
        <v>78500.764899999995</v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  <c r="BT299" t="str">
        <f>""</f>
        <v/>
      </c>
      <c r="BU299" t="str">
        <f>""</f>
        <v/>
      </c>
      <c r="BV299" t="str">
        <f>""</f>
        <v/>
      </c>
      <c r="BW299" t="str">
        <f>""</f>
        <v/>
      </c>
      <c r="BX299" t="str">
        <f>""</f>
        <v/>
      </c>
      <c r="BY299" t="str">
        <f>""</f>
        <v/>
      </c>
      <c r="BZ299" t="str">
        <f>""</f>
        <v/>
      </c>
      <c r="CA299" t="str">
        <f>""</f>
        <v/>
      </c>
      <c r="CB299" t="str">
        <f>""</f>
        <v/>
      </c>
      <c r="CC299" t="str">
        <f>""</f>
        <v/>
      </c>
      <c r="CD299" t="str">
        <f>""</f>
        <v/>
      </c>
      <c r="CE299" t="str">
        <f>""</f>
        <v/>
      </c>
      <c r="CF299" t="str">
        <f>""</f>
        <v/>
      </c>
      <c r="CG299" t="str">
        <f>""</f>
        <v/>
      </c>
      <c r="CH299" t="str">
        <f>""</f>
        <v/>
      </c>
      <c r="CI299" t="str">
        <f>""</f>
        <v/>
      </c>
      <c r="CJ299" t="str">
        <f>""</f>
        <v/>
      </c>
      <c r="CK299" t="str">
        <f>""</f>
        <v/>
      </c>
      <c r="CL299" t="str">
        <f>""</f>
        <v/>
      </c>
      <c r="CM299" t="str">
        <f>""</f>
        <v/>
      </c>
      <c r="CN299" t="str">
        <f>""</f>
        <v/>
      </c>
      <c r="CO299" t="str">
        <f>""</f>
        <v/>
      </c>
      <c r="CP299" t="str">
        <f>""</f>
        <v/>
      </c>
      <c r="CQ299" t="str">
        <f>""</f>
        <v/>
      </c>
      <c r="CR299" t="str">
        <f>""</f>
        <v/>
      </c>
      <c r="CS299" t="str">
        <f>""</f>
        <v/>
      </c>
      <c r="CT299" t="str">
        <f>""</f>
        <v/>
      </c>
      <c r="CU299" t="str">
        <f>""</f>
        <v/>
      </c>
      <c r="CV299" t="str">
        <f>""</f>
        <v/>
      </c>
      <c r="CW299" t="str">
        <f>""</f>
        <v/>
      </c>
      <c r="CX299" t="str">
        <f>""</f>
        <v/>
      </c>
      <c r="CY299" t="str">
        <f>""</f>
        <v/>
      </c>
      <c r="CZ299" t="str">
        <f>""</f>
        <v/>
      </c>
      <c r="DA299" t="str">
        <f>""</f>
        <v/>
      </c>
      <c r="DB299" t="str">
        <f>""</f>
        <v/>
      </c>
      <c r="DC299" t="str">
        <f>""</f>
        <v/>
      </c>
      <c r="DD299" t="str">
        <f>""</f>
        <v/>
      </c>
      <c r="DE299" t="str">
        <f>""</f>
        <v/>
      </c>
      <c r="DF299" t="str">
        <f>""</f>
        <v/>
      </c>
      <c r="DG299" t="str">
        <f>""</f>
        <v/>
      </c>
      <c r="DH299" t="str">
        <f>""</f>
        <v/>
      </c>
      <c r="DI299" t="str">
        <f>""</f>
        <v/>
      </c>
      <c r="DJ299" t="str">
        <f>""</f>
        <v/>
      </c>
      <c r="DK299" t="str">
        <f>""</f>
        <v/>
      </c>
      <c r="DL299" t="str">
        <f>""</f>
        <v/>
      </c>
      <c r="DM299" t="str">
        <f>""</f>
        <v/>
      </c>
      <c r="DN299" t="str">
        <f>""</f>
        <v/>
      </c>
      <c r="DO299" t="str">
        <f>""</f>
        <v/>
      </c>
      <c r="DP299" t="str">
        <f>""</f>
        <v/>
      </c>
      <c r="DQ299" t="str">
        <f>""</f>
        <v/>
      </c>
      <c r="DR299" t="str">
        <f>""</f>
        <v/>
      </c>
      <c r="DS299" t="str">
        <f>""</f>
        <v/>
      </c>
      <c r="DT299" t="str">
        <f>""</f>
        <v/>
      </c>
      <c r="DU299" t="str">
        <f>""</f>
        <v/>
      </c>
    </row>
    <row r="300" spans="1:125" x14ac:dyDescent="0.25">
      <c r="A300" t="str">
        <f>$A$96</f>
        <v xml:space="preserve">    Danske Bank A/S</v>
      </c>
      <c r="B300" t="str">
        <f>$B$96</f>
        <v>DANSKE DC Equity</v>
      </c>
      <c r="C300" t="str">
        <f>$C$96</f>
        <v>BS017</v>
      </c>
      <c r="D300" t="str">
        <f>$D$96</f>
        <v>BS_CONS_LOAN</v>
      </c>
      <c r="E300" t="str">
        <f>$E$96</f>
        <v>Dynamic</v>
      </c>
      <c r="F300" t="str">
        <f ca="1">_xll.BDH($B$96,$C$96,$B$206,$B$207,CONCATENATE("Per=",$B$204),"Dts=H","Dir=H",CONCATENATE("Points=",$B$205),"Sort=R","Days=A","Fill=B",CONCATENATE("FX=", $B$203) )</f>
        <v/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  <c r="BT300" t="str">
        <f>""</f>
        <v/>
      </c>
      <c r="BU300" t="str">
        <f>""</f>
        <v/>
      </c>
      <c r="BV300" t="str">
        <f>""</f>
        <v/>
      </c>
      <c r="BW300" t="str">
        <f>""</f>
        <v/>
      </c>
      <c r="BX300" t="str">
        <f>""</f>
        <v/>
      </c>
      <c r="BY300" t="str">
        <f>""</f>
        <v/>
      </c>
      <c r="BZ300" t="str">
        <f>""</f>
        <v/>
      </c>
      <c r="CA300" t="str">
        <f>""</f>
        <v/>
      </c>
      <c r="CB300" t="str">
        <f>""</f>
        <v/>
      </c>
      <c r="CC300" t="str">
        <f>""</f>
        <v/>
      </c>
      <c r="CD300" t="str">
        <f>""</f>
        <v/>
      </c>
      <c r="CE300" t="str">
        <f>""</f>
        <v/>
      </c>
      <c r="CF300" t="str">
        <f>""</f>
        <v/>
      </c>
      <c r="CG300" t="str">
        <f>""</f>
        <v/>
      </c>
      <c r="CH300" t="str">
        <f>""</f>
        <v/>
      </c>
      <c r="CI300" t="str">
        <f>""</f>
        <v/>
      </c>
      <c r="CJ300" t="str">
        <f>""</f>
        <v/>
      </c>
      <c r="CK300" t="str">
        <f>""</f>
        <v/>
      </c>
      <c r="CL300" t="str">
        <f>""</f>
        <v/>
      </c>
      <c r="CM300" t="str">
        <f>""</f>
        <v/>
      </c>
      <c r="CN300" t="str">
        <f>""</f>
        <v/>
      </c>
      <c r="CO300" t="str">
        <f>""</f>
        <v/>
      </c>
      <c r="CP300" t="str">
        <f>""</f>
        <v/>
      </c>
      <c r="CQ300" t="str">
        <f>""</f>
        <v/>
      </c>
      <c r="CR300" t="str">
        <f>""</f>
        <v/>
      </c>
      <c r="CS300" t="str">
        <f>""</f>
        <v/>
      </c>
      <c r="CT300" t="str">
        <f>""</f>
        <v/>
      </c>
      <c r="CU300" t="str">
        <f>""</f>
        <v/>
      </c>
      <c r="CV300" t="str">
        <f>""</f>
        <v/>
      </c>
      <c r="CW300" t="str">
        <f>""</f>
        <v/>
      </c>
      <c r="CX300" t="str">
        <f>""</f>
        <v/>
      </c>
      <c r="CY300" t="str">
        <f>""</f>
        <v/>
      </c>
      <c r="CZ300" t="str">
        <f>""</f>
        <v/>
      </c>
      <c r="DA300" t="str">
        <f>""</f>
        <v/>
      </c>
      <c r="DB300" t="str">
        <f>""</f>
        <v/>
      </c>
      <c r="DC300" t="str">
        <f>""</f>
        <v/>
      </c>
      <c r="DD300" t="str">
        <f>""</f>
        <v/>
      </c>
      <c r="DE300" t="str">
        <f>""</f>
        <v/>
      </c>
      <c r="DF300" t="str">
        <f>""</f>
        <v/>
      </c>
      <c r="DG300" t="str">
        <f>""</f>
        <v/>
      </c>
      <c r="DH300" t="str">
        <f>""</f>
        <v/>
      </c>
      <c r="DI300" t="str">
        <f>""</f>
        <v/>
      </c>
      <c r="DJ300" t="str">
        <f>""</f>
        <v/>
      </c>
      <c r="DK300" t="str">
        <f>""</f>
        <v/>
      </c>
      <c r="DL300" t="str">
        <f>""</f>
        <v/>
      </c>
      <c r="DM300" t="str">
        <f>""</f>
        <v/>
      </c>
      <c r="DN300" t="str">
        <f>""</f>
        <v/>
      </c>
      <c r="DO300" t="str">
        <f>""</f>
        <v/>
      </c>
      <c r="DP300" t="str">
        <f>""</f>
        <v/>
      </c>
      <c r="DQ300" t="str">
        <f>""</f>
        <v/>
      </c>
      <c r="DR300" t="str">
        <f>""</f>
        <v/>
      </c>
      <c r="DS300" t="str">
        <f>""</f>
        <v/>
      </c>
      <c r="DT300" t="str">
        <f>""</f>
        <v/>
      </c>
      <c r="DU300" t="str">
        <f>""</f>
        <v/>
      </c>
    </row>
    <row r="301" spans="1:125" x14ac:dyDescent="0.25">
      <c r="A301" t="str">
        <f>$A$97</f>
        <v xml:space="preserve">    Erste Group Bank AG</v>
      </c>
      <c r="B301" t="str">
        <f>$B$97</f>
        <v>EBS AV Equity</v>
      </c>
      <c r="C301" t="str">
        <f>$C$97</f>
        <v>BS017</v>
      </c>
      <c r="D301" t="str">
        <f>$D$97</f>
        <v>BS_CONS_LOAN</v>
      </c>
      <c r="E301" t="str">
        <f>$E$97</f>
        <v>Dynamic</v>
      </c>
      <c r="F301">
        <f ca="1">_xll.BDH($B$97,$C$97,$B$206,$B$207,CONCATENATE("Per=",$B$204),"Dts=H","Dir=H",CONCATENATE("Points=",$B$205),"Sort=R","Days=A","Fill=B",CONCATENATE("FX=", $B$203),"cols=60;rows=1")</f>
        <v>1108</v>
      </c>
      <c r="G301">
        <v>1129</v>
      </c>
      <c r="H301">
        <v>1082</v>
      </c>
      <c r="I301">
        <v>1034.5709999999999</v>
      </c>
      <c r="J301">
        <v>1038</v>
      </c>
      <c r="K301">
        <v>949.31399999999996</v>
      </c>
      <c r="L301">
        <v>96446</v>
      </c>
      <c r="M301">
        <v>870.42600000000004</v>
      </c>
      <c r="N301">
        <v>839.3</v>
      </c>
      <c r="O301">
        <v>93299</v>
      </c>
      <c r="P301">
        <v>92128</v>
      </c>
      <c r="Q301">
        <v>91109</v>
      </c>
      <c r="R301">
        <v>808</v>
      </c>
      <c r="S301">
        <v>86492</v>
      </c>
      <c r="T301">
        <v>84634</v>
      </c>
      <c r="U301">
        <v>82447</v>
      </c>
      <c r="V301">
        <v>687</v>
      </c>
      <c r="W301">
        <v>80451</v>
      </c>
      <c r="X301">
        <v>77774</v>
      </c>
      <c r="Y301">
        <v>78200</v>
      </c>
      <c r="Z301">
        <v>79146</v>
      </c>
      <c r="AA301">
        <v>77791</v>
      </c>
      <c r="AB301">
        <v>76465</v>
      </c>
      <c r="AC301">
        <v>75122</v>
      </c>
      <c r="AD301">
        <v>74623</v>
      </c>
      <c r="AE301">
        <v>73475</v>
      </c>
      <c r="AF301">
        <v>71734</v>
      </c>
      <c r="AG301">
        <v>70517</v>
      </c>
      <c r="AH301">
        <v>70169</v>
      </c>
      <c r="AI301">
        <v>68945</v>
      </c>
      <c r="AJ301">
        <v>67906</v>
      </c>
      <c r="AK301">
        <v>66649</v>
      </c>
      <c r="AL301">
        <v>65909</v>
      </c>
      <c r="AM301">
        <v>65272</v>
      </c>
      <c r="AN301">
        <v>64227</v>
      </c>
      <c r="AP301">
        <v>63148</v>
      </c>
      <c r="AY301">
        <v>56042</v>
      </c>
      <c r="AZ301">
        <v>55356</v>
      </c>
      <c r="BA301">
        <v>54478</v>
      </c>
      <c r="BB301">
        <v>54223</v>
      </c>
      <c r="BC301">
        <v>54499</v>
      </c>
      <c r="BD301">
        <v>54318</v>
      </c>
      <c r="BE301">
        <v>54778</v>
      </c>
      <c r="BF301">
        <v>54876</v>
      </c>
      <c r="BG301">
        <v>55264</v>
      </c>
      <c r="BH301">
        <v>55166</v>
      </c>
      <c r="BI301">
        <v>54201</v>
      </c>
      <c r="BJ301">
        <v>53977</v>
      </c>
      <c r="BK301">
        <v>54053</v>
      </c>
      <c r="BL301">
        <v>53605</v>
      </c>
      <c r="BM301">
        <v>52797</v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  <c r="BT301" t="str">
        <f>""</f>
        <v/>
      </c>
      <c r="BU301" t="str">
        <f>""</f>
        <v/>
      </c>
      <c r="BV301" t="str">
        <f>""</f>
        <v/>
      </c>
      <c r="BW301" t="str">
        <f>""</f>
        <v/>
      </c>
      <c r="BX301" t="str">
        <f>""</f>
        <v/>
      </c>
      <c r="BY301" t="str">
        <f>""</f>
        <v/>
      </c>
      <c r="BZ301" t="str">
        <f>""</f>
        <v/>
      </c>
      <c r="CA301" t="str">
        <f>""</f>
        <v/>
      </c>
      <c r="CB301" t="str">
        <f>""</f>
        <v/>
      </c>
      <c r="CC301" t="str">
        <f>""</f>
        <v/>
      </c>
      <c r="CD301" t="str">
        <f>""</f>
        <v/>
      </c>
      <c r="CE301" t="str">
        <f>""</f>
        <v/>
      </c>
      <c r="CF301" t="str">
        <f>""</f>
        <v/>
      </c>
      <c r="CG301" t="str">
        <f>""</f>
        <v/>
      </c>
      <c r="CH301" t="str">
        <f>""</f>
        <v/>
      </c>
      <c r="CI301" t="str">
        <f>""</f>
        <v/>
      </c>
      <c r="CJ301" t="str">
        <f>""</f>
        <v/>
      </c>
      <c r="CK301" t="str">
        <f>""</f>
        <v/>
      </c>
      <c r="CL301" t="str">
        <f>""</f>
        <v/>
      </c>
      <c r="CM301" t="str">
        <f>""</f>
        <v/>
      </c>
      <c r="CN301" t="str">
        <f>""</f>
        <v/>
      </c>
      <c r="CO301" t="str">
        <f>""</f>
        <v/>
      </c>
      <c r="CP301" t="str">
        <f>""</f>
        <v/>
      </c>
      <c r="CQ301" t="str">
        <f>""</f>
        <v/>
      </c>
      <c r="CR301" t="str">
        <f>""</f>
        <v/>
      </c>
      <c r="CS301" t="str">
        <f>""</f>
        <v/>
      </c>
      <c r="CT301" t="str">
        <f>""</f>
        <v/>
      </c>
      <c r="CU301" t="str">
        <f>""</f>
        <v/>
      </c>
      <c r="CV301" t="str">
        <f>""</f>
        <v/>
      </c>
      <c r="CW301" t="str">
        <f>""</f>
        <v/>
      </c>
      <c r="CX301" t="str">
        <f>""</f>
        <v/>
      </c>
      <c r="CY301" t="str">
        <f>""</f>
        <v/>
      </c>
      <c r="CZ301" t="str">
        <f>""</f>
        <v/>
      </c>
      <c r="DA301" t="str">
        <f>""</f>
        <v/>
      </c>
      <c r="DB301" t="str">
        <f>""</f>
        <v/>
      </c>
      <c r="DC301" t="str">
        <f>""</f>
        <v/>
      </c>
      <c r="DD301" t="str">
        <f>""</f>
        <v/>
      </c>
      <c r="DE301" t="str">
        <f>""</f>
        <v/>
      </c>
      <c r="DF301" t="str">
        <f>""</f>
        <v/>
      </c>
      <c r="DG301" t="str">
        <f>""</f>
        <v/>
      </c>
      <c r="DH301" t="str">
        <f>""</f>
        <v/>
      </c>
      <c r="DI301" t="str">
        <f>""</f>
        <v/>
      </c>
      <c r="DJ301" t="str">
        <f>""</f>
        <v/>
      </c>
      <c r="DK301" t="str">
        <f>""</f>
        <v/>
      </c>
      <c r="DL301" t="str">
        <f>""</f>
        <v/>
      </c>
      <c r="DM301" t="str">
        <f>""</f>
        <v/>
      </c>
      <c r="DN301" t="str">
        <f>""</f>
        <v/>
      </c>
      <c r="DO301" t="str">
        <f>""</f>
        <v/>
      </c>
      <c r="DP301" t="str">
        <f>""</f>
        <v/>
      </c>
      <c r="DQ301" t="str">
        <f>""</f>
        <v/>
      </c>
      <c r="DR301" t="str">
        <f>""</f>
        <v/>
      </c>
      <c r="DS301" t="str">
        <f>""</f>
        <v/>
      </c>
      <c r="DT301" t="str">
        <f>""</f>
        <v/>
      </c>
      <c r="DU301" t="str">
        <f>""</f>
        <v/>
      </c>
    </row>
    <row r="302" spans="1:125" x14ac:dyDescent="0.25">
      <c r="A302" t="str">
        <f>$A$98</f>
        <v xml:space="preserve">    FinecoBank Banca Fineco SpA</v>
      </c>
      <c r="B302" t="str">
        <f>$B$98</f>
        <v>FBK IM Equity</v>
      </c>
      <c r="C302" t="str">
        <f>$C$98</f>
        <v>BS017</v>
      </c>
      <c r="D302" t="str">
        <f>$D$98</f>
        <v>BS_CONS_LOAN</v>
      </c>
      <c r="E302" t="str">
        <f>$E$98</f>
        <v>Dynamic</v>
      </c>
      <c r="F302" t="str">
        <f ca="1">_xll.BDH($B$98,$C$98,$B$206,$B$207,CONCATENATE("Per=",$B$204),"Dts=H","Dir=H",CONCATENATE("Points=",$B$205),"Sort=R","Days=A","Fill=B",CONCATENATE("FX=", $B$203),"cols=60;rows=1")</f>
        <v/>
      </c>
      <c r="H302">
        <v>5217.2129999999997</v>
      </c>
      <c r="J302">
        <v>5531.5510000000004</v>
      </c>
      <c r="L302">
        <v>5740.8389999999999</v>
      </c>
      <c r="N302">
        <v>5913.0309999999999</v>
      </c>
      <c r="P302">
        <v>5731.442</v>
      </c>
      <c r="R302">
        <v>5413.22</v>
      </c>
      <c r="T302">
        <v>4653.2730000000001</v>
      </c>
      <c r="V302">
        <v>4004.4119999999998</v>
      </c>
      <c r="X302">
        <v>3761.114</v>
      </c>
      <c r="Z302">
        <v>3258.5859999999998</v>
      </c>
      <c r="AB302">
        <v>2881.9</v>
      </c>
      <c r="AD302">
        <v>2625.7109999999998</v>
      </c>
      <c r="AF302">
        <v>2244.2159999999999</v>
      </c>
      <c r="AH302">
        <v>1790.8530000000001</v>
      </c>
      <c r="AJ302">
        <v>1175.597</v>
      </c>
      <c r="AL302">
        <v>804.95519999999999</v>
      </c>
      <c r="AN302">
        <v>669.10799999999995</v>
      </c>
      <c r="AP302">
        <v>611.8338</v>
      </c>
      <c r="AR302">
        <v>522.11900000000003</v>
      </c>
      <c r="AT302">
        <v>477.28800000000001</v>
      </c>
      <c r="AU302">
        <v>419.17200000000003</v>
      </c>
      <c r="AV302">
        <v>409.40100000000001</v>
      </c>
      <c r="AW302">
        <v>385.81900000000002</v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  <c r="BT302" t="str">
        <f>""</f>
        <v/>
      </c>
      <c r="BU302" t="str">
        <f>""</f>
        <v/>
      </c>
      <c r="BV302" t="str">
        <f>""</f>
        <v/>
      </c>
      <c r="BW302" t="str">
        <f>""</f>
        <v/>
      </c>
      <c r="BX302" t="str">
        <f>""</f>
        <v/>
      </c>
      <c r="BY302" t="str">
        <f>""</f>
        <v/>
      </c>
      <c r="BZ302" t="str">
        <f>""</f>
        <v/>
      </c>
      <c r="CA302" t="str">
        <f>""</f>
        <v/>
      </c>
      <c r="CB302" t="str">
        <f>""</f>
        <v/>
      </c>
      <c r="CC302" t="str">
        <f>""</f>
        <v/>
      </c>
      <c r="CD302" t="str">
        <f>""</f>
        <v/>
      </c>
      <c r="CE302" t="str">
        <f>""</f>
        <v/>
      </c>
      <c r="CF302" t="str">
        <f>""</f>
        <v/>
      </c>
      <c r="CG302" t="str">
        <f>""</f>
        <v/>
      </c>
      <c r="CH302" t="str">
        <f>""</f>
        <v/>
      </c>
      <c r="CI302" t="str">
        <f>""</f>
        <v/>
      </c>
      <c r="CJ302" t="str">
        <f>""</f>
        <v/>
      </c>
      <c r="CK302" t="str">
        <f>""</f>
        <v/>
      </c>
      <c r="CL302" t="str">
        <f>""</f>
        <v/>
      </c>
      <c r="CM302" t="str">
        <f>""</f>
        <v/>
      </c>
      <c r="CN302" t="str">
        <f>""</f>
        <v/>
      </c>
      <c r="CO302" t="str">
        <f>""</f>
        <v/>
      </c>
      <c r="CP302" t="str">
        <f>""</f>
        <v/>
      </c>
      <c r="CQ302" t="str">
        <f>""</f>
        <v/>
      </c>
      <c r="CR302" t="str">
        <f>""</f>
        <v/>
      </c>
      <c r="CS302" t="str">
        <f>""</f>
        <v/>
      </c>
      <c r="CT302" t="str">
        <f>""</f>
        <v/>
      </c>
      <c r="CU302" t="str">
        <f>""</f>
        <v/>
      </c>
      <c r="CV302" t="str">
        <f>""</f>
        <v/>
      </c>
      <c r="CW302" t="str">
        <f>""</f>
        <v/>
      </c>
      <c r="CX302" t="str">
        <f>""</f>
        <v/>
      </c>
      <c r="CY302" t="str">
        <f>""</f>
        <v/>
      </c>
      <c r="CZ302" t="str">
        <f>""</f>
        <v/>
      </c>
      <c r="DA302" t="str">
        <f>""</f>
        <v/>
      </c>
      <c r="DB302" t="str">
        <f>""</f>
        <v/>
      </c>
      <c r="DC302" t="str">
        <f>""</f>
        <v/>
      </c>
      <c r="DD302" t="str">
        <f>""</f>
        <v/>
      </c>
      <c r="DE302" t="str">
        <f>""</f>
        <v/>
      </c>
      <c r="DF302" t="str">
        <f>""</f>
        <v/>
      </c>
      <c r="DG302" t="str">
        <f>""</f>
        <v/>
      </c>
      <c r="DH302" t="str">
        <f>""</f>
        <v/>
      </c>
      <c r="DI302" t="str">
        <f>""</f>
        <v/>
      </c>
      <c r="DJ302" t="str">
        <f>""</f>
        <v/>
      </c>
      <c r="DK302" t="str">
        <f>""</f>
        <v/>
      </c>
      <c r="DL302" t="str">
        <f>""</f>
        <v/>
      </c>
      <c r="DM302" t="str">
        <f>""</f>
        <v/>
      </c>
      <c r="DN302" t="str">
        <f>""</f>
        <v/>
      </c>
      <c r="DO302" t="str">
        <f>""</f>
        <v/>
      </c>
      <c r="DP302" t="str">
        <f>""</f>
        <v/>
      </c>
      <c r="DQ302" t="str">
        <f>""</f>
        <v/>
      </c>
      <c r="DR302" t="str">
        <f>""</f>
        <v/>
      </c>
      <c r="DS302" t="str">
        <f>""</f>
        <v/>
      </c>
      <c r="DT302" t="str">
        <f>""</f>
        <v/>
      </c>
      <c r="DU302" t="str">
        <f>""</f>
        <v/>
      </c>
    </row>
    <row r="303" spans="1:125" x14ac:dyDescent="0.25">
      <c r="A303" t="str">
        <f>$A$99</f>
        <v xml:space="preserve">    HSBC Holdings PLC</v>
      </c>
      <c r="B303" t="str">
        <f>$B$99</f>
        <v>HSBA LN Equity</v>
      </c>
      <c r="C303" t="str">
        <f>$C$99</f>
        <v>BS017</v>
      </c>
      <c r="D303" t="str">
        <f>$D$99</f>
        <v>BS_CONS_LOAN</v>
      </c>
      <c r="E303" t="str">
        <f>$E$99</f>
        <v>Dynamic</v>
      </c>
      <c r="F303">
        <f ca="1">_xll.BDH($B$99,$C$99,$B$206,$B$207,CONCATENATE("Per=",$B$204),"Dts=H","Dir=H",CONCATENATE("Points=",$B$205),"Sort=R","Days=A","Fill=B",CONCATENATE("FX=", $B$203),"cols=60;rows=1")</f>
        <v>432143.2022</v>
      </c>
      <c r="H303">
        <v>416623.7402</v>
      </c>
      <c r="J303">
        <v>404484.81559999997</v>
      </c>
      <c r="L303">
        <v>415320.57150000002</v>
      </c>
      <c r="N303">
        <v>387341.98489999998</v>
      </c>
      <c r="P303">
        <v>442259.8493</v>
      </c>
      <c r="R303">
        <v>420109.78389999998</v>
      </c>
      <c r="S303">
        <v>407983.7525</v>
      </c>
      <c r="T303">
        <v>407162.6298</v>
      </c>
      <c r="U303">
        <v>396119.14889999997</v>
      </c>
      <c r="V303">
        <v>376939.87729999999</v>
      </c>
      <c r="W303">
        <v>385685.8898</v>
      </c>
      <c r="X303">
        <v>375508.31630000001</v>
      </c>
      <c r="Y303">
        <v>380103.91029999999</v>
      </c>
      <c r="Z303">
        <v>386740.58240000001</v>
      </c>
      <c r="AA303">
        <v>380898.83519999997</v>
      </c>
      <c r="AB303">
        <v>364777.70929999999</v>
      </c>
      <c r="AC303">
        <v>360749.48759999999</v>
      </c>
      <c r="AD303">
        <v>344338.98009999999</v>
      </c>
      <c r="AE303">
        <v>332329.08559999999</v>
      </c>
      <c r="AF303">
        <v>327932.68819999998</v>
      </c>
      <c r="AG303">
        <v>315904.32020000002</v>
      </c>
      <c r="AH303">
        <v>313160.03989999997</v>
      </c>
      <c r="AI303">
        <v>311087.01179999998</v>
      </c>
      <c r="AJ303">
        <v>310978.70850000001</v>
      </c>
      <c r="AK303">
        <v>319950.4534</v>
      </c>
      <c r="AL303">
        <v>322175.02610000002</v>
      </c>
      <c r="AM303">
        <v>316887.24619999999</v>
      </c>
      <c r="AN303">
        <v>324856.859</v>
      </c>
      <c r="AO303">
        <v>324655.12699999998</v>
      </c>
      <c r="AP303">
        <v>344268.36</v>
      </c>
      <c r="AQ303">
        <v>335101.94959999999</v>
      </c>
      <c r="AR303">
        <v>345467.58720000001</v>
      </c>
      <c r="AS303">
        <v>356417.78519999998</v>
      </c>
      <c r="AT303">
        <v>325251.23969999998</v>
      </c>
      <c r="AU303">
        <v>319030.01030000002</v>
      </c>
      <c r="AV303">
        <v>303690.28490000003</v>
      </c>
      <c r="AW303">
        <v>297560.2672</v>
      </c>
      <c r="AX303">
        <v>297866.41529999999</v>
      </c>
      <c r="AY303">
        <v>301365.75270000001</v>
      </c>
      <c r="AZ303">
        <v>303351.78779999999</v>
      </c>
      <c r="BA303">
        <v>309166.27669999999</v>
      </c>
      <c r="BB303">
        <v>314535.87939999998</v>
      </c>
      <c r="BC303">
        <v>317490.68030000001</v>
      </c>
      <c r="BD303">
        <v>316814.48109999998</v>
      </c>
      <c r="BE303">
        <v>301299.1299</v>
      </c>
      <c r="BF303">
        <v>303722.9938</v>
      </c>
      <c r="BG303">
        <v>294285.07699999999</v>
      </c>
      <c r="BH303">
        <v>302791.17849999998</v>
      </c>
      <c r="BI303">
        <v>304553.20649999997</v>
      </c>
      <c r="BJ303">
        <v>318210.38459999999</v>
      </c>
      <c r="BL303">
        <v>334545.15789999999</v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  <c r="BT303" t="str">
        <f>""</f>
        <v/>
      </c>
      <c r="BU303" t="str">
        <f>""</f>
        <v/>
      </c>
      <c r="BV303" t="str">
        <f>""</f>
        <v/>
      </c>
      <c r="BW303" t="str">
        <f>""</f>
        <v/>
      </c>
      <c r="BX303" t="str">
        <f>""</f>
        <v/>
      </c>
      <c r="BY303" t="str">
        <f>""</f>
        <v/>
      </c>
      <c r="BZ303" t="str">
        <f>""</f>
        <v/>
      </c>
      <c r="CA303" t="str">
        <f>""</f>
        <v/>
      </c>
      <c r="CB303" t="str">
        <f>""</f>
        <v/>
      </c>
      <c r="CC303" t="str">
        <f>""</f>
        <v/>
      </c>
      <c r="CD303" t="str">
        <f>""</f>
        <v/>
      </c>
      <c r="CE303" t="str">
        <f>""</f>
        <v/>
      </c>
      <c r="CF303" t="str">
        <f>""</f>
        <v/>
      </c>
      <c r="CG303" t="str">
        <f>""</f>
        <v/>
      </c>
      <c r="CH303" t="str">
        <f>""</f>
        <v/>
      </c>
      <c r="CI303" t="str">
        <f>""</f>
        <v/>
      </c>
      <c r="CJ303" t="str">
        <f>""</f>
        <v/>
      </c>
      <c r="CK303" t="str">
        <f>""</f>
        <v/>
      </c>
      <c r="CL303" t="str">
        <f>""</f>
        <v/>
      </c>
      <c r="CM303" t="str">
        <f>""</f>
        <v/>
      </c>
      <c r="CN303" t="str">
        <f>""</f>
        <v/>
      </c>
      <c r="CO303" t="str">
        <f>""</f>
        <v/>
      </c>
      <c r="CP303" t="str">
        <f>""</f>
        <v/>
      </c>
      <c r="CQ303" t="str">
        <f>""</f>
        <v/>
      </c>
      <c r="CR303" t="str">
        <f>""</f>
        <v/>
      </c>
      <c r="CS303" t="str">
        <f>""</f>
        <v/>
      </c>
      <c r="CT303" t="str">
        <f>""</f>
        <v/>
      </c>
      <c r="CU303" t="str">
        <f>""</f>
        <v/>
      </c>
      <c r="CV303" t="str">
        <f>""</f>
        <v/>
      </c>
      <c r="CW303" t="str">
        <f>""</f>
        <v/>
      </c>
      <c r="CX303" t="str">
        <f>""</f>
        <v/>
      </c>
      <c r="CY303" t="str">
        <f>""</f>
        <v/>
      </c>
      <c r="CZ303" t="str">
        <f>""</f>
        <v/>
      </c>
      <c r="DA303" t="str">
        <f>""</f>
        <v/>
      </c>
      <c r="DB303" t="str">
        <f>""</f>
        <v/>
      </c>
      <c r="DC303" t="str">
        <f>""</f>
        <v/>
      </c>
      <c r="DD303" t="str">
        <f>""</f>
        <v/>
      </c>
      <c r="DE303" t="str">
        <f>""</f>
        <v/>
      </c>
      <c r="DF303" t="str">
        <f>""</f>
        <v/>
      </c>
      <c r="DG303" t="str">
        <f>""</f>
        <v/>
      </c>
      <c r="DH303" t="str">
        <f>""</f>
        <v/>
      </c>
      <c r="DI303" t="str">
        <f>""</f>
        <v/>
      </c>
      <c r="DJ303" t="str">
        <f>""</f>
        <v/>
      </c>
      <c r="DK303" t="str">
        <f>""</f>
        <v/>
      </c>
      <c r="DL303" t="str">
        <f>""</f>
        <v/>
      </c>
      <c r="DM303" t="str">
        <f>""</f>
        <v/>
      </c>
      <c r="DN303" t="str">
        <f>""</f>
        <v/>
      </c>
      <c r="DO303" t="str">
        <f>""</f>
        <v/>
      </c>
      <c r="DP303" t="str">
        <f>""</f>
        <v/>
      </c>
      <c r="DQ303" t="str">
        <f>""</f>
        <v/>
      </c>
      <c r="DR303" t="str">
        <f>""</f>
        <v/>
      </c>
      <c r="DS303" t="str">
        <f>""</f>
        <v/>
      </c>
      <c r="DT303" t="str">
        <f>""</f>
        <v/>
      </c>
      <c r="DU303" t="str">
        <f>""</f>
        <v/>
      </c>
    </row>
    <row r="304" spans="1:125" x14ac:dyDescent="0.25">
      <c r="A304" t="str">
        <f>$A$100</f>
        <v xml:space="preserve">    ING Groep NV</v>
      </c>
      <c r="B304" t="str">
        <f>$B$100</f>
        <v>INGA NA Equity</v>
      </c>
      <c r="C304" t="str">
        <f>$C$100</f>
        <v>BS017</v>
      </c>
      <c r="D304" t="str">
        <f>$D$100</f>
        <v>BS_CONS_LOAN</v>
      </c>
      <c r="E304" t="str">
        <f>$E$100</f>
        <v>Dynamic</v>
      </c>
      <c r="F304">
        <f ca="1">_xll.BDH($B$100,$C$100,$B$206,$B$207,CONCATENATE("Per=",$B$204),"Dts=H","Dir=H",CONCATENATE("Points=",$B$205),"Sort=R","Days=A","Fill=B",CONCATENATE("FX=", $B$203),"cols=60;rows=1")</f>
        <v>382013</v>
      </c>
      <c r="H304">
        <v>368306</v>
      </c>
      <c r="J304">
        <v>361167</v>
      </c>
      <c r="L304">
        <v>351811</v>
      </c>
      <c r="N304">
        <v>349644</v>
      </c>
      <c r="P304">
        <v>352237</v>
      </c>
      <c r="R304">
        <v>394238</v>
      </c>
      <c r="T304">
        <v>387085</v>
      </c>
      <c r="V304">
        <v>384131</v>
      </c>
      <c r="X304">
        <v>381905</v>
      </c>
      <c r="Z304">
        <v>380512</v>
      </c>
      <c r="AB304">
        <v>372368</v>
      </c>
      <c r="AD304">
        <v>364789</v>
      </c>
      <c r="AF304">
        <v>356581</v>
      </c>
      <c r="AH304">
        <v>349821</v>
      </c>
      <c r="AJ304">
        <v>344033</v>
      </c>
      <c r="AL304">
        <v>341728</v>
      </c>
      <c r="AN304">
        <v>322196</v>
      </c>
      <c r="AP304">
        <v>331300</v>
      </c>
      <c r="AQ304">
        <v>319508</v>
      </c>
      <c r="AR304">
        <v>317452</v>
      </c>
      <c r="AS304">
        <v>319995</v>
      </c>
      <c r="AT304">
        <v>320393</v>
      </c>
      <c r="AU304">
        <v>317719</v>
      </c>
      <c r="AV304">
        <v>318336</v>
      </c>
      <c r="AW304">
        <v>315280</v>
      </c>
      <c r="AX304">
        <v>334051</v>
      </c>
      <c r="AY304">
        <v>325476</v>
      </c>
      <c r="AZ304">
        <v>330044</v>
      </c>
      <c r="BA304">
        <v>332553</v>
      </c>
      <c r="BC304">
        <v>339028</v>
      </c>
      <c r="BE304">
        <v>349377</v>
      </c>
      <c r="BF304">
        <v>367329</v>
      </c>
      <c r="BG304">
        <v>347102</v>
      </c>
      <c r="BH304">
        <v>339981</v>
      </c>
      <c r="BI304">
        <v>378620</v>
      </c>
      <c r="BJ304">
        <v>370245</v>
      </c>
      <c r="BK304">
        <v>367947</v>
      </c>
      <c r="BL304">
        <v>366826</v>
      </c>
      <c r="BM304">
        <v>357727</v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  <c r="BT304" t="str">
        <f>""</f>
        <v/>
      </c>
      <c r="BU304" t="str">
        <f>""</f>
        <v/>
      </c>
      <c r="BV304" t="str">
        <f>""</f>
        <v/>
      </c>
      <c r="BW304" t="str">
        <f>""</f>
        <v/>
      </c>
      <c r="BX304" t="str">
        <f>""</f>
        <v/>
      </c>
      <c r="BY304" t="str">
        <f>""</f>
        <v/>
      </c>
      <c r="BZ304" t="str">
        <f>""</f>
        <v/>
      </c>
      <c r="CA304" t="str">
        <f>""</f>
        <v/>
      </c>
      <c r="CB304" t="str">
        <f>""</f>
        <v/>
      </c>
      <c r="CC304" t="str">
        <f>""</f>
        <v/>
      </c>
      <c r="CD304" t="str">
        <f>""</f>
        <v/>
      </c>
      <c r="CE304" t="str">
        <f>""</f>
        <v/>
      </c>
      <c r="CF304" t="str">
        <f>""</f>
        <v/>
      </c>
      <c r="CG304" t="str">
        <f>""</f>
        <v/>
      </c>
      <c r="CH304" t="str">
        <f>""</f>
        <v/>
      </c>
      <c r="CI304" t="str">
        <f>""</f>
        <v/>
      </c>
      <c r="CJ304" t="str">
        <f>""</f>
        <v/>
      </c>
      <c r="CK304" t="str">
        <f>""</f>
        <v/>
      </c>
      <c r="CL304" t="str">
        <f>""</f>
        <v/>
      </c>
      <c r="CM304" t="str">
        <f>""</f>
        <v/>
      </c>
      <c r="CN304" t="str">
        <f>""</f>
        <v/>
      </c>
      <c r="CO304" t="str">
        <f>""</f>
        <v/>
      </c>
      <c r="CP304" t="str">
        <f>""</f>
        <v/>
      </c>
      <c r="CQ304" t="str">
        <f>""</f>
        <v/>
      </c>
      <c r="CR304" t="str">
        <f>""</f>
        <v/>
      </c>
      <c r="CS304" t="str">
        <f>""</f>
        <v/>
      </c>
      <c r="CT304" t="str">
        <f>""</f>
        <v/>
      </c>
      <c r="CU304" t="str">
        <f>""</f>
        <v/>
      </c>
      <c r="CV304" t="str">
        <f>""</f>
        <v/>
      </c>
      <c r="CW304" t="str">
        <f>""</f>
        <v/>
      </c>
      <c r="CX304" t="str">
        <f>""</f>
        <v/>
      </c>
      <c r="CY304" t="str">
        <f>""</f>
        <v/>
      </c>
      <c r="CZ304" t="str">
        <f>""</f>
        <v/>
      </c>
      <c r="DA304" t="str">
        <f>""</f>
        <v/>
      </c>
      <c r="DB304" t="str">
        <f>""</f>
        <v/>
      </c>
      <c r="DC304" t="str">
        <f>""</f>
        <v/>
      </c>
      <c r="DD304" t="str">
        <f>""</f>
        <v/>
      </c>
      <c r="DE304" t="str">
        <f>""</f>
        <v/>
      </c>
      <c r="DF304" t="str">
        <f>""</f>
        <v/>
      </c>
      <c r="DG304" t="str">
        <f>""</f>
        <v/>
      </c>
      <c r="DH304" t="str">
        <f>""</f>
        <v/>
      </c>
      <c r="DI304" t="str">
        <f>""</f>
        <v/>
      </c>
      <c r="DJ304" t="str">
        <f>""</f>
        <v/>
      </c>
      <c r="DK304" t="str">
        <f>""</f>
        <v/>
      </c>
      <c r="DL304" t="str">
        <f>""</f>
        <v/>
      </c>
      <c r="DM304" t="str">
        <f>""</f>
        <v/>
      </c>
      <c r="DN304" t="str">
        <f>""</f>
        <v/>
      </c>
      <c r="DO304" t="str">
        <f>""</f>
        <v/>
      </c>
      <c r="DP304" t="str">
        <f>""</f>
        <v/>
      </c>
      <c r="DQ304" t="str">
        <f>""</f>
        <v/>
      </c>
      <c r="DR304" t="str">
        <f>""</f>
        <v/>
      </c>
      <c r="DS304" t="str">
        <f>""</f>
        <v/>
      </c>
      <c r="DT304" t="str">
        <f>""</f>
        <v/>
      </c>
      <c r="DU304" t="str">
        <f>""</f>
        <v/>
      </c>
    </row>
    <row r="305" spans="1:125" x14ac:dyDescent="0.25">
      <c r="A305" t="str">
        <f>$A$101</f>
        <v xml:space="preserve">    Intesa Sanpaolo SpA</v>
      </c>
      <c r="B305" t="str">
        <f>$B$101</f>
        <v>ISP IM Equity</v>
      </c>
      <c r="C305" t="str">
        <f>$C$101</f>
        <v>BS017</v>
      </c>
      <c r="D305" t="str">
        <f>$D$101</f>
        <v>BS_CONS_LOAN</v>
      </c>
      <c r="E305" t="str">
        <f>$E$101</f>
        <v>Dynamic</v>
      </c>
      <c r="F305" t="str">
        <f ca="1">_xll.BDH($B$101,$C$101,$B$206,$B$207,CONCATENATE("Per=",$B$204),"Dts=H","Dir=H",CONCATENATE("Points=",$B$205),"Sort=R","Days=A","Fill=B",CONCATENATE("FX=", $B$203),"cols=60;rows=1")</f>
        <v/>
      </c>
      <c r="G305">
        <v>237982</v>
      </c>
      <c r="H305">
        <v>239877</v>
      </c>
      <c r="I305">
        <v>242666</v>
      </c>
      <c r="J305">
        <v>250152</v>
      </c>
      <c r="K305">
        <v>251796</v>
      </c>
      <c r="L305">
        <v>256167</v>
      </c>
      <c r="M305">
        <v>263503</v>
      </c>
      <c r="N305">
        <v>268751</v>
      </c>
      <c r="O305">
        <v>269662</v>
      </c>
      <c r="P305">
        <v>270994</v>
      </c>
      <c r="Q305">
        <v>268788</v>
      </c>
      <c r="R305">
        <v>272667</v>
      </c>
      <c r="S305">
        <v>272484</v>
      </c>
      <c r="T305">
        <v>271774</v>
      </c>
      <c r="U305">
        <v>274220</v>
      </c>
      <c r="V305">
        <v>269275</v>
      </c>
      <c r="W305">
        <v>284475</v>
      </c>
      <c r="X305">
        <v>211127</v>
      </c>
      <c r="Y305">
        <v>200369</v>
      </c>
      <c r="Z305">
        <v>197095</v>
      </c>
      <c r="AA305">
        <v>197361</v>
      </c>
      <c r="AB305">
        <v>195609</v>
      </c>
      <c r="AC305">
        <v>197709</v>
      </c>
      <c r="AD305">
        <v>198748</v>
      </c>
      <c r="AE305">
        <v>195841</v>
      </c>
      <c r="AF305">
        <v>196141</v>
      </c>
      <c r="AG305">
        <v>196571</v>
      </c>
      <c r="AH305">
        <v>195245</v>
      </c>
      <c r="AI305">
        <v>191880</v>
      </c>
      <c r="AJ305">
        <v>188906</v>
      </c>
      <c r="AL305">
        <v>204576</v>
      </c>
      <c r="AP305">
        <v>203034</v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  <c r="BT305" t="str">
        <f>""</f>
        <v/>
      </c>
      <c r="BU305" t="str">
        <f>""</f>
        <v/>
      </c>
      <c r="BV305" t="str">
        <f>""</f>
        <v/>
      </c>
      <c r="BW305" t="str">
        <f>""</f>
        <v/>
      </c>
      <c r="BX305" t="str">
        <f>""</f>
        <v/>
      </c>
      <c r="BY305" t="str">
        <f>""</f>
        <v/>
      </c>
      <c r="BZ305" t="str">
        <f>""</f>
        <v/>
      </c>
      <c r="CA305" t="str">
        <f>""</f>
        <v/>
      </c>
      <c r="CB305" t="str">
        <f>""</f>
        <v/>
      </c>
      <c r="CC305" t="str">
        <f>""</f>
        <v/>
      </c>
      <c r="CD305" t="str">
        <f>""</f>
        <v/>
      </c>
      <c r="CE305" t="str">
        <f>""</f>
        <v/>
      </c>
      <c r="CF305" t="str">
        <f>""</f>
        <v/>
      </c>
      <c r="CG305" t="str">
        <f>""</f>
        <v/>
      </c>
      <c r="CH305" t="str">
        <f>""</f>
        <v/>
      </c>
      <c r="CI305" t="str">
        <f>""</f>
        <v/>
      </c>
      <c r="CJ305" t="str">
        <f>""</f>
        <v/>
      </c>
      <c r="CK305" t="str">
        <f>""</f>
        <v/>
      </c>
      <c r="CL305" t="str">
        <f>""</f>
        <v/>
      </c>
      <c r="CM305" t="str">
        <f>""</f>
        <v/>
      </c>
      <c r="CN305" t="str">
        <f>""</f>
        <v/>
      </c>
      <c r="CO305" t="str">
        <f>""</f>
        <v/>
      </c>
      <c r="CP305" t="str">
        <f>""</f>
        <v/>
      </c>
      <c r="CQ305" t="str">
        <f>""</f>
        <v/>
      </c>
      <c r="CR305" t="str">
        <f>""</f>
        <v/>
      </c>
      <c r="CS305" t="str">
        <f>""</f>
        <v/>
      </c>
      <c r="CT305" t="str">
        <f>""</f>
        <v/>
      </c>
      <c r="CU305" t="str">
        <f>""</f>
        <v/>
      </c>
      <c r="CV305" t="str">
        <f>""</f>
        <v/>
      </c>
      <c r="CW305" t="str">
        <f>""</f>
        <v/>
      </c>
      <c r="CX305" t="str">
        <f>""</f>
        <v/>
      </c>
      <c r="CY305" t="str">
        <f>""</f>
        <v/>
      </c>
      <c r="CZ305" t="str">
        <f>""</f>
        <v/>
      </c>
      <c r="DA305" t="str">
        <f>""</f>
        <v/>
      </c>
      <c r="DB305" t="str">
        <f>""</f>
        <v/>
      </c>
      <c r="DC305" t="str">
        <f>""</f>
        <v/>
      </c>
      <c r="DD305" t="str">
        <f>""</f>
        <v/>
      </c>
      <c r="DE305" t="str">
        <f>""</f>
        <v/>
      </c>
      <c r="DF305" t="str">
        <f>""</f>
        <v/>
      </c>
      <c r="DG305" t="str">
        <f>""</f>
        <v/>
      </c>
      <c r="DH305" t="str">
        <f>""</f>
        <v/>
      </c>
      <c r="DI305" t="str">
        <f>""</f>
        <v/>
      </c>
      <c r="DJ305" t="str">
        <f>""</f>
        <v/>
      </c>
      <c r="DK305" t="str">
        <f>""</f>
        <v/>
      </c>
      <c r="DL305" t="str">
        <f>""</f>
        <v/>
      </c>
      <c r="DM305" t="str">
        <f>""</f>
        <v/>
      </c>
      <c r="DN305" t="str">
        <f>""</f>
        <v/>
      </c>
      <c r="DO305" t="str">
        <f>""</f>
        <v/>
      </c>
      <c r="DP305" t="str">
        <f>""</f>
        <v/>
      </c>
      <c r="DQ305" t="str">
        <f>""</f>
        <v/>
      </c>
      <c r="DR305" t="str">
        <f>""</f>
        <v/>
      </c>
      <c r="DS305" t="str">
        <f>""</f>
        <v/>
      </c>
      <c r="DT305" t="str">
        <f>""</f>
        <v/>
      </c>
      <c r="DU305" t="str">
        <f>""</f>
        <v/>
      </c>
    </row>
    <row r="306" spans="1:125" x14ac:dyDescent="0.25">
      <c r="A306" t="str">
        <f>$A$102</f>
        <v xml:space="preserve">    Jyske Bank A/S</v>
      </c>
      <c r="B306" t="str">
        <f>$B$102</f>
        <v>JYSK DC Equity</v>
      </c>
      <c r="C306" t="str">
        <f>$C$102</f>
        <v>BS017</v>
      </c>
      <c r="D306" t="str">
        <f>$D$102</f>
        <v>BS_CONS_LOAN</v>
      </c>
      <c r="E306" t="str">
        <f>$E$102</f>
        <v>Dynamic</v>
      </c>
      <c r="F306">
        <f ca="1">_xll.BDH($B$102,$C$102,$B$206,$B$207,CONCATENATE("Per=",$B$204),"Dts=H","Dir=H",CONCATENATE("Points=",$B$205),"Sort=R","Days=A","Fill=B",CONCATENATE("FX=", $B$203),"cols=60;rows=1")</f>
        <v>52911.187700000002</v>
      </c>
      <c r="G306">
        <v>52289.092600000004</v>
      </c>
      <c r="H306">
        <v>51225.084600000002</v>
      </c>
      <c r="K306">
        <v>49155.037600000003</v>
      </c>
      <c r="L306">
        <v>49377.358500000002</v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  <c r="BT306" t="str">
        <f>""</f>
        <v/>
      </c>
      <c r="BU306" t="str">
        <f>""</f>
        <v/>
      </c>
      <c r="BV306" t="str">
        <f>""</f>
        <v/>
      </c>
      <c r="BW306" t="str">
        <f>""</f>
        <v/>
      </c>
      <c r="BX306" t="str">
        <f>""</f>
        <v/>
      </c>
      <c r="BY306" t="str">
        <f>""</f>
        <v/>
      </c>
      <c r="BZ306" t="str">
        <f>""</f>
        <v/>
      </c>
      <c r="CA306" t="str">
        <f>""</f>
        <v/>
      </c>
      <c r="CB306" t="str">
        <f>""</f>
        <v/>
      </c>
      <c r="CC306" t="str">
        <f>""</f>
        <v/>
      </c>
      <c r="CD306" t="str">
        <f>""</f>
        <v/>
      </c>
      <c r="CE306" t="str">
        <f>""</f>
        <v/>
      </c>
      <c r="CF306" t="str">
        <f>""</f>
        <v/>
      </c>
      <c r="CG306" t="str">
        <f>""</f>
        <v/>
      </c>
      <c r="CH306" t="str">
        <f>""</f>
        <v/>
      </c>
      <c r="CI306" t="str">
        <f>""</f>
        <v/>
      </c>
      <c r="CJ306" t="str">
        <f>""</f>
        <v/>
      </c>
      <c r="CK306" t="str">
        <f>""</f>
        <v/>
      </c>
      <c r="CL306" t="str">
        <f>""</f>
        <v/>
      </c>
      <c r="CM306" t="str">
        <f>""</f>
        <v/>
      </c>
      <c r="CN306" t="str">
        <f>""</f>
        <v/>
      </c>
      <c r="CO306" t="str">
        <f>""</f>
        <v/>
      </c>
      <c r="CP306" t="str">
        <f>""</f>
        <v/>
      </c>
      <c r="CQ306" t="str">
        <f>""</f>
        <v/>
      </c>
      <c r="CR306" t="str">
        <f>""</f>
        <v/>
      </c>
      <c r="CS306" t="str">
        <f>""</f>
        <v/>
      </c>
      <c r="CT306" t="str">
        <f>""</f>
        <v/>
      </c>
      <c r="CU306" t="str">
        <f>""</f>
        <v/>
      </c>
      <c r="CV306" t="str">
        <f>""</f>
        <v/>
      </c>
      <c r="CW306" t="str">
        <f>""</f>
        <v/>
      </c>
      <c r="CX306" t="str">
        <f>""</f>
        <v/>
      </c>
      <c r="CY306" t="str">
        <f>""</f>
        <v/>
      </c>
      <c r="CZ306" t="str">
        <f>""</f>
        <v/>
      </c>
      <c r="DA306" t="str">
        <f>""</f>
        <v/>
      </c>
      <c r="DB306" t="str">
        <f>""</f>
        <v/>
      </c>
      <c r="DC306" t="str">
        <f>""</f>
        <v/>
      </c>
      <c r="DD306" t="str">
        <f>""</f>
        <v/>
      </c>
      <c r="DE306" t="str">
        <f>""</f>
        <v/>
      </c>
      <c r="DF306" t="str">
        <f>""</f>
        <v/>
      </c>
      <c r="DG306" t="str">
        <f>""</f>
        <v/>
      </c>
      <c r="DH306" t="str">
        <f>""</f>
        <v/>
      </c>
      <c r="DI306" t="str">
        <f>""</f>
        <v/>
      </c>
      <c r="DJ306" t="str">
        <f>""</f>
        <v/>
      </c>
      <c r="DK306" t="str">
        <f>""</f>
        <v/>
      </c>
      <c r="DL306" t="str">
        <f>""</f>
        <v/>
      </c>
      <c r="DM306" t="str">
        <f>""</f>
        <v/>
      </c>
      <c r="DN306" t="str">
        <f>""</f>
        <v/>
      </c>
      <c r="DO306" t="str">
        <f>""</f>
        <v/>
      </c>
      <c r="DP306" t="str">
        <f>""</f>
        <v/>
      </c>
      <c r="DQ306" t="str">
        <f>""</f>
        <v/>
      </c>
      <c r="DR306" t="str">
        <f>""</f>
        <v/>
      </c>
      <c r="DS306" t="str">
        <f>""</f>
        <v/>
      </c>
      <c r="DT306" t="str">
        <f>""</f>
        <v/>
      </c>
      <c r="DU306" t="str">
        <f>""</f>
        <v/>
      </c>
    </row>
    <row r="307" spans="1:125" x14ac:dyDescent="0.25">
      <c r="A307" t="str">
        <f>$A$103</f>
        <v xml:space="preserve">    KBC Group NV</v>
      </c>
      <c r="B307" t="str">
        <f>$B$103</f>
        <v>KBC BB Equity</v>
      </c>
      <c r="C307" t="str">
        <f>$C$103</f>
        <v>BS017</v>
      </c>
      <c r="D307" t="str">
        <f>$D$103</f>
        <v>BS_CONS_LOAN</v>
      </c>
      <c r="E307" t="str">
        <f>$E$103</f>
        <v>Dynamic</v>
      </c>
      <c r="F307">
        <f ca="1">_xll.BDH($B$103,$C$103,$B$206,$B$207,CONCATENATE("Per=",$B$204),"Dts=H","Dir=H",CONCATENATE("Points=",$B$205),"Sort=R","Days=A","Fill=B",CONCATENATE("FX=", $B$203),"cols=60;rows=1")</f>
        <v>86953</v>
      </c>
      <c r="G307">
        <v>85332</v>
      </c>
      <c r="H307">
        <v>85652</v>
      </c>
      <c r="I307">
        <v>84290</v>
      </c>
      <c r="J307">
        <v>84538</v>
      </c>
      <c r="K307">
        <v>83920</v>
      </c>
      <c r="L307">
        <v>84161</v>
      </c>
      <c r="M307">
        <v>83548</v>
      </c>
      <c r="N307">
        <v>82505</v>
      </c>
      <c r="O307">
        <v>80963</v>
      </c>
      <c r="P307">
        <v>78533</v>
      </c>
      <c r="Q307">
        <v>77027</v>
      </c>
      <c r="R307">
        <v>75046</v>
      </c>
      <c r="S307">
        <v>73423</v>
      </c>
      <c r="T307">
        <v>82327</v>
      </c>
      <c r="U307">
        <v>80027</v>
      </c>
      <c r="V307">
        <v>79003</v>
      </c>
      <c r="W307">
        <v>75768</v>
      </c>
      <c r="X307">
        <v>74824</v>
      </c>
      <c r="Y307">
        <v>73624</v>
      </c>
      <c r="Z307">
        <v>74979</v>
      </c>
      <c r="AA307">
        <v>73687</v>
      </c>
      <c r="AB307">
        <v>73537</v>
      </c>
      <c r="AC307">
        <v>69963</v>
      </c>
      <c r="AD307">
        <v>69483</v>
      </c>
      <c r="AE307">
        <v>69122</v>
      </c>
      <c r="AF307">
        <v>69507</v>
      </c>
      <c r="AG307">
        <v>68570</v>
      </c>
      <c r="AH307">
        <v>68444</v>
      </c>
      <c r="AI307">
        <v>66836</v>
      </c>
      <c r="AJ307">
        <v>66277</v>
      </c>
      <c r="AK307">
        <v>64206</v>
      </c>
      <c r="AL307">
        <v>64036</v>
      </c>
      <c r="AM307">
        <v>63457</v>
      </c>
      <c r="AN307">
        <v>62953</v>
      </c>
      <c r="AO307">
        <v>61797</v>
      </c>
      <c r="AP307">
        <v>61707</v>
      </c>
      <c r="AQ307">
        <v>61086</v>
      </c>
      <c r="AR307">
        <v>60450</v>
      </c>
      <c r="AS307">
        <v>59399</v>
      </c>
      <c r="AT307">
        <v>59184</v>
      </c>
      <c r="AU307">
        <v>58219</v>
      </c>
      <c r="AV307">
        <v>58303</v>
      </c>
      <c r="AW307">
        <v>55382</v>
      </c>
      <c r="AX307">
        <v>55510</v>
      </c>
      <c r="AY307">
        <v>58355</v>
      </c>
      <c r="AZ307">
        <v>57583</v>
      </c>
      <c r="BA307">
        <v>57262</v>
      </c>
      <c r="BB307">
        <v>57173</v>
      </c>
      <c r="BC307">
        <v>56938</v>
      </c>
      <c r="BD307">
        <v>56309</v>
      </c>
      <c r="BE307">
        <v>57192</v>
      </c>
      <c r="BF307">
        <v>61300</v>
      </c>
      <c r="BG307">
        <v>60933</v>
      </c>
      <c r="BH307">
        <v>60678</v>
      </c>
      <c r="BI307">
        <v>59444</v>
      </c>
      <c r="BJ307">
        <v>65591</v>
      </c>
      <c r="BK307">
        <v>64914</v>
      </c>
      <c r="BL307">
        <v>64035</v>
      </c>
      <c r="BM307">
        <v>62942</v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  <c r="BT307" t="str">
        <f>""</f>
        <v/>
      </c>
      <c r="BU307" t="str">
        <f>""</f>
        <v/>
      </c>
      <c r="BV307" t="str">
        <f>""</f>
        <v/>
      </c>
      <c r="BW307" t="str">
        <f>""</f>
        <v/>
      </c>
      <c r="BX307" t="str">
        <f>""</f>
        <v/>
      </c>
      <c r="BY307" t="str">
        <f>""</f>
        <v/>
      </c>
      <c r="BZ307" t="str">
        <f>""</f>
        <v/>
      </c>
      <c r="CA307" t="str">
        <f>""</f>
        <v/>
      </c>
      <c r="CB307" t="str">
        <f>""</f>
        <v/>
      </c>
      <c r="CC307" t="str">
        <f>""</f>
        <v/>
      </c>
      <c r="CD307" t="str">
        <f>""</f>
        <v/>
      </c>
      <c r="CE307" t="str">
        <f>""</f>
        <v/>
      </c>
      <c r="CF307" t="str">
        <f>""</f>
        <v/>
      </c>
      <c r="CG307" t="str">
        <f>""</f>
        <v/>
      </c>
      <c r="CH307" t="str">
        <f>""</f>
        <v/>
      </c>
      <c r="CI307" t="str">
        <f>""</f>
        <v/>
      </c>
      <c r="CJ307" t="str">
        <f>""</f>
        <v/>
      </c>
      <c r="CK307" t="str">
        <f>""</f>
        <v/>
      </c>
      <c r="CL307" t="str">
        <f>""</f>
        <v/>
      </c>
      <c r="CM307" t="str">
        <f>""</f>
        <v/>
      </c>
      <c r="CN307" t="str">
        <f>""</f>
        <v/>
      </c>
      <c r="CO307" t="str">
        <f>""</f>
        <v/>
      </c>
      <c r="CP307" t="str">
        <f>""</f>
        <v/>
      </c>
      <c r="CQ307" t="str">
        <f>""</f>
        <v/>
      </c>
      <c r="CR307" t="str">
        <f>""</f>
        <v/>
      </c>
      <c r="CS307" t="str">
        <f>""</f>
        <v/>
      </c>
      <c r="CT307" t="str">
        <f>""</f>
        <v/>
      </c>
      <c r="CU307" t="str">
        <f>""</f>
        <v/>
      </c>
      <c r="CV307" t="str">
        <f>""</f>
        <v/>
      </c>
      <c r="CW307" t="str">
        <f>""</f>
        <v/>
      </c>
      <c r="CX307" t="str">
        <f>""</f>
        <v/>
      </c>
      <c r="CY307" t="str">
        <f>""</f>
        <v/>
      </c>
      <c r="CZ307" t="str">
        <f>""</f>
        <v/>
      </c>
      <c r="DA307" t="str">
        <f>""</f>
        <v/>
      </c>
      <c r="DB307" t="str">
        <f>""</f>
        <v/>
      </c>
      <c r="DC307" t="str">
        <f>""</f>
        <v/>
      </c>
      <c r="DD307" t="str">
        <f>""</f>
        <v/>
      </c>
      <c r="DE307" t="str">
        <f>""</f>
        <v/>
      </c>
      <c r="DF307" t="str">
        <f>""</f>
        <v/>
      </c>
      <c r="DG307" t="str">
        <f>""</f>
        <v/>
      </c>
      <c r="DH307" t="str">
        <f>""</f>
        <v/>
      </c>
      <c r="DI307" t="str">
        <f>""</f>
        <v/>
      </c>
      <c r="DJ307" t="str">
        <f>""</f>
        <v/>
      </c>
      <c r="DK307" t="str">
        <f>""</f>
        <v/>
      </c>
      <c r="DL307" t="str">
        <f>""</f>
        <v/>
      </c>
      <c r="DM307" t="str">
        <f>""</f>
        <v/>
      </c>
      <c r="DN307" t="str">
        <f>""</f>
        <v/>
      </c>
      <c r="DO307" t="str">
        <f>""</f>
        <v/>
      </c>
      <c r="DP307" t="str">
        <f>""</f>
        <v/>
      </c>
      <c r="DQ307" t="str">
        <f>""</f>
        <v/>
      </c>
      <c r="DR307" t="str">
        <f>""</f>
        <v/>
      </c>
      <c r="DS307" t="str">
        <f>""</f>
        <v/>
      </c>
      <c r="DT307" t="str">
        <f>""</f>
        <v/>
      </c>
      <c r="DU307" t="str">
        <f>""</f>
        <v/>
      </c>
    </row>
    <row r="308" spans="1:125" x14ac:dyDescent="0.25">
      <c r="A308" t="str">
        <f>$A$104</f>
        <v xml:space="preserve">    Komercni Banka AS</v>
      </c>
      <c r="B308" t="str">
        <f>$B$104</f>
        <v>KOMB CP Equity</v>
      </c>
      <c r="C308" t="str">
        <f>$C$104</f>
        <v>BS017</v>
      </c>
      <c r="D308" t="str">
        <f>$D$104</f>
        <v>BS_CONS_LOAN</v>
      </c>
      <c r="E308" t="str">
        <f>$E$104</f>
        <v>Dynamic</v>
      </c>
      <c r="F308">
        <f ca="1">_xll.BDH($B$104,$C$104,$B$206,$B$207,CONCATENATE("Per=",$B$204),"Dts=H","Dir=H",CONCATENATE("Points=",$B$205),"Sort=R","Days=A","Fill=B",CONCATENATE("FX=", $B$203),"cols=60;rows=1")</f>
        <v>17391.039700000001</v>
      </c>
      <c r="G308">
        <v>16645.161700000001</v>
      </c>
      <c r="H308">
        <v>17201.1469</v>
      </c>
      <c r="I308">
        <v>16217.6106</v>
      </c>
      <c r="J308">
        <v>17100.0347</v>
      </c>
      <c r="K308">
        <v>16460.564600000002</v>
      </c>
      <c r="L308">
        <v>17377.4447</v>
      </c>
      <c r="M308">
        <v>16710.083900000001</v>
      </c>
      <c r="N308">
        <v>16776.4611</v>
      </c>
      <c r="O308">
        <v>15685.834199999999</v>
      </c>
      <c r="P308">
        <v>16116.590899999999</v>
      </c>
      <c r="Q308">
        <v>15431.572899999999</v>
      </c>
      <c r="R308">
        <v>15642.430700000001</v>
      </c>
      <c r="S308">
        <v>14348.739299999999</v>
      </c>
      <c r="T308">
        <v>14594.235000000001</v>
      </c>
      <c r="U308">
        <v>13532.0589</v>
      </c>
      <c r="V308">
        <v>13680.304</v>
      </c>
      <c r="W308">
        <v>12680.6034</v>
      </c>
      <c r="X308">
        <v>12965.7541</v>
      </c>
      <c r="Y308">
        <v>12021.9269</v>
      </c>
      <c r="Z308">
        <v>13453.994000000001</v>
      </c>
      <c r="AA308">
        <v>12434.285</v>
      </c>
      <c r="AB308">
        <v>13120.281800000001</v>
      </c>
      <c r="AC308">
        <v>12183.785</v>
      </c>
      <c r="AD308">
        <v>12623.6276</v>
      </c>
      <c r="AE308">
        <v>12122.064200000001</v>
      </c>
      <c r="AF308">
        <v>12228.6975</v>
      </c>
      <c r="AG308">
        <v>11939.2276</v>
      </c>
      <c r="AH308">
        <v>11465.1955</v>
      </c>
      <c r="AI308">
        <v>11357.1654</v>
      </c>
      <c r="AJ308">
        <v>10862.9673</v>
      </c>
      <c r="AK308">
        <v>10558.5604</v>
      </c>
      <c r="AL308">
        <v>11320.804700000001</v>
      </c>
      <c r="AM308">
        <v>10143.257600000001</v>
      </c>
      <c r="AN308">
        <v>10738.576499999999</v>
      </c>
      <c r="AO308">
        <v>9501.3971000000001</v>
      </c>
      <c r="AP308">
        <v>10460.874100000001</v>
      </c>
      <c r="AQ308">
        <v>9029.7116000000005</v>
      </c>
      <c r="AR308">
        <v>9919.0627000000004</v>
      </c>
      <c r="AS308">
        <v>8439.6456999999991</v>
      </c>
      <c r="AT308">
        <v>9424.4905999999992</v>
      </c>
      <c r="AV308">
        <v>9302.6188999999995</v>
      </c>
      <c r="AW308">
        <v>7967.6310999999996</v>
      </c>
      <c r="AX308">
        <v>9254.6270000000004</v>
      </c>
      <c r="BB308">
        <v>9703.8570999999993</v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  <c r="BT308" t="str">
        <f>""</f>
        <v/>
      </c>
      <c r="BU308" t="str">
        <f>""</f>
        <v/>
      </c>
      <c r="BV308" t="str">
        <f>""</f>
        <v/>
      </c>
      <c r="BW308" t="str">
        <f>""</f>
        <v/>
      </c>
      <c r="BX308" t="str">
        <f>""</f>
        <v/>
      </c>
      <c r="BY308" t="str">
        <f>""</f>
        <v/>
      </c>
      <c r="BZ308" t="str">
        <f>""</f>
        <v/>
      </c>
      <c r="CA308" t="str">
        <f>""</f>
        <v/>
      </c>
      <c r="CB308" t="str">
        <f>""</f>
        <v/>
      </c>
      <c r="CC308" t="str">
        <f>""</f>
        <v/>
      </c>
      <c r="CD308" t="str">
        <f>""</f>
        <v/>
      </c>
      <c r="CE308" t="str">
        <f>""</f>
        <v/>
      </c>
      <c r="CF308" t="str">
        <f>""</f>
        <v/>
      </c>
      <c r="CG308" t="str">
        <f>""</f>
        <v/>
      </c>
      <c r="CH308" t="str">
        <f>""</f>
        <v/>
      </c>
      <c r="CI308" t="str">
        <f>""</f>
        <v/>
      </c>
      <c r="CJ308" t="str">
        <f>""</f>
        <v/>
      </c>
      <c r="CK308" t="str">
        <f>""</f>
        <v/>
      </c>
      <c r="CL308" t="str">
        <f>""</f>
        <v/>
      </c>
      <c r="CM308" t="str">
        <f>""</f>
        <v/>
      </c>
      <c r="CN308" t="str">
        <f>""</f>
        <v/>
      </c>
      <c r="CO308" t="str">
        <f>""</f>
        <v/>
      </c>
      <c r="CP308" t="str">
        <f>""</f>
        <v/>
      </c>
      <c r="CQ308" t="str">
        <f>""</f>
        <v/>
      </c>
      <c r="CR308" t="str">
        <f>""</f>
        <v/>
      </c>
      <c r="CS308" t="str">
        <f>""</f>
        <v/>
      </c>
      <c r="CT308" t="str">
        <f>""</f>
        <v/>
      </c>
      <c r="CU308" t="str">
        <f>""</f>
        <v/>
      </c>
      <c r="CV308" t="str">
        <f>""</f>
        <v/>
      </c>
      <c r="CW308" t="str">
        <f>""</f>
        <v/>
      </c>
      <c r="CX308" t="str">
        <f>""</f>
        <v/>
      </c>
      <c r="CY308" t="str">
        <f>""</f>
        <v/>
      </c>
      <c r="CZ308" t="str">
        <f>""</f>
        <v/>
      </c>
      <c r="DA308" t="str">
        <f>""</f>
        <v/>
      </c>
      <c r="DB308" t="str">
        <f>""</f>
        <v/>
      </c>
      <c r="DC308" t="str">
        <f>""</f>
        <v/>
      </c>
      <c r="DD308" t="str">
        <f>""</f>
        <v/>
      </c>
      <c r="DE308" t="str">
        <f>""</f>
        <v/>
      </c>
      <c r="DF308" t="str">
        <f>""</f>
        <v/>
      </c>
      <c r="DG308" t="str">
        <f>""</f>
        <v/>
      </c>
      <c r="DH308" t="str">
        <f>""</f>
        <v/>
      </c>
      <c r="DI308" t="str">
        <f>""</f>
        <v/>
      </c>
      <c r="DJ308" t="str">
        <f>""</f>
        <v/>
      </c>
      <c r="DK308" t="str">
        <f>""</f>
        <v/>
      </c>
      <c r="DL308" t="str">
        <f>""</f>
        <v/>
      </c>
      <c r="DM308" t="str">
        <f>""</f>
        <v/>
      </c>
      <c r="DN308" t="str">
        <f>""</f>
        <v/>
      </c>
      <c r="DO308" t="str">
        <f>""</f>
        <v/>
      </c>
      <c r="DP308" t="str">
        <f>""</f>
        <v/>
      </c>
      <c r="DQ308" t="str">
        <f>""</f>
        <v/>
      </c>
      <c r="DR308" t="str">
        <f>""</f>
        <v/>
      </c>
      <c r="DS308" t="str">
        <f>""</f>
        <v/>
      </c>
      <c r="DT308" t="str">
        <f>""</f>
        <v/>
      </c>
      <c r="DU308" t="str">
        <f>""</f>
        <v/>
      </c>
    </row>
    <row r="309" spans="1:125" x14ac:dyDescent="0.25">
      <c r="A309" t="str">
        <f>$A$105</f>
        <v xml:space="preserve">    Lloyds Banking Group PLC</v>
      </c>
      <c r="B309" t="str">
        <f>$B$105</f>
        <v>LLOY LN Equity</v>
      </c>
      <c r="C309" t="str">
        <f>$C$105</f>
        <v>BS017</v>
      </c>
      <c r="D309" t="str">
        <f>$D$105</f>
        <v>BS_CONS_LOAN</v>
      </c>
      <c r="E309" t="str">
        <f>$E$105</f>
        <v>Dynamic</v>
      </c>
      <c r="F309">
        <f ca="1">_xll.BDH($B$105,$C$105,$B$206,$B$207,CONCATENATE("Per=",$B$204),"Dts=H","Dir=H",CONCATENATE("Points=",$B$205),"Sort=R","Days=A","Fill=B",CONCATENATE("FX=", $B$203),"cols=60;rows=1")</f>
        <v>437925.4829</v>
      </c>
      <c r="G309">
        <v>414637.29849999998</v>
      </c>
      <c r="J309">
        <v>405618.61430000002</v>
      </c>
      <c r="K309">
        <v>391832.4472</v>
      </c>
      <c r="N309">
        <v>398262.636</v>
      </c>
      <c r="R309">
        <v>411741.68979999999</v>
      </c>
      <c r="V309">
        <v>374204.89689999999</v>
      </c>
      <c r="Z309">
        <v>390172.44349999999</v>
      </c>
      <c r="AD309">
        <v>452334.9719</v>
      </c>
      <c r="AF309">
        <v>443807.42660000001</v>
      </c>
      <c r="AH309">
        <v>439207.14289999998</v>
      </c>
      <c r="AJ309">
        <v>440678.62540000002</v>
      </c>
      <c r="AL309">
        <v>443848.80820000003</v>
      </c>
      <c r="AN309">
        <v>448522.6251</v>
      </c>
      <c r="AP309">
        <v>514037.06920000003</v>
      </c>
      <c r="AR309">
        <v>526469.55980000005</v>
      </c>
      <c r="AT309">
        <v>520281.78210000001</v>
      </c>
      <c r="AV309">
        <v>507732.02120000002</v>
      </c>
      <c r="AX309">
        <v>487779.73690000002</v>
      </c>
      <c r="AZ309">
        <v>478496.22220000002</v>
      </c>
      <c r="BB309">
        <v>512970.03860000003</v>
      </c>
      <c r="BD309">
        <v>524090.67979999998</v>
      </c>
      <c r="BF309">
        <v>531525.50109999999</v>
      </c>
      <c r="BH309">
        <v>506782.63429999998</v>
      </c>
      <c r="BJ309">
        <v>530158.1557</v>
      </c>
      <c r="BL309">
        <v>566947.17879999999</v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  <c r="BT309" t="str">
        <f>""</f>
        <v/>
      </c>
      <c r="BU309" t="str">
        <f>""</f>
        <v/>
      </c>
      <c r="BV309" t="str">
        <f>""</f>
        <v/>
      </c>
      <c r="BW309" t="str">
        <f>""</f>
        <v/>
      </c>
      <c r="BX309" t="str">
        <f>""</f>
        <v/>
      </c>
      <c r="BY309" t="str">
        <f>""</f>
        <v/>
      </c>
      <c r="BZ309" t="str">
        <f>""</f>
        <v/>
      </c>
      <c r="CA309" t="str">
        <f>""</f>
        <v/>
      </c>
      <c r="CB309" t="str">
        <f>""</f>
        <v/>
      </c>
      <c r="CC309" t="str">
        <f>""</f>
        <v/>
      </c>
      <c r="CD309" t="str">
        <f>""</f>
        <v/>
      </c>
      <c r="CE309" t="str">
        <f>""</f>
        <v/>
      </c>
      <c r="CF309" t="str">
        <f>""</f>
        <v/>
      </c>
      <c r="CG309" t="str">
        <f>""</f>
        <v/>
      </c>
      <c r="CH309" t="str">
        <f>""</f>
        <v/>
      </c>
      <c r="CI309" t="str">
        <f>""</f>
        <v/>
      </c>
      <c r="CJ309" t="str">
        <f>""</f>
        <v/>
      </c>
      <c r="CK309" t="str">
        <f>""</f>
        <v/>
      </c>
      <c r="CL309" t="str">
        <f>""</f>
        <v/>
      </c>
      <c r="CM309" t="str">
        <f>""</f>
        <v/>
      </c>
      <c r="CN309" t="str">
        <f>""</f>
        <v/>
      </c>
      <c r="CO309" t="str">
        <f>""</f>
        <v/>
      </c>
      <c r="CP309" t="str">
        <f>""</f>
        <v/>
      </c>
      <c r="CQ309" t="str">
        <f>""</f>
        <v/>
      </c>
      <c r="CR309" t="str">
        <f>""</f>
        <v/>
      </c>
      <c r="CS309" t="str">
        <f>""</f>
        <v/>
      </c>
      <c r="CT309" t="str">
        <f>""</f>
        <v/>
      </c>
      <c r="CU309" t="str">
        <f>""</f>
        <v/>
      </c>
      <c r="CV309" t="str">
        <f>""</f>
        <v/>
      </c>
      <c r="CW309" t="str">
        <f>""</f>
        <v/>
      </c>
      <c r="CX309" t="str">
        <f>""</f>
        <v/>
      </c>
      <c r="CY309" t="str">
        <f>""</f>
        <v/>
      </c>
      <c r="CZ309" t="str">
        <f>""</f>
        <v/>
      </c>
      <c r="DA309" t="str">
        <f>""</f>
        <v/>
      </c>
      <c r="DB309" t="str">
        <f>""</f>
        <v/>
      </c>
      <c r="DC309" t="str">
        <f>""</f>
        <v/>
      </c>
      <c r="DD309" t="str">
        <f>""</f>
        <v/>
      </c>
      <c r="DE309" t="str">
        <f>""</f>
        <v/>
      </c>
      <c r="DF309" t="str">
        <f>""</f>
        <v/>
      </c>
      <c r="DG309" t="str">
        <f>""</f>
        <v/>
      </c>
      <c r="DH309" t="str">
        <f>""</f>
        <v/>
      </c>
      <c r="DI309" t="str">
        <f>""</f>
        <v/>
      </c>
      <c r="DJ309" t="str">
        <f>""</f>
        <v/>
      </c>
      <c r="DK309" t="str">
        <f>""</f>
        <v/>
      </c>
      <c r="DL309" t="str">
        <f>""</f>
        <v/>
      </c>
      <c r="DM309" t="str">
        <f>""</f>
        <v/>
      </c>
      <c r="DN309" t="str">
        <f>""</f>
        <v/>
      </c>
      <c r="DO309" t="str">
        <f>""</f>
        <v/>
      </c>
      <c r="DP309" t="str">
        <f>""</f>
        <v/>
      </c>
      <c r="DQ309" t="str">
        <f>""</f>
        <v/>
      </c>
      <c r="DR309" t="str">
        <f>""</f>
        <v/>
      </c>
      <c r="DS309" t="str">
        <f>""</f>
        <v/>
      </c>
      <c r="DT309" t="str">
        <f>""</f>
        <v/>
      </c>
      <c r="DU309" t="str">
        <f>""</f>
        <v/>
      </c>
    </row>
    <row r="310" spans="1:125" x14ac:dyDescent="0.25">
      <c r="A310" t="str">
        <f>$A$106</f>
        <v xml:space="preserve">    Mediobanca Banca di Credito Finanziario SpA</v>
      </c>
      <c r="B310" t="str">
        <f>$B$106</f>
        <v>MB IM Equity</v>
      </c>
      <c r="C310" t="str">
        <f>$C$106</f>
        <v>BS017</v>
      </c>
      <c r="D310" t="str">
        <f>$D$106</f>
        <v>BS_CONS_LOAN</v>
      </c>
      <c r="E310" t="str">
        <f>$E$106</f>
        <v>Dynamic</v>
      </c>
      <c r="F310">
        <f ca="1">_xll.BDH($B$106,$C$106,$B$206,$B$207,CONCATENATE("Per=",$B$204),"Dts=H","Dir=H",CONCATENATE("Points=",$B$205),"Sort=R","Days=A","Fill=B",CONCATENATE("FX=", $B$203),"cols=60;rows=1")</f>
        <v>45349.3</v>
      </c>
      <c r="G310">
        <v>44362.400000000001</v>
      </c>
      <c r="H310">
        <v>40140.69</v>
      </c>
      <c r="I310">
        <v>43791.6</v>
      </c>
      <c r="J310">
        <v>39793.906000000003</v>
      </c>
      <c r="K310">
        <v>42722.8</v>
      </c>
      <c r="L310">
        <v>40932.682999999997</v>
      </c>
      <c r="M310">
        <v>44443.8</v>
      </c>
      <c r="N310">
        <v>42017.57</v>
      </c>
      <c r="O310">
        <v>43664.1</v>
      </c>
      <c r="P310">
        <v>40637.919999999998</v>
      </c>
      <c r="Q310">
        <v>42819.1</v>
      </c>
      <c r="R310">
        <v>39230.392</v>
      </c>
      <c r="S310">
        <v>41061</v>
      </c>
      <c r="T310">
        <v>38009.317999999999</v>
      </c>
      <c r="U310">
        <v>39986</v>
      </c>
      <c r="V310">
        <v>37870.699999999997</v>
      </c>
      <c r="W310">
        <v>39769.699999999997</v>
      </c>
      <c r="X310">
        <v>38040.108</v>
      </c>
      <c r="Y310">
        <v>40257.199999999997</v>
      </c>
      <c r="Z310">
        <v>36991.440000000002</v>
      </c>
      <c r="AA310">
        <v>38215.1</v>
      </c>
      <c r="AB310">
        <v>35529.212</v>
      </c>
      <c r="AC310">
        <v>24000</v>
      </c>
      <c r="AD310">
        <v>33764.150999999998</v>
      </c>
      <c r="AE310">
        <v>35802.699999999997</v>
      </c>
      <c r="AF310">
        <v>32667.260999999999</v>
      </c>
      <c r="AG310">
        <v>22400</v>
      </c>
      <c r="AH310">
        <v>31540.767</v>
      </c>
      <c r="AI310">
        <v>32723.200000000001</v>
      </c>
      <c r="AJ310">
        <v>30385.257000000001</v>
      </c>
      <c r="AK310">
        <v>20200</v>
      </c>
      <c r="AL310">
        <v>30418.713</v>
      </c>
      <c r="AM310">
        <v>32246.5</v>
      </c>
      <c r="AN310">
        <v>27575.806</v>
      </c>
      <c r="AO310">
        <v>17600</v>
      </c>
      <c r="AP310">
        <v>28144.955000000002</v>
      </c>
      <c r="AQ310">
        <v>16700</v>
      </c>
      <c r="AR310">
        <v>28426.673999999999</v>
      </c>
      <c r="AT310">
        <v>27649.039000000001</v>
      </c>
      <c r="AV310">
        <v>26595.769</v>
      </c>
      <c r="AX310">
        <v>28330.089</v>
      </c>
      <c r="AZ310">
        <v>28345.609</v>
      </c>
      <c r="BB310">
        <v>28545.517</v>
      </c>
      <c r="BD310">
        <v>30347.234</v>
      </c>
      <c r="BF310">
        <v>30883.421999999999</v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  <c r="BT310" t="str">
        <f>""</f>
        <v/>
      </c>
      <c r="BU310" t="str">
        <f>""</f>
        <v/>
      </c>
      <c r="BV310" t="str">
        <f>""</f>
        <v/>
      </c>
      <c r="BW310" t="str">
        <f>""</f>
        <v/>
      </c>
      <c r="BX310" t="str">
        <f>""</f>
        <v/>
      </c>
      <c r="BY310" t="str">
        <f>""</f>
        <v/>
      </c>
      <c r="BZ310" t="str">
        <f>""</f>
        <v/>
      </c>
      <c r="CA310" t="str">
        <f>""</f>
        <v/>
      </c>
      <c r="CB310" t="str">
        <f>""</f>
        <v/>
      </c>
      <c r="CC310" t="str">
        <f>""</f>
        <v/>
      </c>
      <c r="CD310" t="str">
        <f>""</f>
        <v/>
      </c>
      <c r="CE310" t="str">
        <f>""</f>
        <v/>
      </c>
      <c r="CF310" t="str">
        <f>""</f>
        <v/>
      </c>
      <c r="CG310" t="str">
        <f>""</f>
        <v/>
      </c>
      <c r="CH310" t="str">
        <f>""</f>
        <v/>
      </c>
      <c r="CI310" t="str">
        <f>""</f>
        <v/>
      </c>
      <c r="CJ310" t="str">
        <f>""</f>
        <v/>
      </c>
      <c r="CK310" t="str">
        <f>""</f>
        <v/>
      </c>
      <c r="CL310" t="str">
        <f>""</f>
        <v/>
      </c>
      <c r="CM310" t="str">
        <f>""</f>
        <v/>
      </c>
      <c r="CN310" t="str">
        <f>""</f>
        <v/>
      </c>
      <c r="CO310" t="str">
        <f>""</f>
        <v/>
      </c>
      <c r="CP310" t="str">
        <f>""</f>
        <v/>
      </c>
      <c r="CQ310" t="str">
        <f>""</f>
        <v/>
      </c>
      <c r="CR310" t="str">
        <f>""</f>
        <v/>
      </c>
      <c r="CS310" t="str">
        <f>""</f>
        <v/>
      </c>
      <c r="CT310" t="str">
        <f>""</f>
        <v/>
      </c>
      <c r="CU310" t="str">
        <f>""</f>
        <v/>
      </c>
      <c r="CV310" t="str">
        <f>""</f>
        <v/>
      </c>
      <c r="CW310" t="str">
        <f>""</f>
        <v/>
      </c>
      <c r="CX310" t="str">
        <f>""</f>
        <v/>
      </c>
      <c r="CY310" t="str">
        <f>""</f>
        <v/>
      </c>
      <c r="CZ310" t="str">
        <f>""</f>
        <v/>
      </c>
      <c r="DA310" t="str">
        <f>""</f>
        <v/>
      </c>
      <c r="DB310" t="str">
        <f>""</f>
        <v/>
      </c>
      <c r="DC310" t="str">
        <f>""</f>
        <v/>
      </c>
      <c r="DD310" t="str">
        <f>""</f>
        <v/>
      </c>
      <c r="DE310" t="str">
        <f>""</f>
        <v/>
      </c>
      <c r="DF310" t="str">
        <f>""</f>
        <v/>
      </c>
      <c r="DG310" t="str">
        <f>""</f>
        <v/>
      </c>
      <c r="DH310" t="str">
        <f>""</f>
        <v/>
      </c>
      <c r="DI310" t="str">
        <f>""</f>
        <v/>
      </c>
      <c r="DJ310" t="str">
        <f>""</f>
        <v/>
      </c>
      <c r="DK310" t="str">
        <f>""</f>
        <v/>
      </c>
      <c r="DL310" t="str">
        <f>""</f>
        <v/>
      </c>
      <c r="DM310" t="str">
        <f>""</f>
        <v/>
      </c>
      <c r="DN310" t="str">
        <f>""</f>
        <v/>
      </c>
      <c r="DO310" t="str">
        <f>""</f>
        <v/>
      </c>
      <c r="DP310" t="str">
        <f>""</f>
        <v/>
      </c>
      <c r="DQ310" t="str">
        <f>""</f>
        <v/>
      </c>
      <c r="DR310" t="str">
        <f>""</f>
        <v/>
      </c>
      <c r="DS310" t="str">
        <f>""</f>
        <v/>
      </c>
      <c r="DT310" t="str">
        <f>""</f>
        <v/>
      </c>
      <c r="DU310" t="str">
        <f>""</f>
        <v/>
      </c>
    </row>
    <row r="311" spans="1:125" x14ac:dyDescent="0.25">
      <c r="A311" t="str">
        <f>$A$107</f>
        <v xml:space="preserve">    NatWest Group PLC</v>
      </c>
      <c r="B311" t="str">
        <f>$B$107</f>
        <v>NWG LN Equity</v>
      </c>
      <c r="C311" t="str">
        <f>$C$107</f>
        <v>BS017</v>
      </c>
      <c r="D311" t="str">
        <f>$D$107</f>
        <v>BS_CONS_LOAN</v>
      </c>
      <c r="E311" t="str">
        <f>$E$107</f>
        <v>Dynamic</v>
      </c>
      <c r="F311" t="str">
        <f ca="1">_xll.BDH($B$107,$C$107,$B$206,$B$207,CONCATENATE("Per=",$B$204),"Dts=H","Dir=H",CONCATENATE("Points=",$B$205),"Sort=R","Days=A","Fill=B",CONCATENATE("FX=", $B$203),"cols=60;rows=1")</f>
        <v/>
      </c>
      <c r="AX311">
        <v>211926.82329999999</v>
      </c>
      <c r="AY311">
        <v>210893.2776</v>
      </c>
      <c r="BE311">
        <v>210776.0612</v>
      </c>
      <c r="BF311">
        <v>210896.073</v>
      </c>
      <c r="BG311">
        <v>214343.50930000001</v>
      </c>
      <c r="BH311">
        <v>205252.32629999999</v>
      </c>
      <c r="BI311">
        <v>208800.30220000001</v>
      </c>
      <c r="BJ311">
        <v>214598.462</v>
      </c>
      <c r="BK311">
        <v>212616.6931</v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  <c r="BT311" t="str">
        <f>""</f>
        <v/>
      </c>
      <c r="BU311" t="str">
        <f>""</f>
        <v/>
      </c>
      <c r="BV311" t="str">
        <f>""</f>
        <v/>
      </c>
      <c r="BW311" t="str">
        <f>""</f>
        <v/>
      </c>
      <c r="BX311" t="str">
        <f>""</f>
        <v/>
      </c>
      <c r="BY311" t="str">
        <f>""</f>
        <v/>
      </c>
      <c r="BZ311" t="str">
        <f>""</f>
        <v/>
      </c>
      <c r="CA311" t="str">
        <f>""</f>
        <v/>
      </c>
      <c r="CB311" t="str">
        <f>""</f>
        <v/>
      </c>
      <c r="CC311" t="str">
        <f>""</f>
        <v/>
      </c>
      <c r="CD311" t="str">
        <f>""</f>
        <v/>
      </c>
      <c r="CE311" t="str">
        <f>""</f>
        <v/>
      </c>
      <c r="CF311" t="str">
        <f>""</f>
        <v/>
      </c>
      <c r="CG311" t="str">
        <f>""</f>
        <v/>
      </c>
      <c r="CH311" t="str">
        <f>""</f>
        <v/>
      </c>
      <c r="CI311" t="str">
        <f>""</f>
        <v/>
      </c>
      <c r="CJ311" t="str">
        <f>""</f>
        <v/>
      </c>
      <c r="CK311" t="str">
        <f>""</f>
        <v/>
      </c>
      <c r="CL311" t="str">
        <f>""</f>
        <v/>
      </c>
      <c r="CM311" t="str">
        <f>""</f>
        <v/>
      </c>
      <c r="CN311" t="str">
        <f>""</f>
        <v/>
      </c>
      <c r="CO311" t="str">
        <f>""</f>
        <v/>
      </c>
      <c r="CP311" t="str">
        <f>""</f>
        <v/>
      </c>
      <c r="CQ311" t="str">
        <f>""</f>
        <v/>
      </c>
      <c r="CR311" t="str">
        <f>""</f>
        <v/>
      </c>
      <c r="CS311" t="str">
        <f>""</f>
        <v/>
      </c>
      <c r="CT311" t="str">
        <f>""</f>
        <v/>
      </c>
      <c r="CU311" t="str">
        <f>""</f>
        <v/>
      </c>
      <c r="CV311" t="str">
        <f>""</f>
        <v/>
      </c>
      <c r="CW311" t="str">
        <f>""</f>
        <v/>
      </c>
      <c r="CX311" t="str">
        <f>""</f>
        <v/>
      </c>
      <c r="CY311" t="str">
        <f>""</f>
        <v/>
      </c>
      <c r="CZ311" t="str">
        <f>""</f>
        <v/>
      </c>
      <c r="DA311" t="str">
        <f>""</f>
        <v/>
      </c>
      <c r="DB311" t="str">
        <f>""</f>
        <v/>
      </c>
      <c r="DC311" t="str">
        <f>""</f>
        <v/>
      </c>
      <c r="DD311" t="str">
        <f>""</f>
        <v/>
      </c>
      <c r="DE311" t="str">
        <f>""</f>
        <v/>
      </c>
      <c r="DF311" t="str">
        <f>""</f>
        <v/>
      </c>
      <c r="DG311" t="str">
        <f>""</f>
        <v/>
      </c>
      <c r="DH311" t="str">
        <f>""</f>
        <v/>
      </c>
      <c r="DI311" t="str">
        <f>""</f>
        <v/>
      </c>
      <c r="DJ311" t="str">
        <f>""</f>
        <v/>
      </c>
      <c r="DK311" t="str">
        <f>""</f>
        <v/>
      </c>
      <c r="DL311" t="str">
        <f>""</f>
        <v/>
      </c>
      <c r="DM311" t="str">
        <f>""</f>
        <v/>
      </c>
      <c r="DN311" t="str">
        <f>""</f>
        <v/>
      </c>
      <c r="DO311" t="str">
        <f>""</f>
        <v/>
      </c>
      <c r="DP311" t="str">
        <f>""</f>
        <v/>
      </c>
      <c r="DQ311" t="str">
        <f>""</f>
        <v/>
      </c>
      <c r="DR311" t="str">
        <f>""</f>
        <v/>
      </c>
      <c r="DS311" t="str">
        <f>""</f>
        <v/>
      </c>
      <c r="DT311" t="str">
        <f>""</f>
        <v/>
      </c>
      <c r="DU311" t="str">
        <f>""</f>
        <v/>
      </c>
    </row>
    <row r="312" spans="1:125" x14ac:dyDescent="0.25">
      <c r="A312" t="str">
        <f>$A$108</f>
        <v xml:space="preserve">    Nordea Bank Abp</v>
      </c>
      <c r="B312" t="str">
        <f>$B$108</f>
        <v>NDA FH Equity</v>
      </c>
      <c r="C312" t="str">
        <f>$C$108</f>
        <v>BS017</v>
      </c>
      <c r="D312" t="str">
        <f>$D$108</f>
        <v>BS_CONS_LOAN</v>
      </c>
      <c r="E312" t="str">
        <f>$E$108</f>
        <v>Dynamic</v>
      </c>
      <c r="F312">
        <f ca="1">_xll.BDH($B$108,$C$108,$B$206,$B$207,CONCATENATE("Per=",$B$204),"Dts=H","Dir=H",CONCATENATE("Points=",$B$205),"Sort=R","Days=A","Fill=B",CONCATENATE("FX=", $B$203),"cols=60;rows=1")</f>
        <v>151237</v>
      </c>
      <c r="G312">
        <v>143294</v>
      </c>
      <c r="H312">
        <v>143533</v>
      </c>
      <c r="I312">
        <v>141629</v>
      </c>
      <c r="J312">
        <v>145555</v>
      </c>
      <c r="K312">
        <v>143574</v>
      </c>
      <c r="L312">
        <v>140950</v>
      </c>
      <c r="M312">
        <v>143970</v>
      </c>
      <c r="N312">
        <v>147233</v>
      </c>
      <c r="O312">
        <v>148486</v>
      </c>
      <c r="P312">
        <v>148893</v>
      </c>
      <c r="R312">
        <v>148995</v>
      </c>
      <c r="S312">
        <v>147847</v>
      </c>
      <c r="T312">
        <v>183000</v>
      </c>
      <c r="U312">
        <v>142785</v>
      </c>
      <c r="V312">
        <v>175556</v>
      </c>
      <c r="W312">
        <v>134613</v>
      </c>
      <c r="X312">
        <v>167000</v>
      </c>
      <c r="Y312">
        <v>160000</v>
      </c>
      <c r="Z312">
        <v>167165</v>
      </c>
      <c r="AA312">
        <v>165000</v>
      </c>
      <c r="AB312">
        <v>165000</v>
      </c>
      <c r="AC312">
        <v>163000</v>
      </c>
      <c r="AD312">
        <v>157029</v>
      </c>
      <c r="AE312">
        <v>161000</v>
      </c>
      <c r="AF312">
        <v>156000</v>
      </c>
      <c r="AG312">
        <v>156000</v>
      </c>
      <c r="AH312">
        <v>158584</v>
      </c>
      <c r="AI312">
        <v>162000</v>
      </c>
      <c r="AJ312">
        <v>163000</v>
      </c>
      <c r="AK312">
        <v>161000</v>
      </c>
      <c r="AL312">
        <v>161100</v>
      </c>
      <c r="AM312">
        <v>159000</v>
      </c>
      <c r="AN312">
        <v>162000</v>
      </c>
      <c r="AO312">
        <v>161000</v>
      </c>
      <c r="AP312">
        <v>158151</v>
      </c>
      <c r="AQ312">
        <v>155000</v>
      </c>
      <c r="AR312">
        <v>158000</v>
      </c>
      <c r="AS312">
        <v>157000</v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  <c r="BT312" t="str">
        <f>""</f>
        <v/>
      </c>
      <c r="BU312" t="str">
        <f>""</f>
        <v/>
      </c>
      <c r="BV312" t="str">
        <f>""</f>
        <v/>
      </c>
      <c r="BW312" t="str">
        <f>""</f>
        <v/>
      </c>
      <c r="BX312" t="str">
        <f>""</f>
        <v/>
      </c>
      <c r="BY312" t="str">
        <f>""</f>
        <v/>
      </c>
      <c r="BZ312" t="str">
        <f>""</f>
        <v/>
      </c>
      <c r="CA312" t="str">
        <f>""</f>
        <v/>
      </c>
      <c r="CB312" t="str">
        <f>""</f>
        <v/>
      </c>
      <c r="CC312" t="str">
        <f>""</f>
        <v/>
      </c>
      <c r="CD312" t="str">
        <f>""</f>
        <v/>
      </c>
      <c r="CE312" t="str">
        <f>""</f>
        <v/>
      </c>
      <c r="CF312" t="str">
        <f>""</f>
        <v/>
      </c>
      <c r="CG312" t="str">
        <f>""</f>
        <v/>
      </c>
      <c r="CH312" t="str">
        <f>""</f>
        <v/>
      </c>
      <c r="CI312" t="str">
        <f>""</f>
        <v/>
      </c>
      <c r="CJ312" t="str">
        <f>""</f>
        <v/>
      </c>
      <c r="CK312" t="str">
        <f>""</f>
        <v/>
      </c>
      <c r="CL312" t="str">
        <f>""</f>
        <v/>
      </c>
      <c r="CM312" t="str">
        <f>""</f>
        <v/>
      </c>
      <c r="CN312" t="str">
        <f>""</f>
        <v/>
      </c>
      <c r="CO312" t="str">
        <f>""</f>
        <v/>
      </c>
      <c r="CP312" t="str">
        <f>""</f>
        <v/>
      </c>
      <c r="CQ312" t="str">
        <f>""</f>
        <v/>
      </c>
      <c r="CR312" t="str">
        <f>""</f>
        <v/>
      </c>
      <c r="CS312" t="str">
        <f>""</f>
        <v/>
      </c>
      <c r="CT312" t="str">
        <f>""</f>
        <v/>
      </c>
      <c r="CU312" t="str">
        <f>""</f>
        <v/>
      </c>
      <c r="CV312" t="str">
        <f>""</f>
        <v/>
      </c>
      <c r="CW312" t="str">
        <f>""</f>
        <v/>
      </c>
      <c r="CX312" t="str">
        <f>""</f>
        <v/>
      </c>
      <c r="CY312" t="str">
        <f>""</f>
        <v/>
      </c>
      <c r="CZ312" t="str">
        <f>""</f>
        <v/>
      </c>
      <c r="DA312" t="str">
        <f>""</f>
        <v/>
      </c>
      <c r="DB312" t="str">
        <f>""</f>
        <v/>
      </c>
      <c r="DC312" t="str">
        <f>""</f>
        <v/>
      </c>
      <c r="DD312" t="str">
        <f>""</f>
        <v/>
      </c>
      <c r="DE312" t="str">
        <f>""</f>
        <v/>
      </c>
      <c r="DF312" t="str">
        <f>""</f>
        <v/>
      </c>
      <c r="DG312" t="str">
        <f>""</f>
        <v/>
      </c>
      <c r="DH312" t="str">
        <f>""</f>
        <v/>
      </c>
      <c r="DI312" t="str">
        <f>""</f>
        <v/>
      </c>
      <c r="DJ312" t="str">
        <f>""</f>
        <v/>
      </c>
      <c r="DK312" t="str">
        <f>""</f>
        <v/>
      </c>
      <c r="DL312" t="str">
        <f>""</f>
        <v/>
      </c>
      <c r="DM312" t="str">
        <f>""</f>
        <v/>
      </c>
      <c r="DN312" t="str">
        <f>""</f>
        <v/>
      </c>
      <c r="DO312" t="str">
        <f>""</f>
        <v/>
      </c>
      <c r="DP312" t="str">
        <f>""</f>
        <v/>
      </c>
      <c r="DQ312" t="str">
        <f>""</f>
        <v/>
      </c>
      <c r="DR312" t="str">
        <f>""</f>
        <v/>
      </c>
      <c r="DS312" t="str">
        <f>""</f>
        <v/>
      </c>
      <c r="DT312" t="str">
        <f>""</f>
        <v/>
      </c>
      <c r="DU312" t="str">
        <f>""</f>
        <v/>
      </c>
    </row>
    <row r="313" spans="1:125" x14ac:dyDescent="0.25">
      <c r="A313" t="str">
        <f>$A$109</f>
        <v xml:space="preserve">    Raiffeisen Bank International AG</v>
      </c>
      <c r="B313" t="str">
        <f>$B$109</f>
        <v>RBI AV Equity</v>
      </c>
      <c r="C313" t="str">
        <f>$C$109</f>
        <v>BS017</v>
      </c>
      <c r="D313" t="str">
        <f>$D$109</f>
        <v>BS_CONS_LOAN</v>
      </c>
      <c r="E313" t="str">
        <f>$E$109</f>
        <v>Dynamic</v>
      </c>
      <c r="F313">
        <f ca="1">_xll.BDH($B$109,$C$109,$B$206,$B$207,CONCATENATE("Per=",$B$204),"Dts=H","Dir=H",CONCATENATE("Points=",$B$205),"Sort=R","Days=A","Fill=B",CONCATENATE("FX=", $B$203),"cols=60;rows=1")</f>
        <v>39594</v>
      </c>
      <c r="G313">
        <v>40980</v>
      </c>
      <c r="H313">
        <v>41108</v>
      </c>
      <c r="I313">
        <v>40500</v>
      </c>
      <c r="J313">
        <v>40799</v>
      </c>
      <c r="K313">
        <v>41030</v>
      </c>
      <c r="L313">
        <v>41684</v>
      </c>
      <c r="M313">
        <v>42051</v>
      </c>
      <c r="N313">
        <v>42063</v>
      </c>
      <c r="O313">
        <v>43341</v>
      </c>
      <c r="P313">
        <v>42824</v>
      </c>
      <c r="Q313">
        <v>39508</v>
      </c>
      <c r="R313">
        <v>39184</v>
      </c>
      <c r="S313">
        <v>39821</v>
      </c>
      <c r="T313">
        <v>37175</v>
      </c>
      <c r="U313">
        <v>35947</v>
      </c>
      <c r="V313">
        <v>35528.065000000002</v>
      </c>
      <c r="W313">
        <v>34825</v>
      </c>
      <c r="X313">
        <v>35088</v>
      </c>
      <c r="Y313">
        <v>34719</v>
      </c>
      <c r="Z313">
        <v>35681.906000000003</v>
      </c>
      <c r="AA313">
        <v>34942</v>
      </c>
      <c r="AB313">
        <v>34042</v>
      </c>
      <c r="AC313">
        <v>32911</v>
      </c>
      <c r="AD313">
        <v>32119.728999999999</v>
      </c>
      <c r="AE313">
        <v>31946</v>
      </c>
      <c r="AF313">
        <v>31237</v>
      </c>
      <c r="AG313">
        <v>31831</v>
      </c>
      <c r="AH313">
        <v>30215.096000000001</v>
      </c>
      <c r="AI313">
        <v>30714</v>
      </c>
      <c r="AJ313">
        <v>30676</v>
      </c>
      <c r="AK313">
        <v>30375</v>
      </c>
      <c r="AL313">
        <v>23392.811000000002</v>
      </c>
      <c r="AM313">
        <v>22815</v>
      </c>
      <c r="AN313">
        <v>22411</v>
      </c>
      <c r="AO313">
        <v>22040</v>
      </c>
      <c r="AP313">
        <v>21878.404999999999</v>
      </c>
      <c r="AQ313">
        <v>22259</v>
      </c>
      <c r="AR313">
        <v>22828</v>
      </c>
      <c r="AS313">
        <v>23144</v>
      </c>
      <c r="AT313">
        <v>22316.947</v>
      </c>
      <c r="AU313">
        <v>23705</v>
      </c>
      <c r="AV313">
        <v>23730</v>
      </c>
      <c r="AW313">
        <v>23346</v>
      </c>
      <c r="AX313">
        <v>23755.814999999999</v>
      </c>
      <c r="AY313">
        <v>24072</v>
      </c>
      <c r="AZ313">
        <v>23708</v>
      </c>
      <c r="BA313">
        <v>23506</v>
      </c>
      <c r="BB313">
        <v>23489.032999999999</v>
      </c>
      <c r="BC313">
        <v>23446</v>
      </c>
      <c r="BD313">
        <v>23366</v>
      </c>
      <c r="BE313">
        <v>19061</v>
      </c>
      <c r="BF313">
        <v>19004.397000000001</v>
      </c>
      <c r="BG313">
        <v>19008</v>
      </c>
      <c r="BH313">
        <v>19031</v>
      </c>
      <c r="BI313">
        <v>18464</v>
      </c>
      <c r="BJ313">
        <v>18548.814999999999</v>
      </c>
      <c r="BK313">
        <v>18209</v>
      </c>
      <c r="BL313">
        <v>18336</v>
      </c>
      <c r="BM313">
        <v>18000</v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  <c r="BT313" t="str">
        <f>""</f>
        <v/>
      </c>
      <c r="BU313" t="str">
        <f>""</f>
        <v/>
      </c>
      <c r="BV313" t="str">
        <f>""</f>
        <v/>
      </c>
      <c r="BW313" t="str">
        <f>""</f>
        <v/>
      </c>
      <c r="BX313" t="str">
        <f>""</f>
        <v/>
      </c>
      <c r="BY313" t="str">
        <f>""</f>
        <v/>
      </c>
      <c r="BZ313" t="str">
        <f>""</f>
        <v/>
      </c>
      <c r="CA313" t="str">
        <f>""</f>
        <v/>
      </c>
      <c r="CB313" t="str">
        <f>""</f>
        <v/>
      </c>
      <c r="CC313" t="str">
        <f>""</f>
        <v/>
      </c>
      <c r="CD313" t="str">
        <f>""</f>
        <v/>
      </c>
      <c r="CE313" t="str">
        <f>""</f>
        <v/>
      </c>
      <c r="CF313" t="str">
        <f>""</f>
        <v/>
      </c>
      <c r="CG313" t="str">
        <f>""</f>
        <v/>
      </c>
      <c r="CH313" t="str">
        <f>""</f>
        <v/>
      </c>
      <c r="CI313" t="str">
        <f>""</f>
        <v/>
      </c>
      <c r="CJ313" t="str">
        <f>""</f>
        <v/>
      </c>
      <c r="CK313" t="str">
        <f>""</f>
        <v/>
      </c>
      <c r="CL313" t="str">
        <f>""</f>
        <v/>
      </c>
      <c r="CM313" t="str">
        <f>""</f>
        <v/>
      </c>
      <c r="CN313" t="str">
        <f>""</f>
        <v/>
      </c>
      <c r="CO313" t="str">
        <f>""</f>
        <v/>
      </c>
      <c r="CP313" t="str">
        <f>""</f>
        <v/>
      </c>
      <c r="CQ313" t="str">
        <f>""</f>
        <v/>
      </c>
      <c r="CR313" t="str">
        <f>""</f>
        <v/>
      </c>
      <c r="CS313" t="str">
        <f>""</f>
        <v/>
      </c>
      <c r="CT313" t="str">
        <f>""</f>
        <v/>
      </c>
      <c r="CU313" t="str">
        <f>""</f>
        <v/>
      </c>
      <c r="CV313" t="str">
        <f>""</f>
        <v/>
      </c>
      <c r="CW313" t="str">
        <f>""</f>
        <v/>
      </c>
      <c r="CX313" t="str">
        <f>""</f>
        <v/>
      </c>
      <c r="CY313" t="str">
        <f>""</f>
        <v/>
      </c>
      <c r="CZ313" t="str">
        <f>""</f>
        <v/>
      </c>
      <c r="DA313" t="str">
        <f>""</f>
        <v/>
      </c>
      <c r="DB313" t="str">
        <f>""</f>
        <v/>
      </c>
      <c r="DC313" t="str">
        <f>""</f>
        <v/>
      </c>
      <c r="DD313" t="str">
        <f>""</f>
        <v/>
      </c>
      <c r="DE313" t="str">
        <f>""</f>
        <v/>
      </c>
      <c r="DF313" t="str">
        <f>""</f>
        <v/>
      </c>
      <c r="DG313" t="str">
        <f>""</f>
        <v/>
      </c>
      <c r="DH313" t="str">
        <f>""</f>
        <v/>
      </c>
      <c r="DI313" t="str">
        <f>""</f>
        <v/>
      </c>
      <c r="DJ313" t="str">
        <f>""</f>
        <v/>
      </c>
      <c r="DK313" t="str">
        <f>""</f>
        <v/>
      </c>
      <c r="DL313" t="str">
        <f>""</f>
        <v/>
      </c>
      <c r="DM313" t="str">
        <f>""</f>
        <v/>
      </c>
      <c r="DN313" t="str">
        <f>""</f>
        <v/>
      </c>
      <c r="DO313" t="str">
        <f>""</f>
        <v/>
      </c>
      <c r="DP313" t="str">
        <f>""</f>
        <v/>
      </c>
      <c r="DQ313" t="str">
        <f>""</f>
        <v/>
      </c>
      <c r="DR313" t="str">
        <f>""</f>
        <v/>
      </c>
      <c r="DS313" t="str">
        <f>""</f>
        <v/>
      </c>
      <c r="DT313" t="str">
        <f>""</f>
        <v/>
      </c>
      <c r="DU313" t="str">
        <f>""</f>
        <v/>
      </c>
    </row>
    <row r="314" spans="1:125" x14ac:dyDescent="0.25">
      <c r="A314" t="str">
        <f>$A$110</f>
        <v xml:space="preserve">    Skandinaviska Enskilda Banken AB</v>
      </c>
      <c r="B314" t="str">
        <f>$B$110</f>
        <v>SEBA SS Equity</v>
      </c>
      <c r="C314" t="str">
        <f>$C$110</f>
        <v>BS017</v>
      </c>
      <c r="D314" t="str">
        <f>$D$110</f>
        <v>BS_CONS_LOAN</v>
      </c>
      <c r="E314" t="str">
        <f>$E$110</f>
        <v>Dynamic</v>
      </c>
      <c r="F314" t="str">
        <f ca="1">_xll.BDH($B$110,$C$110,$B$206,$B$207,CONCATENATE("Per=",$B$204),"Dts=H","Dir=H",CONCATENATE("Points=",$B$205),"Sort=R","Days=A","Fill=B",CONCATENATE("FX=", $B$203) )</f>
        <v/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  <c r="BT314" t="str">
        <f>""</f>
        <v/>
      </c>
      <c r="BU314" t="str">
        <f>""</f>
        <v/>
      </c>
      <c r="BV314" t="str">
        <f>""</f>
        <v/>
      </c>
      <c r="BW314" t="str">
        <f>""</f>
        <v/>
      </c>
      <c r="BX314" t="str">
        <f>""</f>
        <v/>
      </c>
      <c r="BY314" t="str">
        <f>""</f>
        <v/>
      </c>
      <c r="BZ314" t="str">
        <f>""</f>
        <v/>
      </c>
      <c r="CA314" t="str">
        <f>""</f>
        <v/>
      </c>
      <c r="CB314" t="str">
        <f>""</f>
        <v/>
      </c>
      <c r="CC314" t="str">
        <f>""</f>
        <v/>
      </c>
      <c r="CD314" t="str">
        <f>""</f>
        <v/>
      </c>
      <c r="CE314" t="str">
        <f>""</f>
        <v/>
      </c>
      <c r="CF314" t="str">
        <f>""</f>
        <v/>
      </c>
      <c r="CG314" t="str">
        <f>""</f>
        <v/>
      </c>
      <c r="CH314" t="str">
        <f>""</f>
        <v/>
      </c>
      <c r="CI314" t="str">
        <f>""</f>
        <v/>
      </c>
      <c r="CJ314" t="str">
        <f>""</f>
        <v/>
      </c>
      <c r="CK314" t="str">
        <f>""</f>
        <v/>
      </c>
      <c r="CL314" t="str">
        <f>""</f>
        <v/>
      </c>
      <c r="CM314" t="str">
        <f>""</f>
        <v/>
      </c>
      <c r="CN314" t="str">
        <f>""</f>
        <v/>
      </c>
      <c r="CO314" t="str">
        <f>""</f>
        <v/>
      </c>
      <c r="CP314" t="str">
        <f>""</f>
        <v/>
      </c>
      <c r="CQ314" t="str">
        <f>""</f>
        <v/>
      </c>
      <c r="CR314" t="str">
        <f>""</f>
        <v/>
      </c>
      <c r="CS314" t="str">
        <f>""</f>
        <v/>
      </c>
      <c r="CT314" t="str">
        <f>""</f>
        <v/>
      </c>
      <c r="CU314" t="str">
        <f>""</f>
        <v/>
      </c>
      <c r="CV314" t="str">
        <f>""</f>
        <v/>
      </c>
      <c r="CW314" t="str">
        <f>""</f>
        <v/>
      </c>
      <c r="CX314" t="str">
        <f>""</f>
        <v/>
      </c>
      <c r="CY314" t="str">
        <f>""</f>
        <v/>
      </c>
      <c r="CZ314" t="str">
        <f>""</f>
        <v/>
      </c>
      <c r="DA314" t="str">
        <f>""</f>
        <v/>
      </c>
      <c r="DB314" t="str">
        <f>""</f>
        <v/>
      </c>
      <c r="DC314" t="str">
        <f>""</f>
        <v/>
      </c>
      <c r="DD314" t="str">
        <f>""</f>
        <v/>
      </c>
      <c r="DE314" t="str">
        <f>""</f>
        <v/>
      </c>
      <c r="DF314" t="str">
        <f>""</f>
        <v/>
      </c>
      <c r="DG314" t="str">
        <f>""</f>
        <v/>
      </c>
      <c r="DH314" t="str">
        <f>""</f>
        <v/>
      </c>
      <c r="DI314" t="str">
        <f>""</f>
        <v/>
      </c>
      <c r="DJ314" t="str">
        <f>""</f>
        <v/>
      </c>
      <c r="DK314" t="str">
        <f>""</f>
        <v/>
      </c>
      <c r="DL314" t="str">
        <f>""</f>
        <v/>
      </c>
      <c r="DM314" t="str">
        <f>""</f>
        <v/>
      </c>
      <c r="DN314" t="str">
        <f>""</f>
        <v/>
      </c>
      <c r="DO314" t="str">
        <f>""</f>
        <v/>
      </c>
      <c r="DP314" t="str">
        <f>""</f>
        <v/>
      </c>
      <c r="DQ314" t="str">
        <f>""</f>
        <v/>
      </c>
      <c r="DR314" t="str">
        <f>""</f>
        <v/>
      </c>
      <c r="DS314" t="str">
        <f>""</f>
        <v/>
      </c>
      <c r="DT314" t="str">
        <f>""</f>
        <v/>
      </c>
      <c r="DU314" t="str">
        <f>""</f>
        <v/>
      </c>
    </row>
    <row r="315" spans="1:125" x14ac:dyDescent="0.25">
      <c r="A315" t="str">
        <f>$A$111</f>
        <v xml:space="preserve">    Svenska Handelsbanken AB</v>
      </c>
      <c r="B315" t="str">
        <f>$B$111</f>
        <v>SHBA SS Equity</v>
      </c>
      <c r="C315" t="str">
        <f>$C$111</f>
        <v>BS017</v>
      </c>
      <c r="D315" t="str">
        <f>$D$111</f>
        <v>BS_CONS_LOAN</v>
      </c>
      <c r="E315" t="str">
        <f>$E$111</f>
        <v>Dynamic</v>
      </c>
      <c r="F315">
        <f ca="1">_xll.BDH($B$111,$C$111,$B$206,$B$207,CONCATENATE("Per=",$B$204),"Dts=H","Dir=H",CONCATENATE("Points=",$B$205),"Sort=R","Days=A","Fill=B",CONCATENATE("FX=", $B$203),"cols=60;rows=1")</f>
        <v>102291.4316</v>
      </c>
      <c r="G315">
        <v>103053.22659999999</v>
      </c>
      <c r="H315">
        <v>102563.60030000001</v>
      </c>
      <c r="I315">
        <v>100706.692</v>
      </c>
      <c r="J315">
        <v>103710.0661</v>
      </c>
      <c r="K315">
        <v>103049.0028</v>
      </c>
      <c r="L315">
        <v>99274.384600000005</v>
      </c>
      <c r="M315">
        <v>103166.6208</v>
      </c>
      <c r="N315">
        <v>104484.1121</v>
      </c>
      <c r="O315">
        <v>106961.5886</v>
      </c>
      <c r="P315">
        <v>108384.64169999999</v>
      </c>
      <c r="Q315">
        <v>110611.6107</v>
      </c>
      <c r="R315">
        <v>110461.1133</v>
      </c>
      <c r="S315">
        <v>120717.11040000001</v>
      </c>
      <c r="T315">
        <v>119139.4903</v>
      </c>
      <c r="U315">
        <v>116770.1839</v>
      </c>
      <c r="V315">
        <v>116149.93459999999</v>
      </c>
      <c r="W315">
        <v>111414.6059</v>
      </c>
      <c r="X315">
        <v>111217.79399999999</v>
      </c>
      <c r="Y315">
        <v>106046.8211</v>
      </c>
      <c r="Z315">
        <v>110271.2997</v>
      </c>
      <c r="AA315">
        <v>106914.2132</v>
      </c>
      <c r="AB315">
        <v>107496.3407</v>
      </c>
      <c r="AC315">
        <v>107633.7596</v>
      </c>
      <c r="AD315">
        <v>107013.43060000001</v>
      </c>
      <c r="AE315">
        <v>106453.0321</v>
      </c>
      <c r="AF315">
        <v>104607.5716</v>
      </c>
      <c r="AG315">
        <v>104429.7885</v>
      </c>
      <c r="AH315">
        <v>105828.2245</v>
      </c>
      <c r="AI315">
        <v>106523.42230000001</v>
      </c>
      <c r="AJ315">
        <v>104688.5569</v>
      </c>
      <c r="AK315">
        <v>104054.704</v>
      </c>
      <c r="AL315">
        <v>102533.0987</v>
      </c>
      <c r="AM315">
        <v>100729.2936</v>
      </c>
      <c r="AN315">
        <v>101160.4806</v>
      </c>
      <c r="AO315">
        <v>100350.68180000001</v>
      </c>
      <c r="AP315">
        <v>99276.793000000005</v>
      </c>
      <c r="AT315">
        <v>90535.314199999993</v>
      </c>
      <c r="AX315">
        <v>89019.737999999998</v>
      </c>
      <c r="BB315">
        <v>86310.280499999993</v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  <c r="BT315" t="str">
        <f>""</f>
        <v/>
      </c>
      <c r="BU315" t="str">
        <f>""</f>
        <v/>
      </c>
      <c r="BV315" t="str">
        <f>""</f>
        <v/>
      </c>
      <c r="BW315" t="str">
        <f>""</f>
        <v/>
      </c>
      <c r="BX315" t="str">
        <f>""</f>
        <v/>
      </c>
      <c r="BY315" t="str">
        <f>""</f>
        <v/>
      </c>
      <c r="BZ315" t="str">
        <f>""</f>
        <v/>
      </c>
      <c r="CA315" t="str">
        <f>""</f>
        <v/>
      </c>
      <c r="CB315" t="str">
        <f>""</f>
        <v/>
      </c>
      <c r="CC315" t="str">
        <f>""</f>
        <v/>
      </c>
      <c r="CD315" t="str">
        <f>""</f>
        <v/>
      </c>
      <c r="CE315" t="str">
        <f>""</f>
        <v/>
      </c>
      <c r="CF315" t="str">
        <f>""</f>
        <v/>
      </c>
      <c r="CG315" t="str">
        <f>""</f>
        <v/>
      </c>
      <c r="CH315" t="str">
        <f>""</f>
        <v/>
      </c>
      <c r="CI315" t="str">
        <f>""</f>
        <v/>
      </c>
      <c r="CJ315" t="str">
        <f>""</f>
        <v/>
      </c>
      <c r="CK315" t="str">
        <f>""</f>
        <v/>
      </c>
      <c r="CL315" t="str">
        <f>""</f>
        <v/>
      </c>
      <c r="CM315" t="str">
        <f>""</f>
        <v/>
      </c>
      <c r="CN315" t="str">
        <f>""</f>
        <v/>
      </c>
      <c r="CO315" t="str">
        <f>""</f>
        <v/>
      </c>
      <c r="CP315" t="str">
        <f>""</f>
        <v/>
      </c>
      <c r="CQ315" t="str">
        <f>""</f>
        <v/>
      </c>
      <c r="CR315" t="str">
        <f>""</f>
        <v/>
      </c>
      <c r="CS315" t="str">
        <f>""</f>
        <v/>
      </c>
      <c r="CT315" t="str">
        <f>""</f>
        <v/>
      </c>
      <c r="CU315" t="str">
        <f>""</f>
        <v/>
      </c>
      <c r="CV315" t="str">
        <f>""</f>
        <v/>
      </c>
      <c r="CW315" t="str">
        <f>""</f>
        <v/>
      </c>
      <c r="CX315" t="str">
        <f>""</f>
        <v/>
      </c>
      <c r="CY315" t="str">
        <f>""</f>
        <v/>
      </c>
      <c r="CZ315" t="str">
        <f>""</f>
        <v/>
      </c>
      <c r="DA315" t="str">
        <f>""</f>
        <v/>
      </c>
      <c r="DB315" t="str">
        <f>""</f>
        <v/>
      </c>
      <c r="DC315" t="str">
        <f>""</f>
        <v/>
      </c>
      <c r="DD315" t="str">
        <f>""</f>
        <v/>
      </c>
      <c r="DE315" t="str">
        <f>""</f>
        <v/>
      </c>
      <c r="DF315" t="str">
        <f>""</f>
        <v/>
      </c>
      <c r="DG315" t="str">
        <f>""</f>
        <v/>
      </c>
      <c r="DH315" t="str">
        <f>""</f>
        <v/>
      </c>
      <c r="DI315" t="str">
        <f>""</f>
        <v/>
      </c>
      <c r="DJ315" t="str">
        <f>""</f>
        <v/>
      </c>
      <c r="DK315" t="str">
        <f>""</f>
        <v/>
      </c>
      <c r="DL315" t="str">
        <f>""</f>
        <v/>
      </c>
      <c r="DM315" t="str">
        <f>""</f>
        <v/>
      </c>
      <c r="DN315" t="str">
        <f>""</f>
        <v/>
      </c>
      <c r="DO315" t="str">
        <f>""</f>
        <v/>
      </c>
      <c r="DP315" t="str">
        <f>""</f>
        <v/>
      </c>
      <c r="DQ315" t="str">
        <f>""</f>
        <v/>
      </c>
      <c r="DR315" t="str">
        <f>""</f>
        <v/>
      </c>
      <c r="DS315" t="str">
        <f>""</f>
        <v/>
      </c>
      <c r="DT315" t="str">
        <f>""</f>
        <v/>
      </c>
      <c r="DU315" t="str">
        <f>""</f>
        <v/>
      </c>
    </row>
    <row r="316" spans="1:125" x14ac:dyDescent="0.25">
      <c r="A316" t="str">
        <f>$A$112</f>
        <v xml:space="preserve">    Swedbank AB</v>
      </c>
      <c r="B316" t="str">
        <f>$B$112</f>
        <v>SWEDA SS Equity</v>
      </c>
      <c r="C316" t="str">
        <f>$C$112</f>
        <v>BS017</v>
      </c>
      <c r="D316" t="str">
        <f>$D$112</f>
        <v>BS_CONS_LOAN</v>
      </c>
      <c r="E316" t="str">
        <f>$E$112</f>
        <v>Dynamic</v>
      </c>
      <c r="F316">
        <f ca="1">_xll.BDH($B$112,$C$112,$B$206,$B$207,CONCATENATE("Per=",$B$204),"Dts=H","Dir=H",CONCATENATE("Points=",$B$205),"Sort=R","Days=A","Fill=B",CONCATENATE("FX=", $B$203),"cols=60;rows=1")</f>
        <v>103802.1122</v>
      </c>
      <c r="G316">
        <v>100391.7837</v>
      </c>
      <c r="H316">
        <v>99812.264999999999</v>
      </c>
      <c r="I316">
        <v>98113.395199999999</v>
      </c>
      <c r="J316">
        <v>106046.6551</v>
      </c>
      <c r="K316">
        <v>102441.3337</v>
      </c>
      <c r="L316">
        <v>80614.012799999997</v>
      </c>
      <c r="M316">
        <v>99841.593299999993</v>
      </c>
      <c r="N316">
        <v>105657.80379999999</v>
      </c>
      <c r="O316">
        <v>108089.772</v>
      </c>
      <c r="P316">
        <v>83741.0242</v>
      </c>
      <c r="Q316">
        <v>110537.3722</v>
      </c>
      <c r="R316">
        <v>110699.0292</v>
      </c>
      <c r="S316">
        <v>110126.5724</v>
      </c>
      <c r="T316">
        <v>108689.8808</v>
      </c>
      <c r="U316">
        <v>106174.5364</v>
      </c>
      <c r="V316">
        <v>107294.8891</v>
      </c>
      <c r="W316">
        <v>102886.2115</v>
      </c>
      <c r="X316">
        <v>102230.8768</v>
      </c>
      <c r="Y316">
        <v>97261.508000000002</v>
      </c>
      <c r="Z316">
        <v>100740.4486</v>
      </c>
      <c r="AA316">
        <v>98192.084300000002</v>
      </c>
      <c r="AB316">
        <v>99023.839699999997</v>
      </c>
      <c r="AC316">
        <v>99515.628899999996</v>
      </c>
      <c r="AD316">
        <v>100445.1691</v>
      </c>
      <c r="AE316">
        <v>99120.679099999994</v>
      </c>
      <c r="AF316">
        <v>97012.1875</v>
      </c>
      <c r="AG316">
        <v>97168.896900000007</v>
      </c>
      <c r="AH316">
        <v>99806.425799999997</v>
      </c>
      <c r="AI316">
        <v>100335.4452</v>
      </c>
      <c r="AJ316">
        <v>99109.420599999998</v>
      </c>
      <c r="AK316">
        <v>98451.703599999993</v>
      </c>
      <c r="AL316">
        <v>97303.351299999995</v>
      </c>
      <c r="AM316">
        <v>94478.604500000001</v>
      </c>
      <c r="AN316">
        <v>95547.896999999997</v>
      </c>
      <c r="AO316">
        <v>95442.504400000005</v>
      </c>
      <c r="AP316">
        <v>94634.859800000006</v>
      </c>
      <c r="AQ316">
        <v>92117.3361</v>
      </c>
      <c r="AR316">
        <v>92240.114199999996</v>
      </c>
      <c r="AS316">
        <v>90738.698499999999</v>
      </c>
      <c r="AT316">
        <v>88302.480899999995</v>
      </c>
      <c r="AU316">
        <v>89302.669399999999</v>
      </c>
      <c r="AV316">
        <v>87650.963900000002</v>
      </c>
      <c r="AW316">
        <v>87913.660199999998</v>
      </c>
      <c r="AX316">
        <v>87760.131800000003</v>
      </c>
      <c r="AY316">
        <v>88486.112999999998</v>
      </c>
      <c r="AZ316">
        <v>87294.789199999999</v>
      </c>
      <c r="BA316">
        <v>90616.912100000001</v>
      </c>
      <c r="BC316">
        <v>89394.321599999996</v>
      </c>
      <c r="BD316">
        <v>85999.791800000006</v>
      </c>
      <c r="BE316">
        <v>76088.703200000004</v>
      </c>
      <c r="BF316">
        <v>83244.976899999994</v>
      </c>
      <c r="BJ316">
        <v>73687.677299999996</v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  <c r="BT316" t="str">
        <f>""</f>
        <v/>
      </c>
      <c r="BU316" t="str">
        <f>""</f>
        <v/>
      </c>
      <c r="BV316" t="str">
        <f>""</f>
        <v/>
      </c>
      <c r="BW316" t="str">
        <f>""</f>
        <v/>
      </c>
      <c r="BX316" t="str">
        <f>""</f>
        <v/>
      </c>
      <c r="BY316" t="str">
        <f>""</f>
        <v/>
      </c>
      <c r="BZ316" t="str">
        <f>""</f>
        <v/>
      </c>
      <c r="CA316" t="str">
        <f>""</f>
        <v/>
      </c>
      <c r="CB316" t="str">
        <f>""</f>
        <v/>
      </c>
      <c r="CC316" t="str">
        <f>""</f>
        <v/>
      </c>
      <c r="CD316" t="str">
        <f>""</f>
        <v/>
      </c>
      <c r="CE316" t="str">
        <f>""</f>
        <v/>
      </c>
      <c r="CF316" t="str">
        <f>""</f>
        <v/>
      </c>
      <c r="CG316" t="str">
        <f>""</f>
        <v/>
      </c>
      <c r="CH316" t="str">
        <f>""</f>
        <v/>
      </c>
      <c r="CI316" t="str">
        <f>""</f>
        <v/>
      </c>
      <c r="CJ316" t="str">
        <f>""</f>
        <v/>
      </c>
      <c r="CK316" t="str">
        <f>""</f>
        <v/>
      </c>
      <c r="CL316" t="str">
        <f>""</f>
        <v/>
      </c>
      <c r="CM316" t="str">
        <f>""</f>
        <v/>
      </c>
      <c r="CN316" t="str">
        <f>""</f>
        <v/>
      </c>
      <c r="CO316" t="str">
        <f>""</f>
        <v/>
      </c>
      <c r="CP316" t="str">
        <f>""</f>
        <v/>
      </c>
      <c r="CQ316" t="str">
        <f>""</f>
        <v/>
      </c>
      <c r="CR316" t="str">
        <f>""</f>
        <v/>
      </c>
      <c r="CS316" t="str">
        <f>""</f>
        <v/>
      </c>
      <c r="CT316" t="str">
        <f>""</f>
        <v/>
      </c>
      <c r="CU316" t="str">
        <f>""</f>
        <v/>
      </c>
      <c r="CV316" t="str">
        <f>""</f>
        <v/>
      </c>
      <c r="CW316" t="str">
        <f>""</f>
        <v/>
      </c>
      <c r="CX316" t="str">
        <f>""</f>
        <v/>
      </c>
      <c r="CY316" t="str">
        <f>""</f>
        <v/>
      </c>
      <c r="CZ316" t="str">
        <f>""</f>
        <v/>
      </c>
      <c r="DA316" t="str">
        <f>""</f>
        <v/>
      </c>
      <c r="DB316" t="str">
        <f>""</f>
        <v/>
      </c>
      <c r="DC316" t="str">
        <f>""</f>
        <v/>
      </c>
      <c r="DD316" t="str">
        <f>""</f>
        <v/>
      </c>
      <c r="DE316" t="str">
        <f>""</f>
        <v/>
      </c>
      <c r="DF316" t="str">
        <f>""</f>
        <v/>
      </c>
      <c r="DG316" t="str">
        <f>""</f>
        <v/>
      </c>
      <c r="DH316" t="str">
        <f>""</f>
        <v/>
      </c>
      <c r="DI316" t="str">
        <f>""</f>
        <v/>
      </c>
      <c r="DJ316" t="str">
        <f>""</f>
        <v/>
      </c>
      <c r="DK316" t="str">
        <f>""</f>
        <v/>
      </c>
      <c r="DL316" t="str">
        <f>""</f>
        <v/>
      </c>
      <c r="DM316" t="str">
        <f>""</f>
        <v/>
      </c>
      <c r="DN316" t="str">
        <f>""</f>
        <v/>
      </c>
      <c r="DO316" t="str">
        <f>""</f>
        <v/>
      </c>
      <c r="DP316" t="str">
        <f>""</f>
        <v/>
      </c>
      <c r="DQ316" t="str">
        <f>""</f>
        <v/>
      </c>
      <c r="DR316" t="str">
        <f>""</f>
        <v/>
      </c>
      <c r="DS316" t="str">
        <f>""</f>
        <v/>
      </c>
      <c r="DT316" t="str">
        <f>""</f>
        <v/>
      </c>
      <c r="DU316" t="str">
        <f>""</f>
        <v/>
      </c>
    </row>
    <row r="317" spans="1:125" x14ac:dyDescent="0.25">
      <c r="A317" t="str">
        <f>$A$113</f>
        <v xml:space="preserve">    Societe Generale SA</v>
      </c>
      <c r="B317" t="str">
        <f>$B$113</f>
        <v>GLE FP Equity</v>
      </c>
      <c r="C317" t="str">
        <f>$C$113</f>
        <v>BS017</v>
      </c>
      <c r="D317" t="str">
        <f>$D$113</f>
        <v>BS_CONS_LOAN</v>
      </c>
      <c r="E317" t="str">
        <f>$E$113</f>
        <v>Dynamic</v>
      </c>
      <c r="F317">
        <f ca="1">_xll.BDH($B$113,$C$113,$B$206,$B$207,CONCATENATE("Per=",$B$204),"Dts=H","Dir=H",CONCATENATE("Points=",$B$205),"Sort=R","Days=A","Fill=B",CONCATENATE("FX=", $B$203),"cols=60;rows=1")</f>
        <v>20383</v>
      </c>
      <c r="H317">
        <v>20109</v>
      </c>
      <c r="J317">
        <v>21629</v>
      </c>
      <c r="L317">
        <v>23366</v>
      </c>
      <c r="N317">
        <v>29244</v>
      </c>
      <c r="P317">
        <v>32242</v>
      </c>
      <c r="R317">
        <v>465178</v>
      </c>
      <c r="T317">
        <v>20937</v>
      </c>
      <c r="V317">
        <v>417970</v>
      </c>
      <c r="X317">
        <v>405101</v>
      </c>
      <c r="Z317">
        <v>407348</v>
      </c>
      <c r="AB317">
        <v>376484</v>
      </c>
      <c r="AD317">
        <v>375982</v>
      </c>
      <c r="AF317">
        <v>363413</v>
      </c>
      <c r="AH317">
        <v>364096</v>
      </c>
      <c r="AJ317">
        <v>354236</v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  <c r="BT317" t="str">
        <f>""</f>
        <v/>
      </c>
      <c r="BU317" t="str">
        <f>""</f>
        <v/>
      </c>
      <c r="BV317" t="str">
        <f>""</f>
        <v/>
      </c>
      <c r="BW317" t="str">
        <f>""</f>
        <v/>
      </c>
      <c r="BX317" t="str">
        <f>""</f>
        <v/>
      </c>
      <c r="BY317" t="str">
        <f>""</f>
        <v/>
      </c>
      <c r="BZ317" t="str">
        <f>""</f>
        <v/>
      </c>
      <c r="CA317" t="str">
        <f>""</f>
        <v/>
      </c>
      <c r="CB317" t="str">
        <f>""</f>
        <v/>
      </c>
      <c r="CC317" t="str">
        <f>""</f>
        <v/>
      </c>
      <c r="CD317" t="str">
        <f>""</f>
        <v/>
      </c>
      <c r="CE317" t="str">
        <f>""</f>
        <v/>
      </c>
      <c r="CF317" t="str">
        <f>""</f>
        <v/>
      </c>
      <c r="CG317" t="str">
        <f>""</f>
        <v/>
      </c>
      <c r="CH317" t="str">
        <f>""</f>
        <v/>
      </c>
      <c r="CI317" t="str">
        <f>""</f>
        <v/>
      </c>
      <c r="CJ317" t="str">
        <f>""</f>
        <v/>
      </c>
      <c r="CK317" t="str">
        <f>""</f>
        <v/>
      </c>
      <c r="CL317" t="str">
        <f>""</f>
        <v/>
      </c>
      <c r="CM317" t="str">
        <f>""</f>
        <v/>
      </c>
      <c r="CN317" t="str">
        <f>""</f>
        <v/>
      </c>
      <c r="CO317" t="str">
        <f>""</f>
        <v/>
      </c>
      <c r="CP317" t="str">
        <f>""</f>
        <v/>
      </c>
      <c r="CQ317" t="str">
        <f>""</f>
        <v/>
      </c>
      <c r="CR317" t="str">
        <f>""</f>
        <v/>
      </c>
      <c r="CS317" t="str">
        <f>""</f>
        <v/>
      </c>
      <c r="CT317" t="str">
        <f>""</f>
        <v/>
      </c>
      <c r="CU317" t="str">
        <f>""</f>
        <v/>
      </c>
      <c r="CV317" t="str">
        <f>""</f>
        <v/>
      </c>
      <c r="CW317" t="str">
        <f>""</f>
        <v/>
      </c>
      <c r="CX317" t="str">
        <f>""</f>
        <v/>
      </c>
      <c r="CY317" t="str">
        <f>""</f>
        <v/>
      </c>
      <c r="CZ317" t="str">
        <f>""</f>
        <v/>
      </c>
      <c r="DA317" t="str">
        <f>""</f>
        <v/>
      </c>
      <c r="DB317" t="str">
        <f>""</f>
        <v/>
      </c>
      <c r="DC317" t="str">
        <f>""</f>
        <v/>
      </c>
      <c r="DD317" t="str">
        <f>""</f>
        <v/>
      </c>
      <c r="DE317" t="str">
        <f>""</f>
        <v/>
      </c>
      <c r="DF317" t="str">
        <f>""</f>
        <v/>
      </c>
      <c r="DG317" t="str">
        <f>""</f>
        <v/>
      </c>
      <c r="DH317" t="str">
        <f>""</f>
        <v/>
      </c>
      <c r="DI317" t="str">
        <f>""</f>
        <v/>
      </c>
      <c r="DJ317" t="str">
        <f>""</f>
        <v/>
      </c>
      <c r="DK317" t="str">
        <f>""</f>
        <v/>
      </c>
      <c r="DL317" t="str">
        <f>""</f>
        <v/>
      </c>
      <c r="DM317" t="str">
        <f>""</f>
        <v/>
      </c>
      <c r="DN317" t="str">
        <f>""</f>
        <v/>
      </c>
      <c r="DO317" t="str">
        <f>""</f>
        <v/>
      </c>
      <c r="DP317" t="str">
        <f>""</f>
        <v/>
      </c>
      <c r="DQ317" t="str">
        <f>""</f>
        <v/>
      </c>
      <c r="DR317" t="str">
        <f>""</f>
        <v/>
      </c>
      <c r="DS317" t="str">
        <f>""</f>
        <v/>
      </c>
      <c r="DT317" t="str">
        <f>""</f>
        <v/>
      </c>
      <c r="DU317" t="str">
        <f>""</f>
        <v/>
      </c>
    </row>
    <row r="318" spans="1:125" x14ac:dyDescent="0.25">
      <c r="A318" t="str">
        <f>$A$114</f>
        <v xml:space="preserve">    Standard Chartered PLC</v>
      </c>
      <c r="B318" t="str">
        <f>$B$114</f>
        <v>STAN LN Equity</v>
      </c>
      <c r="C318" t="str">
        <f>$C$114</f>
        <v>BS017</v>
      </c>
      <c r="D318" t="str">
        <f>$D$114</f>
        <v>BS_CONS_LOAN</v>
      </c>
      <c r="E318" t="str">
        <f>$E$114</f>
        <v>Dynamic</v>
      </c>
      <c r="F318">
        <f ca="1">_xll.BDH($B$114,$C$114,$B$206,$B$207,CONCATENATE("Per=",$B$204),"Dts=H","Dir=H",CONCATENATE("Points=",$B$205),"Sort=R","Days=A","Fill=B",CONCATENATE("FX=", $B$203),"cols=60;rows=1")</f>
        <v>106678.9062</v>
      </c>
      <c r="H318">
        <v>103129.8992</v>
      </c>
      <c r="J318">
        <v>103154.37450000001</v>
      </c>
      <c r="L318">
        <v>107753.2515</v>
      </c>
      <c r="N318">
        <v>112247.2225</v>
      </c>
      <c r="P318">
        <v>117179.2426</v>
      </c>
      <c r="R318">
        <v>109364.1314</v>
      </c>
      <c r="T318">
        <v>103640.81359999999</v>
      </c>
      <c r="V318">
        <v>97129.652400000006</v>
      </c>
      <c r="X318">
        <v>100690.2072</v>
      </c>
      <c r="Z318">
        <v>101107.8458</v>
      </c>
      <c r="AB318">
        <v>96504.974000000002</v>
      </c>
      <c r="AD318">
        <v>96205.029699999999</v>
      </c>
      <c r="AF318">
        <v>96738.888399999996</v>
      </c>
      <c r="AH318">
        <v>92978.705700000006</v>
      </c>
      <c r="AJ318">
        <v>95684.745500000005</v>
      </c>
      <c r="AL318">
        <v>100397.2694</v>
      </c>
      <c r="AN318">
        <v>100512.0564</v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  <c r="BT318" t="str">
        <f>""</f>
        <v/>
      </c>
      <c r="BU318" t="str">
        <f>""</f>
        <v/>
      </c>
      <c r="BV318" t="str">
        <f>""</f>
        <v/>
      </c>
      <c r="BW318" t="str">
        <f>""</f>
        <v/>
      </c>
      <c r="BX318" t="str">
        <f>""</f>
        <v/>
      </c>
      <c r="BY318" t="str">
        <f>""</f>
        <v/>
      </c>
      <c r="BZ318" t="str">
        <f>""</f>
        <v/>
      </c>
      <c r="CA318" t="str">
        <f>""</f>
        <v/>
      </c>
      <c r="CB318" t="str">
        <f>""</f>
        <v/>
      </c>
      <c r="CC318" t="str">
        <f>""</f>
        <v/>
      </c>
      <c r="CD318" t="str">
        <f>""</f>
        <v/>
      </c>
      <c r="CE318" t="str">
        <f>""</f>
        <v/>
      </c>
      <c r="CF318" t="str">
        <f>""</f>
        <v/>
      </c>
      <c r="CG318" t="str">
        <f>""</f>
        <v/>
      </c>
      <c r="CH318" t="str">
        <f>""</f>
        <v/>
      </c>
      <c r="CI318" t="str">
        <f>""</f>
        <v/>
      </c>
      <c r="CJ318" t="str">
        <f>""</f>
        <v/>
      </c>
      <c r="CK318" t="str">
        <f>""</f>
        <v/>
      </c>
      <c r="CL318" t="str">
        <f>""</f>
        <v/>
      </c>
      <c r="CM318" t="str">
        <f>""</f>
        <v/>
      </c>
      <c r="CN318" t="str">
        <f>""</f>
        <v/>
      </c>
      <c r="CO318" t="str">
        <f>""</f>
        <v/>
      </c>
      <c r="CP318" t="str">
        <f>""</f>
        <v/>
      </c>
      <c r="CQ318" t="str">
        <f>""</f>
        <v/>
      </c>
      <c r="CR318" t="str">
        <f>""</f>
        <v/>
      </c>
      <c r="CS318" t="str">
        <f>""</f>
        <v/>
      </c>
      <c r="CT318" t="str">
        <f>""</f>
        <v/>
      </c>
      <c r="CU318" t="str">
        <f>""</f>
        <v/>
      </c>
      <c r="CV318" t="str">
        <f>""</f>
        <v/>
      </c>
      <c r="CW318" t="str">
        <f>""</f>
        <v/>
      </c>
      <c r="CX318" t="str">
        <f>""</f>
        <v/>
      </c>
      <c r="CY318" t="str">
        <f>""</f>
        <v/>
      </c>
      <c r="CZ318" t="str">
        <f>""</f>
        <v/>
      </c>
      <c r="DA318" t="str">
        <f>""</f>
        <v/>
      </c>
      <c r="DB318" t="str">
        <f>""</f>
        <v/>
      </c>
      <c r="DC318" t="str">
        <f>""</f>
        <v/>
      </c>
      <c r="DD318" t="str">
        <f>""</f>
        <v/>
      </c>
      <c r="DE318" t="str">
        <f>""</f>
        <v/>
      </c>
      <c r="DF318" t="str">
        <f>""</f>
        <v/>
      </c>
      <c r="DG318" t="str">
        <f>""</f>
        <v/>
      </c>
      <c r="DH318" t="str">
        <f>""</f>
        <v/>
      </c>
      <c r="DI318" t="str">
        <f>""</f>
        <v/>
      </c>
      <c r="DJ318" t="str">
        <f>""</f>
        <v/>
      </c>
      <c r="DK318" t="str">
        <f>""</f>
        <v/>
      </c>
      <c r="DL318" t="str">
        <f>""</f>
        <v/>
      </c>
      <c r="DM318" t="str">
        <f>""</f>
        <v/>
      </c>
      <c r="DN318" t="str">
        <f>""</f>
        <v/>
      </c>
      <c r="DO318" t="str">
        <f>""</f>
        <v/>
      </c>
      <c r="DP318" t="str">
        <f>""</f>
        <v/>
      </c>
      <c r="DQ318" t="str">
        <f>""</f>
        <v/>
      </c>
      <c r="DR318" t="str">
        <f>""</f>
        <v/>
      </c>
      <c r="DS318" t="str">
        <f>""</f>
        <v/>
      </c>
      <c r="DT318" t="str">
        <f>""</f>
        <v/>
      </c>
      <c r="DU318" t="str">
        <f>""</f>
        <v/>
      </c>
    </row>
    <row r="319" spans="1:125" x14ac:dyDescent="0.25">
      <c r="A319" t="str">
        <f>$A$115</f>
        <v xml:space="preserve">    UBS Group AG</v>
      </c>
      <c r="B319" t="str">
        <f>$B$115</f>
        <v>UBSG SW Equity</v>
      </c>
      <c r="C319" t="str">
        <f>$C$115</f>
        <v>BS017</v>
      </c>
      <c r="D319" t="str">
        <f>$D$115</f>
        <v>BS_CONS_LOAN</v>
      </c>
      <c r="E319" t="str">
        <f>$E$115</f>
        <v>Dynamic</v>
      </c>
      <c r="F319">
        <f ca="1">_xll.BDH($B$115,$C$115,$B$206,$B$207,CONCATENATE("Per=",$B$204),"Dts=H","Dir=H",CONCATENATE("Points=",$B$205),"Sort=R","Days=A","Fill=B",CONCATENATE("FX=", $B$203),"cols=60;rows=1")</f>
        <v>321662.4976</v>
      </c>
      <c r="G319">
        <v>321243.27230000001</v>
      </c>
      <c r="H319">
        <v>318687.01010000001</v>
      </c>
      <c r="I319">
        <v>318591.14490000001</v>
      </c>
      <c r="J319">
        <v>333038.68400000001</v>
      </c>
      <c r="K319">
        <v>322861.59950000001</v>
      </c>
      <c r="L319">
        <v>320709.837</v>
      </c>
      <c r="M319">
        <v>193129.0827</v>
      </c>
      <c r="N319">
        <v>191610.4939</v>
      </c>
      <c r="O319">
        <v>196865.1685</v>
      </c>
      <c r="P319">
        <v>186907.3738</v>
      </c>
      <c r="Q319">
        <v>179817.7224</v>
      </c>
      <c r="R319">
        <v>135663.2788</v>
      </c>
      <c r="S319">
        <v>129936.04700000001</v>
      </c>
      <c r="T319">
        <v>126118.65979999999</v>
      </c>
      <c r="U319">
        <v>122555.7447</v>
      </c>
      <c r="V319">
        <v>121843.11169999999</v>
      </c>
      <c r="W319">
        <v>122586.58930000001</v>
      </c>
      <c r="X319">
        <v>123596.0153</v>
      </c>
      <c r="Y319">
        <v>124032.4492</v>
      </c>
      <c r="Z319">
        <v>119799.3043</v>
      </c>
      <c r="AD319">
        <v>111759.4616</v>
      </c>
      <c r="AE319">
        <v>107624.4188</v>
      </c>
      <c r="AH319">
        <v>120138.912</v>
      </c>
      <c r="AL319">
        <v>132542.49340000001</v>
      </c>
      <c r="AP319">
        <v>131095.57680000001</v>
      </c>
      <c r="AT319">
        <v>118408.36109999999</v>
      </c>
      <c r="AX319">
        <v>112161.66559999999</v>
      </c>
      <c r="BB319">
        <v>109374.1173</v>
      </c>
      <c r="BF319">
        <v>103386.1842</v>
      </c>
      <c r="BJ319">
        <v>98581.979600000006</v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  <c r="BT319" t="str">
        <f>""</f>
        <v/>
      </c>
      <c r="BU319" t="str">
        <f>""</f>
        <v/>
      </c>
      <c r="BV319" t="str">
        <f>""</f>
        <v/>
      </c>
      <c r="BW319" t="str">
        <f>""</f>
        <v/>
      </c>
      <c r="BX319" t="str">
        <f>""</f>
        <v/>
      </c>
      <c r="BY319" t="str">
        <f>""</f>
        <v/>
      </c>
      <c r="BZ319" t="str">
        <f>""</f>
        <v/>
      </c>
      <c r="CA319" t="str">
        <f>""</f>
        <v/>
      </c>
      <c r="CB319" t="str">
        <f>""</f>
        <v/>
      </c>
      <c r="CC319" t="str">
        <f>""</f>
        <v/>
      </c>
      <c r="CD319" t="str">
        <f>""</f>
        <v/>
      </c>
      <c r="CE319" t="str">
        <f>""</f>
        <v/>
      </c>
      <c r="CF319" t="str">
        <f>""</f>
        <v/>
      </c>
      <c r="CG319" t="str">
        <f>""</f>
        <v/>
      </c>
      <c r="CH319" t="str">
        <f>""</f>
        <v/>
      </c>
      <c r="CI319" t="str">
        <f>""</f>
        <v/>
      </c>
      <c r="CJ319" t="str">
        <f>""</f>
        <v/>
      </c>
      <c r="CK319" t="str">
        <f>""</f>
        <v/>
      </c>
      <c r="CL319" t="str">
        <f>""</f>
        <v/>
      </c>
      <c r="CM319" t="str">
        <f>""</f>
        <v/>
      </c>
      <c r="CN319" t="str">
        <f>""</f>
        <v/>
      </c>
      <c r="CO319" t="str">
        <f>""</f>
        <v/>
      </c>
      <c r="CP319" t="str">
        <f>""</f>
        <v/>
      </c>
      <c r="CQ319" t="str">
        <f>""</f>
        <v/>
      </c>
      <c r="CR319" t="str">
        <f>""</f>
        <v/>
      </c>
      <c r="CS319" t="str">
        <f>""</f>
        <v/>
      </c>
      <c r="CT319" t="str">
        <f>""</f>
        <v/>
      </c>
      <c r="CU319" t="str">
        <f>""</f>
        <v/>
      </c>
      <c r="CV319" t="str">
        <f>""</f>
        <v/>
      </c>
      <c r="CW319" t="str">
        <f>""</f>
        <v/>
      </c>
      <c r="CX319" t="str">
        <f>""</f>
        <v/>
      </c>
      <c r="CY319" t="str">
        <f>""</f>
        <v/>
      </c>
      <c r="CZ319" t="str">
        <f>""</f>
        <v/>
      </c>
      <c r="DA319" t="str">
        <f>""</f>
        <v/>
      </c>
      <c r="DB319" t="str">
        <f>""</f>
        <v/>
      </c>
      <c r="DC319" t="str">
        <f>""</f>
        <v/>
      </c>
      <c r="DD319" t="str">
        <f>""</f>
        <v/>
      </c>
      <c r="DE319" t="str">
        <f>""</f>
        <v/>
      </c>
      <c r="DF319" t="str">
        <f>""</f>
        <v/>
      </c>
      <c r="DG319" t="str">
        <f>""</f>
        <v/>
      </c>
      <c r="DH319" t="str">
        <f>""</f>
        <v/>
      </c>
      <c r="DI319" t="str">
        <f>""</f>
        <v/>
      </c>
      <c r="DJ319" t="str">
        <f>""</f>
        <v/>
      </c>
      <c r="DK319" t="str">
        <f>""</f>
        <v/>
      </c>
      <c r="DL319" t="str">
        <f>""</f>
        <v/>
      </c>
      <c r="DM319" t="str">
        <f>""</f>
        <v/>
      </c>
      <c r="DN319" t="str">
        <f>""</f>
        <v/>
      </c>
      <c r="DO319" t="str">
        <f>""</f>
        <v/>
      </c>
      <c r="DP319" t="str">
        <f>""</f>
        <v/>
      </c>
      <c r="DQ319" t="str">
        <f>""</f>
        <v/>
      </c>
      <c r="DR319" t="str">
        <f>""</f>
        <v/>
      </c>
      <c r="DS319" t="str">
        <f>""</f>
        <v/>
      </c>
      <c r="DT319" t="str">
        <f>""</f>
        <v/>
      </c>
      <c r="DU319" t="str">
        <f>""</f>
        <v/>
      </c>
    </row>
    <row r="320" spans="1:125" x14ac:dyDescent="0.25">
      <c r="A320" t="str">
        <f>$A$116</f>
        <v xml:space="preserve">    UniCredit SpA</v>
      </c>
      <c r="B320" t="str">
        <f>$B$116</f>
        <v>UCG IM Equity</v>
      </c>
      <c r="C320" t="str">
        <f>$C$116</f>
        <v>BS017</v>
      </c>
      <c r="D320" t="str">
        <f>$D$116</f>
        <v>BS_CONS_LOAN</v>
      </c>
      <c r="E320" t="str">
        <f>$E$116</f>
        <v>Dynamic</v>
      </c>
      <c r="F320">
        <f ca="1">_xll.BDH($B$116,$C$116,$B$206,$B$207,CONCATENATE("Per=",$B$204),"Dts=H","Dir=H",CONCATENATE("Points=",$B$205),"Sort=R","Days=A","Fill=B",CONCATENATE("FX=", $B$203),"cols=60;rows=1")</f>
        <v>222109</v>
      </c>
      <c r="H320">
        <v>224684</v>
      </c>
      <c r="J320">
        <v>224833</v>
      </c>
      <c r="L320">
        <v>232421</v>
      </c>
      <c r="N320">
        <v>232431</v>
      </c>
      <c r="P320">
        <v>235904</v>
      </c>
      <c r="R320">
        <v>227542</v>
      </c>
      <c r="T320">
        <v>224565</v>
      </c>
      <c r="V320">
        <v>220365</v>
      </c>
      <c r="X320">
        <v>220409</v>
      </c>
      <c r="Z320">
        <v>220164</v>
      </c>
      <c r="AB320">
        <v>220471</v>
      </c>
      <c r="AD320">
        <v>220297</v>
      </c>
      <c r="AF320">
        <v>215671.984</v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  <c r="BT320" t="str">
        <f>""</f>
        <v/>
      </c>
      <c r="BU320" t="str">
        <f>""</f>
        <v/>
      </c>
      <c r="BV320" t="str">
        <f>""</f>
        <v/>
      </c>
      <c r="BW320" t="str">
        <f>""</f>
        <v/>
      </c>
      <c r="BX320" t="str">
        <f>""</f>
        <v/>
      </c>
      <c r="BY320" t="str">
        <f>""</f>
        <v/>
      </c>
      <c r="BZ320" t="str">
        <f>""</f>
        <v/>
      </c>
      <c r="CA320" t="str">
        <f>""</f>
        <v/>
      </c>
      <c r="CB320" t="str">
        <f>""</f>
        <v/>
      </c>
      <c r="CC320" t="str">
        <f>""</f>
        <v/>
      </c>
      <c r="CD320" t="str">
        <f>""</f>
        <v/>
      </c>
      <c r="CE320" t="str">
        <f>""</f>
        <v/>
      </c>
      <c r="CF320" t="str">
        <f>""</f>
        <v/>
      </c>
      <c r="CG320" t="str">
        <f>""</f>
        <v/>
      </c>
      <c r="CH320" t="str">
        <f>""</f>
        <v/>
      </c>
      <c r="CI320" t="str">
        <f>""</f>
        <v/>
      </c>
      <c r="CJ320" t="str">
        <f>""</f>
        <v/>
      </c>
      <c r="CK320" t="str">
        <f>""</f>
        <v/>
      </c>
      <c r="CL320" t="str">
        <f>""</f>
        <v/>
      </c>
      <c r="CM320" t="str">
        <f>""</f>
        <v/>
      </c>
      <c r="CN320" t="str">
        <f>""</f>
        <v/>
      </c>
      <c r="CO320" t="str">
        <f>""</f>
        <v/>
      </c>
      <c r="CP320" t="str">
        <f>""</f>
        <v/>
      </c>
      <c r="CQ320" t="str">
        <f>""</f>
        <v/>
      </c>
      <c r="CR320" t="str">
        <f>""</f>
        <v/>
      </c>
      <c r="CS320" t="str">
        <f>""</f>
        <v/>
      </c>
      <c r="CT320" t="str">
        <f>""</f>
        <v/>
      </c>
      <c r="CU320" t="str">
        <f>""</f>
        <v/>
      </c>
      <c r="CV320" t="str">
        <f>""</f>
        <v/>
      </c>
      <c r="CW320" t="str">
        <f>""</f>
        <v/>
      </c>
      <c r="CX320" t="str">
        <f>""</f>
        <v/>
      </c>
      <c r="CY320" t="str">
        <f>""</f>
        <v/>
      </c>
      <c r="CZ320" t="str">
        <f>""</f>
        <v/>
      </c>
      <c r="DA320" t="str">
        <f>""</f>
        <v/>
      </c>
      <c r="DB320" t="str">
        <f>""</f>
        <v/>
      </c>
      <c r="DC320" t="str">
        <f>""</f>
        <v/>
      </c>
      <c r="DD320" t="str">
        <f>""</f>
        <v/>
      </c>
      <c r="DE320" t="str">
        <f>""</f>
        <v/>
      </c>
      <c r="DF320" t="str">
        <f>""</f>
        <v/>
      </c>
      <c r="DG320" t="str">
        <f>""</f>
        <v/>
      </c>
      <c r="DH320" t="str">
        <f>""</f>
        <v/>
      </c>
      <c r="DI320" t="str">
        <f>""</f>
        <v/>
      </c>
      <c r="DJ320" t="str">
        <f>""</f>
        <v/>
      </c>
      <c r="DK320" t="str">
        <f>""</f>
        <v/>
      </c>
      <c r="DL320" t="str">
        <f>""</f>
        <v/>
      </c>
      <c r="DM320" t="str">
        <f>""</f>
        <v/>
      </c>
      <c r="DN320" t="str">
        <f>""</f>
        <v/>
      </c>
      <c r="DO320" t="str">
        <f>""</f>
        <v/>
      </c>
      <c r="DP320" t="str">
        <f>""</f>
        <v/>
      </c>
      <c r="DQ320" t="str">
        <f>""</f>
        <v/>
      </c>
      <c r="DR320" t="str">
        <f>""</f>
        <v/>
      </c>
      <c r="DS320" t="str">
        <f>""</f>
        <v/>
      </c>
      <c r="DT320" t="str">
        <f>""</f>
        <v/>
      </c>
      <c r="DU320" t="str">
        <f>""</f>
        <v/>
      </c>
    </row>
    <row r="321" spans="1:125" x14ac:dyDescent="0.25">
      <c r="A321" t="str">
        <f>$A$118</f>
        <v xml:space="preserve">    ABN AMRO Bank NV</v>
      </c>
      <c r="B321" t="str">
        <f>$B$118</f>
        <v>ABN NA Equity</v>
      </c>
      <c r="C321" t="str">
        <f>$C$118</f>
        <v>BS016</v>
      </c>
      <c r="D321" t="str">
        <f>$D$118</f>
        <v>BS_COMM_LOAN</v>
      </c>
      <c r="E321" t="str">
        <f>$E$118</f>
        <v>Dynamic</v>
      </c>
      <c r="F321">
        <f ca="1">_xll.BDH($B$118,$C$118,$B$206,$B$207,CONCATENATE("Per=",$B$204),"Dts=H","Dir=H",CONCATENATE("Points=",$B$205),"Sort=R","Days=A","Fill=B",CONCATENATE("FX=", $B$203),"cols=60;rows=1")</f>
        <v>90346</v>
      </c>
      <c r="G321">
        <v>102439</v>
      </c>
      <c r="H321">
        <v>97610</v>
      </c>
      <c r="I321">
        <v>99434</v>
      </c>
      <c r="J321">
        <v>93340</v>
      </c>
      <c r="K321">
        <v>97892</v>
      </c>
      <c r="L321">
        <v>98152</v>
      </c>
      <c r="M321">
        <v>99086</v>
      </c>
      <c r="N321">
        <v>94295</v>
      </c>
      <c r="O321">
        <v>111601</v>
      </c>
      <c r="P321">
        <v>108321</v>
      </c>
      <c r="Q321">
        <v>104861</v>
      </c>
      <c r="R321">
        <v>101570</v>
      </c>
      <c r="S321">
        <v>96390</v>
      </c>
      <c r="T321">
        <v>88958</v>
      </c>
      <c r="U321">
        <v>94124</v>
      </c>
      <c r="V321">
        <v>94884</v>
      </c>
      <c r="W321">
        <v>102841</v>
      </c>
      <c r="X321">
        <v>99519</v>
      </c>
      <c r="Y321">
        <v>118264</v>
      </c>
      <c r="Z321">
        <v>106666</v>
      </c>
      <c r="AA321">
        <v>112349</v>
      </c>
      <c r="AB321">
        <v>107702</v>
      </c>
      <c r="AC321">
        <v>115148</v>
      </c>
      <c r="AD321">
        <v>108907</v>
      </c>
      <c r="AE321">
        <v>113820</v>
      </c>
      <c r="AF321">
        <v>109857</v>
      </c>
      <c r="AG321">
        <v>105565</v>
      </c>
      <c r="AH321">
        <v>103138</v>
      </c>
      <c r="AI321">
        <v>99107</v>
      </c>
      <c r="AJ321">
        <v>100255</v>
      </c>
      <c r="AK321">
        <v>102362</v>
      </c>
      <c r="AL321">
        <v>99031</v>
      </c>
      <c r="AM321">
        <v>81048</v>
      </c>
      <c r="AN321">
        <v>101915</v>
      </c>
      <c r="AO321">
        <v>92952</v>
      </c>
      <c r="AP321">
        <v>107359</v>
      </c>
      <c r="AQ321">
        <v>91558</v>
      </c>
      <c r="AR321">
        <v>95128</v>
      </c>
      <c r="AT321">
        <v>91305</v>
      </c>
      <c r="AU321">
        <v>81262</v>
      </c>
      <c r="AV321">
        <v>86017</v>
      </c>
      <c r="AW321">
        <v>81684</v>
      </c>
      <c r="AX321">
        <v>88917</v>
      </c>
      <c r="AY321">
        <v>83540</v>
      </c>
      <c r="AZ321">
        <v>85357</v>
      </c>
      <c r="BA321">
        <v>115528</v>
      </c>
      <c r="BB321">
        <v>85592</v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  <c r="BT321" t="str">
        <f>""</f>
        <v/>
      </c>
      <c r="BU321" t="str">
        <f>""</f>
        <v/>
      </c>
      <c r="BV321" t="str">
        <f>""</f>
        <v/>
      </c>
      <c r="BW321" t="str">
        <f>""</f>
        <v/>
      </c>
      <c r="BX321" t="str">
        <f>""</f>
        <v/>
      </c>
      <c r="BY321" t="str">
        <f>""</f>
        <v/>
      </c>
      <c r="BZ321" t="str">
        <f>""</f>
        <v/>
      </c>
      <c r="CA321" t="str">
        <f>""</f>
        <v/>
      </c>
      <c r="CB321" t="str">
        <f>""</f>
        <v/>
      </c>
      <c r="CC321" t="str">
        <f>""</f>
        <v/>
      </c>
      <c r="CD321" t="str">
        <f>""</f>
        <v/>
      </c>
      <c r="CE321" t="str">
        <f>""</f>
        <v/>
      </c>
      <c r="CF321" t="str">
        <f>""</f>
        <v/>
      </c>
      <c r="CG321" t="str">
        <f>""</f>
        <v/>
      </c>
      <c r="CH321" t="str">
        <f>""</f>
        <v/>
      </c>
      <c r="CI321" t="str">
        <f>""</f>
        <v/>
      </c>
      <c r="CJ321" t="str">
        <f>""</f>
        <v/>
      </c>
      <c r="CK321" t="str">
        <f>""</f>
        <v/>
      </c>
      <c r="CL321" t="str">
        <f>""</f>
        <v/>
      </c>
      <c r="CM321" t="str">
        <f>""</f>
        <v/>
      </c>
      <c r="CN321" t="str">
        <f>""</f>
        <v/>
      </c>
      <c r="CO321" t="str">
        <f>""</f>
        <v/>
      </c>
      <c r="CP321" t="str">
        <f>""</f>
        <v/>
      </c>
      <c r="CQ321" t="str">
        <f>""</f>
        <v/>
      </c>
      <c r="CR321" t="str">
        <f>""</f>
        <v/>
      </c>
      <c r="CS321" t="str">
        <f>""</f>
        <v/>
      </c>
      <c r="CT321" t="str">
        <f>""</f>
        <v/>
      </c>
      <c r="CU321" t="str">
        <f>""</f>
        <v/>
      </c>
      <c r="CV321" t="str">
        <f>""</f>
        <v/>
      </c>
      <c r="CW321" t="str">
        <f>""</f>
        <v/>
      </c>
      <c r="CX321" t="str">
        <f>""</f>
        <v/>
      </c>
      <c r="CY321" t="str">
        <f>""</f>
        <v/>
      </c>
      <c r="CZ321" t="str">
        <f>""</f>
        <v/>
      </c>
      <c r="DA321" t="str">
        <f>""</f>
        <v/>
      </c>
      <c r="DB321" t="str">
        <f>""</f>
        <v/>
      </c>
      <c r="DC321" t="str">
        <f>""</f>
        <v/>
      </c>
      <c r="DD321" t="str">
        <f>""</f>
        <v/>
      </c>
      <c r="DE321" t="str">
        <f>""</f>
        <v/>
      </c>
      <c r="DF321" t="str">
        <f>""</f>
        <v/>
      </c>
      <c r="DG321" t="str">
        <f>""</f>
        <v/>
      </c>
      <c r="DH321" t="str">
        <f>""</f>
        <v/>
      </c>
      <c r="DI321" t="str">
        <f>""</f>
        <v/>
      </c>
      <c r="DJ321" t="str">
        <f>""</f>
        <v/>
      </c>
      <c r="DK321" t="str">
        <f>""</f>
        <v/>
      </c>
      <c r="DL321" t="str">
        <f>""</f>
        <v/>
      </c>
      <c r="DM321" t="str">
        <f>""</f>
        <v/>
      </c>
      <c r="DN321" t="str">
        <f>""</f>
        <v/>
      </c>
      <c r="DO321" t="str">
        <f>""</f>
        <v/>
      </c>
      <c r="DP321" t="str">
        <f>""</f>
        <v/>
      </c>
      <c r="DQ321" t="str">
        <f>""</f>
        <v/>
      </c>
      <c r="DR321" t="str">
        <f>""</f>
        <v/>
      </c>
      <c r="DS321" t="str">
        <f>""</f>
        <v/>
      </c>
      <c r="DT321" t="str">
        <f>""</f>
        <v/>
      </c>
      <c r="DU321" t="str">
        <f>""</f>
        <v/>
      </c>
    </row>
    <row r="322" spans="1:125" x14ac:dyDescent="0.25">
      <c r="A322" t="str">
        <f>$A$119</f>
        <v xml:space="preserve">    AIB Group PLC</v>
      </c>
      <c r="B322" t="str">
        <f>$B$119</f>
        <v>AIBG ID Equity</v>
      </c>
      <c r="C322" t="str">
        <f>$C$119</f>
        <v>BS016</v>
      </c>
      <c r="D322" t="str">
        <f>$D$119</f>
        <v>BS_COMM_LOAN</v>
      </c>
      <c r="E322" t="str">
        <f>$E$119</f>
        <v>Dynamic</v>
      </c>
      <c r="F322" t="str">
        <f ca="1">_xll.BDH($B$119,$C$119,$B$206,$B$207,CONCATENATE("Per=",$B$204),"Dts=H","Dir=H",CONCATENATE("Points=",$B$205),"Sort=R","Days=A","Fill=B",CONCATENATE("FX=", $B$203) )</f>
        <v/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  <c r="BT322" t="str">
        <f>""</f>
        <v/>
      </c>
      <c r="BU322" t="str">
        <f>""</f>
        <v/>
      </c>
      <c r="BV322" t="str">
        <f>""</f>
        <v/>
      </c>
      <c r="BW322" t="str">
        <f>""</f>
        <v/>
      </c>
      <c r="BX322" t="str">
        <f>""</f>
        <v/>
      </c>
      <c r="BY322" t="str">
        <f>""</f>
        <v/>
      </c>
      <c r="BZ322" t="str">
        <f>""</f>
        <v/>
      </c>
      <c r="CA322" t="str">
        <f>""</f>
        <v/>
      </c>
      <c r="CB322" t="str">
        <f>""</f>
        <v/>
      </c>
      <c r="CC322" t="str">
        <f>""</f>
        <v/>
      </c>
      <c r="CD322" t="str">
        <f>""</f>
        <v/>
      </c>
      <c r="CE322" t="str">
        <f>""</f>
        <v/>
      </c>
      <c r="CF322" t="str">
        <f>""</f>
        <v/>
      </c>
      <c r="CG322" t="str">
        <f>""</f>
        <v/>
      </c>
      <c r="CH322" t="str">
        <f>""</f>
        <v/>
      </c>
      <c r="CI322" t="str">
        <f>""</f>
        <v/>
      </c>
      <c r="CJ322" t="str">
        <f>""</f>
        <v/>
      </c>
      <c r="CK322" t="str">
        <f>""</f>
        <v/>
      </c>
      <c r="CL322" t="str">
        <f>""</f>
        <v/>
      </c>
      <c r="CM322" t="str">
        <f>""</f>
        <v/>
      </c>
      <c r="CN322" t="str">
        <f>""</f>
        <v/>
      </c>
      <c r="CO322" t="str">
        <f>""</f>
        <v/>
      </c>
      <c r="CP322" t="str">
        <f>""</f>
        <v/>
      </c>
      <c r="CQ322" t="str">
        <f>""</f>
        <v/>
      </c>
      <c r="CR322" t="str">
        <f>""</f>
        <v/>
      </c>
      <c r="CS322" t="str">
        <f>""</f>
        <v/>
      </c>
      <c r="CT322" t="str">
        <f>""</f>
        <v/>
      </c>
      <c r="CU322" t="str">
        <f>""</f>
        <v/>
      </c>
      <c r="CV322" t="str">
        <f>""</f>
        <v/>
      </c>
      <c r="CW322" t="str">
        <f>""</f>
        <v/>
      </c>
      <c r="CX322" t="str">
        <f>""</f>
        <v/>
      </c>
      <c r="CY322" t="str">
        <f>""</f>
        <v/>
      </c>
      <c r="CZ322" t="str">
        <f>""</f>
        <v/>
      </c>
      <c r="DA322" t="str">
        <f>""</f>
        <v/>
      </c>
      <c r="DB322" t="str">
        <f>""</f>
        <v/>
      </c>
      <c r="DC322" t="str">
        <f>""</f>
        <v/>
      </c>
      <c r="DD322" t="str">
        <f>""</f>
        <v/>
      </c>
      <c r="DE322" t="str">
        <f>""</f>
        <v/>
      </c>
      <c r="DF322" t="str">
        <f>""</f>
        <v/>
      </c>
      <c r="DG322" t="str">
        <f>""</f>
        <v/>
      </c>
      <c r="DH322" t="str">
        <f>""</f>
        <v/>
      </c>
      <c r="DI322" t="str">
        <f>""</f>
        <v/>
      </c>
      <c r="DJ322" t="str">
        <f>""</f>
        <v/>
      </c>
      <c r="DK322" t="str">
        <f>""</f>
        <v/>
      </c>
      <c r="DL322" t="str">
        <f>""</f>
        <v/>
      </c>
      <c r="DM322" t="str">
        <f>""</f>
        <v/>
      </c>
      <c r="DN322" t="str">
        <f>""</f>
        <v/>
      </c>
      <c r="DO322" t="str">
        <f>""</f>
        <v/>
      </c>
      <c r="DP322" t="str">
        <f>""</f>
        <v/>
      </c>
      <c r="DQ322" t="str">
        <f>""</f>
        <v/>
      </c>
      <c r="DR322" t="str">
        <f>""</f>
        <v/>
      </c>
      <c r="DS322" t="str">
        <f>""</f>
        <v/>
      </c>
      <c r="DT322" t="str">
        <f>""</f>
        <v/>
      </c>
      <c r="DU322" t="str">
        <f>""</f>
        <v/>
      </c>
    </row>
    <row r="323" spans="1:125" x14ac:dyDescent="0.25">
      <c r="A323" t="str">
        <f>$A$120</f>
        <v xml:space="preserve">    Banco de Sabadell SA</v>
      </c>
      <c r="B323" t="str">
        <f>$B$120</f>
        <v>SAB SM Equity</v>
      </c>
      <c r="C323" t="str">
        <f>$C$120</f>
        <v>BS016</v>
      </c>
      <c r="D323" t="str">
        <f>$D$120</f>
        <v>BS_COMM_LOAN</v>
      </c>
      <c r="E323" t="str">
        <f>$E$120</f>
        <v>Dynamic</v>
      </c>
      <c r="F323">
        <f ca="1">_xll.BDH($B$120,$C$120,$B$206,$B$207,CONCATENATE("Per=",$B$204),"Dts=H","Dir=H",CONCATENATE("Points=",$B$205),"Sort=R","Days=A","Fill=B",CONCATENATE("FX=", $B$203),"cols=60;rows=1")</f>
        <v>8356.1959999999999</v>
      </c>
      <c r="G323">
        <v>7221</v>
      </c>
      <c r="H323">
        <v>8031</v>
      </c>
      <c r="I323">
        <v>6812</v>
      </c>
      <c r="J323">
        <v>7465.1189999999997</v>
      </c>
      <c r="K323">
        <v>6829</v>
      </c>
      <c r="L323">
        <v>7002.2529999999997</v>
      </c>
      <c r="M323">
        <v>6739</v>
      </c>
      <c r="N323">
        <v>7489.183</v>
      </c>
      <c r="O323">
        <v>6760</v>
      </c>
      <c r="P323">
        <v>6744.6570000000002</v>
      </c>
      <c r="Q323">
        <v>5992</v>
      </c>
      <c r="R323">
        <v>6049.5540000000001</v>
      </c>
      <c r="S323">
        <v>5200</v>
      </c>
      <c r="T323">
        <v>5439.3620000000001</v>
      </c>
      <c r="U323">
        <v>5104</v>
      </c>
      <c r="V323">
        <v>4991.0950000000003</v>
      </c>
      <c r="W323">
        <v>4312</v>
      </c>
      <c r="X323">
        <v>4625.3810000000003</v>
      </c>
      <c r="Y323">
        <v>5972</v>
      </c>
      <c r="Z323">
        <v>6443.0410000000002</v>
      </c>
      <c r="AA323">
        <v>5447</v>
      </c>
      <c r="AB323">
        <v>5945.2929999999997</v>
      </c>
      <c r="AC323">
        <v>5781</v>
      </c>
      <c r="AD323">
        <v>6185.8280000000004</v>
      </c>
      <c r="AE323">
        <v>5805</v>
      </c>
      <c r="AF323">
        <v>6148.3090000000002</v>
      </c>
      <c r="AG323">
        <v>5644</v>
      </c>
      <c r="AH323">
        <v>5801.6019999999999</v>
      </c>
      <c r="AI323">
        <v>5719</v>
      </c>
      <c r="AJ323">
        <v>5560.24</v>
      </c>
      <c r="AK323">
        <v>5150</v>
      </c>
      <c r="AL323">
        <v>5530.0450000000001</v>
      </c>
      <c r="AM323">
        <v>4827</v>
      </c>
      <c r="AN323">
        <v>5506.7460000000001</v>
      </c>
      <c r="AO323">
        <v>5000</v>
      </c>
      <c r="AP323">
        <v>5665.0619999999999</v>
      </c>
      <c r="AQ323">
        <v>4994</v>
      </c>
      <c r="AR323">
        <v>2662.7249999999999</v>
      </c>
      <c r="AS323">
        <v>4763.1880000000001</v>
      </c>
      <c r="AT323">
        <v>2269.9409999999998</v>
      </c>
      <c r="AU323">
        <v>4407</v>
      </c>
      <c r="AV323">
        <v>2206.6260000000002</v>
      </c>
      <c r="AW323">
        <v>4132.7169999999996</v>
      </c>
      <c r="AX323">
        <v>2283.8939999999998</v>
      </c>
      <c r="AY323">
        <v>3970.2890000000002</v>
      </c>
      <c r="AZ323">
        <v>2317.6439999999998</v>
      </c>
      <c r="BA323">
        <v>4104.0559999999996</v>
      </c>
      <c r="BB323">
        <v>2179.4319999999998</v>
      </c>
      <c r="BC323">
        <v>4399.5230000000001</v>
      </c>
      <c r="BD323">
        <v>2419.7570000000001</v>
      </c>
      <c r="BE323">
        <v>4961.9690000000001</v>
      </c>
      <c r="BF323">
        <v>2479.422</v>
      </c>
      <c r="BG323">
        <v>4894.884</v>
      </c>
      <c r="BH323">
        <v>2436.2269999999999</v>
      </c>
      <c r="BI323">
        <v>5053.0640000000003</v>
      </c>
      <c r="BJ323">
        <v>2839.0189999999998</v>
      </c>
      <c r="BK323">
        <v>4280.9589999999998</v>
      </c>
      <c r="BL323">
        <v>2037.778</v>
      </c>
      <c r="BM323">
        <v>2116</v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  <c r="BT323" t="str">
        <f>""</f>
        <v/>
      </c>
      <c r="BU323" t="str">
        <f>""</f>
        <v/>
      </c>
      <c r="BV323" t="str">
        <f>""</f>
        <v/>
      </c>
      <c r="BW323" t="str">
        <f>""</f>
        <v/>
      </c>
      <c r="BX323" t="str">
        <f>""</f>
        <v/>
      </c>
      <c r="BY323" t="str">
        <f>""</f>
        <v/>
      </c>
      <c r="BZ323" t="str">
        <f>""</f>
        <v/>
      </c>
      <c r="CA323" t="str">
        <f>""</f>
        <v/>
      </c>
      <c r="CB323" t="str">
        <f>""</f>
        <v/>
      </c>
      <c r="CC323" t="str">
        <f>""</f>
        <v/>
      </c>
      <c r="CD323" t="str">
        <f>""</f>
        <v/>
      </c>
      <c r="CE323" t="str">
        <f>""</f>
        <v/>
      </c>
      <c r="CF323" t="str">
        <f>""</f>
        <v/>
      </c>
      <c r="CG323" t="str">
        <f>""</f>
        <v/>
      </c>
      <c r="CH323" t="str">
        <f>""</f>
        <v/>
      </c>
      <c r="CI323" t="str">
        <f>""</f>
        <v/>
      </c>
      <c r="CJ323" t="str">
        <f>""</f>
        <v/>
      </c>
      <c r="CK323" t="str">
        <f>""</f>
        <v/>
      </c>
      <c r="CL323" t="str">
        <f>""</f>
        <v/>
      </c>
      <c r="CM323" t="str">
        <f>""</f>
        <v/>
      </c>
      <c r="CN323" t="str">
        <f>""</f>
        <v/>
      </c>
      <c r="CO323" t="str">
        <f>""</f>
        <v/>
      </c>
      <c r="CP323" t="str">
        <f>""</f>
        <v/>
      </c>
      <c r="CQ323" t="str">
        <f>""</f>
        <v/>
      </c>
      <c r="CR323" t="str">
        <f>""</f>
        <v/>
      </c>
      <c r="CS323" t="str">
        <f>""</f>
        <v/>
      </c>
      <c r="CT323" t="str">
        <f>""</f>
        <v/>
      </c>
      <c r="CU323" t="str">
        <f>""</f>
        <v/>
      </c>
      <c r="CV323" t="str">
        <f>""</f>
        <v/>
      </c>
      <c r="CW323" t="str">
        <f>""</f>
        <v/>
      </c>
      <c r="CX323" t="str">
        <f>""</f>
        <v/>
      </c>
      <c r="CY323" t="str">
        <f>""</f>
        <v/>
      </c>
      <c r="CZ323" t="str">
        <f>""</f>
        <v/>
      </c>
      <c r="DA323" t="str">
        <f>""</f>
        <v/>
      </c>
      <c r="DB323" t="str">
        <f>""</f>
        <v/>
      </c>
      <c r="DC323" t="str">
        <f>""</f>
        <v/>
      </c>
      <c r="DD323" t="str">
        <f>""</f>
        <v/>
      </c>
      <c r="DE323" t="str">
        <f>""</f>
        <v/>
      </c>
      <c r="DF323" t="str">
        <f>""</f>
        <v/>
      </c>
      <c r="DG323" t="str">
        <f>""</f>
        <v/>
      </c>
      <c r="DH323" t="str">
        <f>""</f>
        <v/>
      </c>
      <c r="DI323" t="str">
        <f>""</f>
        <v/>
      </c>
      <c r="DJ323" t="str">
        <f>""</f>
        <v/>
      </c>
      <c r="DK323" t="str">
        <f>""</f>
        <v/>
      </c>
      <c r="DL323" t="str">
        <f>""</f>
        <v/>
      </c>
      <c r="DM323" t="str">
        <f>""</f>
        <v/>
      </c>
      <c r="DN323" t="str">
        <f>""</f>
        <v/>
      </c>
      <c r="DO323" t="str">
        <f>""</f>
        <v/>
      </c>
      <c r="DP323" t="str">
        <f>""</f>
        <v/>
      </c>
      <c r="DQ323" t="str">
        <f>""</f>
        <v/>
      </c>
      <c r="DR323" t="str">
        <f>""</f>
        <v/>
      </c>
      <c r="DS323" t="str">
        <f>""</f>
        <v/>
      </c>
      <c r="DT323" t="str">
        <f>""</f>
        <v/>
      </c>
      <c r="DU323" t="str">
        <f>""</f>
        <v/>
      </c>
    </row>
    <row r="324" spans="1:125" x14ac:dyDescent="0.25">
      <c r="A324" t="str">
        <f>$A$121</f>
        <v xml:space="preserve">    Banco Santander SA</v>
      </c>
      <c r="B324" t="str">
        <f>$B$121</f>
        <v>SAN SM Equity</v>
      </c>
      <c r="C324" t="str">
        <f>$C$121</f>
        <v>BS016</v>
      </c>
      <c r="D324" t="str">
        <f>$D$121</f>
        <v>BS_COMM_LOAN</v>
      </c>
      <c r="E324" t="str">
        <f>$E$121</f>
        <v>Dynamic</v>
      </c>
      <c r="F324">
        <f ca="1">_xll.BDH($B$121,$C$121,$B$206,$B$207,CONCATENATE("Per=",$B$204),"Dts=H","Dir=H",CONCATENATE("Points=",$B$205),"Sort=R","Days=A","Fill=B",CONCATENATE("FX=", $B$203),"cols=60;rows=1")</f>
        <v>93329</v>
      </c>
      <c r="G324">
        <v>90374</v>
      </c>
      <c r="H324">
        <v>93488</v>
      </c>
      <c r="I324">
        <v>89745</v>
      </c>
      <c r="J324">
        <v>94351</v>
      </c>
      <c r="K324">
        <v>87317</v>
      </c>
      <c r="L324">
        <v>90427</v>
      </c>
      <c r="M324">
        <v>91861</v>
      </c>
      <c r="N324">
        <v>96521</v>
      </c>
      <c r="O324">
        <v>94934</v>
      </c>
      <c r="P324">
        <v>96310</v>
      </c>
      <c r="Q324">
        <v>90354</v>
      </c>
      <c r="R324">
        <v>88106</v>
      </c>
      <c r="S324">
        <v>80399</v>
      </c>
      <c r="T324">
        <v>80583</v>
      </c>
      <c r="U324">
        <v>74936</v>
      </c>
      <c r="V324">
        <v>73710</v>
      </c>
      <c r="W324">
        <v>64205</v>
      </c>
      <c r="X324">
        <v>65755</v>
      </c>
      <c r="Y324">
        <v>69979</v>
      </c>
      <c r="Z324">
        <v>73541</v>
      </c>
      <c r="AA324">
        <v>68359</v>
      </c>
      <c r="AB324">
        <v>68809</v>
      </c>
      <c r="AC324">
        <v>66010</v>
      </c>
      <c r="AD324">
        <v>64059</v>
      </c>
      <c r="AE324">
        <v>59802</v>
      </c>
      <c r="AF324">
        <v>60105</v>
      </c>
      <c r="AG324">
        <v>56972</v>
      </c>
      <c r="AH324">
        <v>57798</v>
      </c>
      <c r="AI324">
        <v>49541</v>
      </c>
      <c r="AJ324">
        <v>49415</v>
      </c>
      <c r="AK324">
        <v>48357</v>
      </c>
      <c r="AL324">
        <v>49080</v>
      </c>
      <c r="AM324">
        <v>23527</v>
      </c>
      <c r="AN324">
        <v>25143</v>
      </c>
      <c r="AO324">
        <v>22658</v>
      </c>
      <c r="AP324">
        <v>81817</v>
      </c>
      <c r="AT324">
        <v>328138</v>
      </c>
      <c r="AX324">
        <v>287933</v>
      </c>
      <c r="BB324">
        <v>311750</v>
      </c>
      <c r="BF324">
        <v>333199</v>
      </c>
      <c r="BJ324">
        <v>330301.89</v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  <c r="BT324" t="str">
        <f>""</f>
        <v/>
      </c>
      <c r="BU324" t="str">
        <f>""</f>
        <v/>
      </c>
      <c r="BV324" t="str">
        <f>""</f>
        <v/>
      </c>
      <c r="BW324" t="str">
        <f>""</f>
        <v/>
      </c>
      <c r="BX324" t="str">
        <f>""</f>
        <v/>
      </c>
      <c r="BY324" t="str">
        <f>""</f>
        <v/>
      </c>
      <c r="BZ324" t="str">
        <f>""</f>
        <v/>
      </c>
      <c r="CA324" t="str">
        <f>""</f>
        <v/>
      </c>
      <c r="CB324" t="str">
        <f>""</f>
        <v/>
      </c>
      <c r="CC324" t="str">
        <f>""</f>
        <v/>
      </c>
      <c r="CD324" t="str">
        <f>""</f>
        <v/>
      </c>
      <c r="CE324" t="str">
        <f>""</f>
        <v/>
      </c>
      <c r="CF324" t="str">
        <f>""</f>
        <v/>
      </c>
      <c r="CG324" t="str">
        <f>""</f>
        <v/>
      </c>
      <c r="CH324" t="str">
        <f>""</f>
        <v/>
      </c>
      <c r="CI324" t="str">
        <f>""</f>
        <v/>
      </c>
      <c r="CJ324" t="str">
        <f>""</f>
        <v/>
      </c>
      <c r="CK324" t="str">
        <f>""</f>
        <v/>
      </c>
      <c r="CL324" t="str">
        <f>""</f>
        <v/>
      </c>
      <c r="CM324" t="str">
        <f>""</f>
        <v/>
      </c>
      <c r="CN324" t="str">
        <f>""</f>
        <v/>
      </c>
      <c r="CO324" t="str">
        <f>""</f>
        <v/>
      </c>
      <c r="CP324" t="str">
        <f>""</f>
        <v/>
      </c>
      <c r="CQ324" t="str">
        <f>""</f>
        <v/>
      </c>
      <c r="CR324" t="str">
        <f>""</f>
        <v/>
      </c>
      <c r="CS324" t="str">
        <f>""</f>
        <v/>
      </c>
      <c r="CT324" t="str">
        <f>""</f>
        <v/>
      </c>
      <c r="CU324" t="str">
        <f>""</f>
        <v/>
      </c>
      <c r="CV324" t="str">
        <f>""</f>
        <v/>
      </c>
      <c r="CW324" t="str">
        <f>""</f>
        <v/>
      </c>
      <c r="CX324" t="str">
        <f>""</f>
        <v/>
      </c>
      <c r="CY324" t="str">
        <f>""</f>
        <v/>
      </c>
      <c r="CZ324" t="str">
        <f>""</f>
        <v/>
      </c>
      <c r="DA324" t="str">
        <f>""</f>
        <v/>
      </c>
      <c r="DB324" t="str">
        <f>""</f>
        <v/>
      </c>
      <c r="DC324" t="str">
        <f>""</f>
        <v/>
      </c>
      <c r="DD324" t="str">
        <f>""</f>
        <v/>
      </c>
      <c r="DE324" t="str">
        <f>""</f>
        <v/>
      </c>
      <c r="DF324" t="str">
        <f>""</f>
        <v/>
      </c>
      <c r="DG324" t="str">
        <f>""</f>
        <v/>
      </c>
      <c r="DH324" t="str">
        <f>""</f>
        <v/>
      </c>
      <c r="DI324" t="str">
        <f>""</f>
        <v/>
      </c>
      <c r="DJ324" t="str">
        <f>""</f>
        <v/>
      </c>
      <c r="DK324" t="str">
        <f>""</f>
        <v/>
      </c>
      <c r="DL324" t="str">
        <f>""</f>
        <v/>
      </c>
      <c r="DM324" t="str">
        <f>""</f>
        <v/>
      </c>
      <c r="DN324" t="str">
        <f>""</f>
        <v/>
      </c>
      <c r="DO324" t="str">
        <f>""</f>
        <v/>
      </c>
      <c r="DP324" t="str">
        <f>""</f>
        <v/>
      </c>
      <c r="DQ324" t="str">
        <f>""</f>
        <v/>
      </c>
      <c r="DR324" t="str">
        <f>""</f>
        <v/>
      </c>
      <c r="DS324" t="str">
        <f>""</f>
        <v/>
      </c>
      <c r="DT324" t="str">
        <f>""</f>
        <v/>
      </c>
      <c r="DU324" t="str">
        <f>""</f>
        <v/>
      </c>
    </row>
    <row r="325" spans="1:125" x14ac:dyDescent="0.25">
      <c r="A325" t="str">
        <f>$A$122</f>
        <v xml:space="preserve">    Barclays PLC</v>
      </c>
      <c r="B325" t="str">
        <f>$B$122</f>
        <v>BARC LN Equity</v>
      </c>
      <c r="C325" t="str">
        <f>$C$122</f>
        <v>BS016</v>
      </c>
      <c r="D325" t="str">
        <f>$D$122</f>
        <v>BS_COMM_LOAN</v>
      </c>
      <c r="E325" t="str">
        <f>$E$122</f>
        <v>Dynamic</v>
      </c>
      <c r="F325">
        <f ca="1">_xll.BDH($B$122,$C$122,$B$206,$B$207,CONCATENATE("Per=",$B$204),"Dts=H","Dir=H",CONCATENATE("Points=",$B$205),"Sort=R","Days=A","Fill=B",CONCATENATE("FX=", $B$203),"cols=60;rows=1")</f>
        <v>146069.11300000001</v>
      </c>
      <c r="G325">
        <v>150923.97579999999</v>
      </c>
      <c r="H325">
        <v>152122.8046</v>
      </c>
      <c r="I325">
        <v>149910.76560000001</v>
      </c>
      <c r="J325">
        <v>126494.8959</v>
      </c>
      <c r="K325">
        <v>151192.6226</v>
      </c>
      <c r="L325">
        <v>143727.60399999999</v>
      </c>
      <c r="M325">
        <v>202854.15729999999</v>
      </c>
      <c r="N325">
        <v>145669.58850000001</v>
      </c>
      <c r="O325">
        <v>214763.52499999999</v>
      </c>
      <c r="P325">
        <v>204192.13219999999</v>
      </c>
      <c r="R325">
        <v>128606.2748</v>
      </c>
      <c r="S325">
        <v>167687.22870000001</v>
      </c>
      <c r="T325">
        <v>166773.9725</v>
      </c>
      <c r="V325">
        <v>113106.21189999999</v>
      </c>
      <c r="W325">
        <v>158230.79240000001</v>
      </c>
      <c r="X325">
        <v>167895.48629999999</v>
      </c>
      <c r="Z325">
        <v>111604.56020000001</v>
      </c>
      <c r="AA325">
        <v>152239.092</v>
      </c>
      <c r="AB325">
        <v>145814.2403</v>
      </c>
      <c r="AD325">
        <v>108306.4972</v>
      </c>
      <c r="AE325">
        <v>140634.39920000001</v>
      </c>
      <c r="AF325">
        <v>135509.39679999999</v>
      </c>
      <c r="AH325">
        <v>165270.2096</v>
      </c>
      <c r="AJ325">
        <v>138376.26149999999</v>
      </c>
      <c r="AL325">
        <v>199610.46840000001</v>
      </c>
      <c r="AN325">
        <v>169486.0287</v>
      </c>
      <c r="AP325">
        <v>222170.7127</v>
      </c>
      <c r="AR325">
        <v>176678.89809999999</v>
      </c>
      <c r="AT325">
        <v>234518.516</v>
      </c>
      <c r="AV325">
        <v>157791.87160000001</v>
      </c>
      <c r="AX325">
        <v>213666.43950000001</v>
      </c>
      <c r="AZ325">
        <v>241333.4944</v>
      </c>
      <c r="BB325">
        <v>209350.35870000001</v>
      </c>
      <c r="BD325">
        <v>244596.31030000001</v>
      </c>
      <c r="BF325">
        <v>216820.8461</v>
      </c>
      <c r="BH325">
        <v>203088.65169999999</v>
      </c>
      <c r="BJ325">
        <v>268666.54759999999</v>
      </c>
      <c r="BL325">
        <v>284403.2071</v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  <c r="BT325" t="str">
        <f>""</f>
        <v/>
      </c>
      <c r="BU325" t="str">
        <f>""</f>
        <v/>
      </c>
      <c r="BV325" t="str">
        <f>""</f>
        <v/>
      </c>
      <c r="BW325" t="str">
        <f>""</f>
        <v/>
      </c>
      <c r="BX325" t="str">
        <f>""</f>
        <v/>
      </c>
      <c r="BY325" t="str">
        <f>""</f>
        <v/>
      </c>
      <c r="BZ325" t="str">
        <f>""</f>
        <v/>
      </c>
      <c r="CA325" t="str">
        <f>""</f>
        <v/>
      </c>
      <c r="CB325" t="str">
        <f>""</f>
        <v/>
      </c>
      <c r="CC325" t="str">
        <f>""</f>
        <v/>
      </c>
      <c r="CD325" t="str">
        <f>""</f>
        <v/>
      </c>
      <c r="CE325" t="str">
        <f>""</f>
        <v/>
      </c>
      <c r="CF325" t="str">
        <f>""</f>
        <v/>
      </c>
      <c r="CG325" t="str">
        <f>""</f>
        <v/>
      </c>
      <c r="CH325" t="str">
        <f>""</f>
        <v/>
      </c>
      <c r="CI325" t="str">
        <f>""</f>
        <v/>
      </c>
      <c r="CJ325" t="str">
        <f>""</f>
        <v/>
      </c>
      <c r="CK325" t="str">
        <f>""</f>
        <v/>
      </c>
      <c r="CL325" t="str">
        <f>""</f>
        <v/>
      </c>
      <c r="CM325" t="str">
        <f>""</f>
        <v/>
      </c>
      <c r="CN325" t="str">
        <f>""</f>
        <v/>
      </c>
      <c r="CO325" t="str">
        <f>""</f>
        <v/>
      </c>
      <c r="CP325" t="str">
        <f>""</f>
        <v/>
      </c>
      <c r="CQ325" t="str">
        <f>""</f>
        <v/>
      </c>
      <c r="CR325" t="str">
        <f>""</f>
        <v/>
      </c>
      <c r="CS325" t="str">
        <f>""</f>
        <v/>
      </c>
      <c r="CT325" t="str">
        <f>""</f>
        <v/>
      </c>
      <c r="CU325" t="str">
        <f>""</f>
        <v/>
      </c>
      <c r="CV325" t="str">
        <f>""</f>
        <v/>
      </c>
      <c r="CW325" t="str">
        <f>""</f>
        <v/>
      </c>
      <c r="CX325" t="str">
        <f>""</f>
        <v/>
      </c>
      <c r="CY325" t="str">
        <f>""</f>
        <v/>
      </c>
      <c r="CZ325" t="str">
        <f>""</f>
        <v/>
      </c>
      <c r="DA325" t="str">
        <f>""</f>
        <v/>
      </c>
      <c r="DB325" t="str">
        <f>""</f>
        <v/>
      </c>
      <c r="DC325" t="str">
        <f>""</f>
        <v/>
      </c>
      <c r="DD325" t="str">
        <f>""</f>
        <v/>
      </c>
      <c r="DE325" t="str">
        <f>""</f>
        <v/>
      </c>
      <c r="DF325" t="str">
        <f>""</f>
        <v/>
      </c>
      <c r="DG325" t="str">
        <f>""</f>
        <v/>
      </c>
      <c r="DH325" t="str">
        <f>""</f>
        <v/>
      </c>
      <c r="DI325" t="str">
        <f>""</f>
        <v/>
      </c>
      <c r="DJ325" t="str">
        <f>""</f>
        <v/>
      </c>
      <c r="DK325" t="str">
        <f>""</f>
        <v/>
      </c>
      <c r="DL325" t="str">
        <f>""</f>
        <v/>
      </c>
      <c r="DM325" t="str">
        <f>""</f>
        <v/>
      </c>
      <c r="DN325" t="str">
        <f>""</f>
        <v/>
      </c>
      <c r="DO325" t="str">
        <f>""</f>
        <v/>
      </c>
      <c r="DP325" t="str">
        <f>""</f>
        <v/>
      </c>
      <c r="DQ325" t="str">
        <f>""</f>
        <v/>
      </c>
      <c r="DR325" t="str">
        <f>""</f>
        <v/>
      </c>
      <c r="DS325" t="str">
        <f>""</f>
        <v/>
      </c>
      <c r="DT325" t="str">
        <f>""</f>
        <v/>
      </c>
      <c r="DU325" t="str">
        <f>""</f>
        <v/>
      </c>
    </row>
    <row r="326" spans="1:125" x14ac:dyDescent="0.25">
      <c r="A326" t="str">
        <f>$A$123</f>
        <v xml:space="preserve">    BAWAG Group AG</v>
      </c>
      <c r="B326" t="str">
        <f>$B$123</f>
        <v>BG AV Equity</v>
      </c>
      <c r="C326" t="str">
        <f>$C$123</f>
        <v>BS016</v>
      </c>
      <c r="D326" t="str">
        <f>$D$123</f>
        <v>BS_COMM_LOAN</v>
      </c>
      <c r="E326" t="str">
        <f>$E$123</f>
        <v>Dynamic</v>
      </c>
      <c r="F326" t="str">
        <f ca="1">_xll.BDH($B$123,$C$123,$B$206,$B$207,CONCATENATE("Per=",$B$204),"Dts=H","Dir=H",CONCATENATE("Points=",$B$205),"Sort=R","Days=A","Fill=B",CONCATENATE("FX=", $B$203) )</f>
        <v/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  <c r="BT326" t="str">
        <f>""</f>
        <v/>
      </c>
      <c r="BU326" t="str">
        <f>""</f>
        <v/>
      </c>
      <c r="BV326" t="str">
        <f>""</f>
        <v/>
      </c>
      <c r="BW326" t="str">
        <f>""</f>
        <v/>
      </c>
      <c r="BX326" t="str">
        <f>""</f>
        <v/>
      </c>
      <c r="BY326" t="str">
        <f>""</f>
        <v/>
      </c>
      <c r="BZ326" t="str">
        <f>""</f>
        <v/>
      </c>
      <c r="CA326" t="str">
        <f>""</f>
        <v/>
      </c>
      <c r="CB326" t="str">
        <f>""</f>
        <v/>
      </c>
      <c r="CC326" t="str">
        <f>""</f>
        <v/>
      </c>
      <c r="CD326" t="str">
        <f>""</f>
        <v/>
      </c>
      <c r="CE326" t="str">
        <f>""</f>
        <v/>
      </c>
      <c r="CF326" t="str">
        <f>""</f>
        <v/>
      </c>
      <c r="CG326" t="str">
        <f>""</f>
        <v/>
      </c>
      <c r="CH326" t="str">
        <f>""</f>
        <v/>
      </c>
      <c r="CI326" t="str">
        <f>""</f>
        <v/>
      </c>
      <c r="CJ326" t="str">
        <f>""</f>
        <v/>
      </c>
      <c r="CK326" t="str">
        <f>""</f>
        <v/>
      </c>
      <c r="CL326" t="str">
        <f>""</f>
        <v/>
      </c>
      <c r="CM326" t="str">
        <f>""</f>
        <v/>
      </c>
      <c r="CN326" t="str">
        <f>""</f>
        <v/>
      </c>
      <c r="CO326" t="str">
        <f>""</f>
        <v/>
      </c>
      <c r="CP326" t="str">
        <f>""</f>
        <v/>
      </c>
      <c r="CQ326" t="str">
        <f>""</f>
        <v/>
      </c>
      <c r="CR326" t="str">
        <f>""</f>
        <v/>
      </c>
      <c r="CS326" t="str">
        <f>""</f>
        <v/>
      </c>
      <c r="CT326" t="str">
        <f>""</f>
        <v/>
      </c>
      <c r="CU326" t="str">
        <f>""</f>
        <v/>
      </c>
      <c r="CV326" t="str">
        <f>""</f>
        <v/>
      </c>
      <c r="CW326" t="str">
        <f>""</f>
        <v/>
      </c>
      <c r="CX326" t="str">
        <f>""</f>
        <v/>
      </c>
      <c r="CY326" t="str">
        <f>""</f>
        <v/>
      </c>
      <c r="CZ326" t="str">
        <f>""</f>
        <v/>
      </c>
      <c r="DA326" t="str">
        <f>""</f>
        <v/>
      </c>
      <c r="DB326" t="str">
        <f>""</f>
        <v/>
      </c>
      <c r="DC326" t="str">
        <f>""</f>
        <v/>
      </c>
      <c r="DD326" t="str">
        <f>""</f>
        <v/>
      </c>
      <c r="DE326" t="str">
        <f>""</f>
        <v/>
      </c>
      <c r="DF326" t="str">
        <f>""</f>
        <v/>
      </c>
      <c r="DG326" t="str">
        <f>""</f>
        <v/>
      </c>
      <c r="DH326" t="str">
        <f>""</f>
        <v/>
      </c>
      <c r="DI326" t="str">
        <f>""</f>
        <v/>
      </c>
      <c r="DJ326" t="str">
        <f>""</f>
        <v/>
      </c>
      <c r="DK326" t="str">
        <f>""</f>
        <v/>
      </c>
      <c r="DL326" t="str">
        <f>""</f>
        <v/>
      </c>
      <c r="DM326" t="str">
        <f>""</f>
        <v/>
      </c>
      <c r="DN326" t="str">
        <f>""</f>
        <v/>
      </c>
      <c r="DO326" t="str">
        <f>""</f>
        <v/>
      </c>
      <c r="DP326" t="str">
        <f>""</f>
        <v/>
      </c>
      <c r="DQ326" t="str">
        <f>""</f>
        <v/>
      </c>
      <c r="DR326" t="str">
        <f>""</f>
        <v/>
      </c>
      <c r="DS326" t="str">
        <f>""</f>
        <v/>
      </c>
      <c r="DT326" t="str">
        <f>""</f>
        <v/>
      </c>
      <c r="DU326" t="str">
        <f>""</f>
        <v/>
      </c>
    </row>
    <row r="327" spans="1:125" x14ac:dyDescent="0.25">
      <c r="A327" t="str">
        <f>$A$124</f>
        <v xml:space="preserve">    BNP Paribas SA</v>
      </c>
      <c r="B327" t="str">
        <f>$B$124</f>
        <v>BNP FP Equity</v>
      </c>
      <c r="C327" t="str">
        <f>$C$124</f>
        <v>BS016</v>
      </c>
      <c r="D327" t="str">
        <f>$D$124</f>
        <v>BS_COMM_LOAN</v>
      </c>
      <c r="E327" t="str">
        <f>$E$124</f>
        <v>Dynamic</v>
      </c>
      <c r="F327" t="str">
        <f ca="1">_xll.BDH($B$124,$C$124,$B$206,$B$207,CONCATENATE("Per=",$B$204),"Dts=H","Dir=H",CONCATENATE("Points=",$B$205),"Sort=R","Days=A","Fill=B",CONCATENATE("FX=", $B$203) )</f>
        <v/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  <c r="BT327" t="str">
        <f>""</f>
        <v/>
      </c>
      <c r="BU327" t="str">
        <f>""</f>
        <v/>
      </c>
      <c r="BV327" t="str">
        <f>""</f>
        <v/>
      </c>
      <c r="BW327" t="str">
        <f>""</f>
        <v/>
      </c>
      <c r="BX327" t="str">
        <f>""</f>
        <v/>
      </c>
      <c r="BY327" t="str">
        <f>""</f>
        <v/>
      </c>
      <c r="BZ327" t="str">
        <f>""</f>
        <v/>
      </c>
      <c r="CA327" t="str">
        <f>""</f>
        <v/>
      </c>
      <c r="CB327" t="str">
        <f>""</f>
        <v/>
      </c>
      <c r="CC327" t="str">
        <f>""</f>
        <v/>
      </c>
      <c r="CD327" t="str">
        <f>""</f>
        <v/>
      </c>
      <c r="CE327" t="str">
        <f>""</f>
        <v/>
      </c>
      <c r="CF327" t="str">
        <f>""</f>
        <v/>
      </c>
      <c r="CG327" t="str">
        <f>""</f>
        <v/>
      </c>
      <c r="CH327" t="str">
        <f>""</f>
        <v/>
      </c>
      <c r="CI327" t="str">
        <f>""</f>
        <v/>
      </c>
      <c r="CJ327" t="str">
        <f>""</f>
        <v/>
      </c>
      <c r="CK327" t="str">
        <f>""</f>
        <v/>
      </c>
      <c r="CL327" t="str">
        <f>""</f>
        <v/>
      </c>
      <c r="CM327" t="str">
        <f>""</f>
        <v/>
      </c>
      <c r="CN327" t="str">
        <f>""</f>
        <v/>
      </c>
      <c r="CO327" t="str">
        <f>""</f>
        <v/>
      </c>
      <c r="CP327" t="str">
        <f>""</f>
        <v/>
      </c>
      <c r="CQ327" t="str">
        <f>""</f>
        <v/>
      </c>
      <c r="CR327" t="str">
        <f>""</f>
        <v/>
      </c>
      <c r="CS327" t="str">
        <f>""</f>
        <v/>
      </c>
      <c r="CT327" t="str">
        <f>""</f>
        <v/>
      </c>
      <c r="CU327" t="str">
        <f>""</f>
        <v/>
      </c>
      <c r="CV327" t="str">
        <f>""</f>
        <v/>
      </c>
      <c r="CW327" t="str">
        <f>""</f>
        <v/>
      </c>
      <c r="CX327" t="str">
        <f>""</f>
        <v/>
      </c>
      <c r="CY327" t="str">
        <f>""</f>
        <v/>
      </c>
      <c r="CZ327" t="str">
        <f>""</f>
        <v/>
      </c>
      <c r="DA327" t="str">
        <f>""</f>
        <v/>
      </c>
      <c r="DB327" t="str">
        <f>""</f>
        <v/>
      </c>
      <c r="DC327" t="str">
        <f>""</f>
        <v/>
      </c>
      <c r="DD327" t="str">
        <f>""</f>
        <v/>
      </c>
      <c r="DE327" t="str">
        <f>""</f>
        <v/>
      </c>
      <c r="DF327" t="str">
        <f>""</f>
        <v/>
      </c>
      <c r="DG327" t="str">
        <f>""</f>
        <v/>
      </c>
      <c r="DH327" t="str">
        <f>""</f>
        <v/>
      </c>
      <c r="DI327" t="str">
        <f>""</f>
        <v/>
      </c>
      <c r="DJ327" t="str">
        <f>""</f>
        <v/>
      </c>
      <c r="DK327" t="str">
        <f>""</f>
        <v/>
      </c>
      <c r="DL327" t="str">
        <f>""</f>
        <v/>
      </c>
      <c r="DM327" t="str">
        <f>""</f>
        <v/>
      </c>
      <c r="DN327" t="str">
        <f>""</f>
        <v/>
      </c>
      <c r="DO327" t="str">
        <f>""</f>
        <v/>
      </c>
      <c r="DP327" t="str">
        <f>""</f>
        <v/>
      </c>
      <c r="DQ327" t="str">
        <f>""</f>
        <v/>
      </c>
      <c r="DR327" t="str">
        <f>""</f>
        <v/>
      </c>
      <c r="DS327" t="str">
        <f>""</f>
        <v/>
      </c>
      <c r="DT327" t="str">
        <f>""</f>
        <v/>
      </c>
      <c r="DU327" t="str">
        <f>""</f>
        <v/>
      </c>
    </row>
    <row r="328" spans="1:125" x14ac:dyDescent="0.25">
      <c r="A328" t="str">
        <f>$A$125</f>
        <v xml:space="preserve">    Banco BPM SpA</v>
      </c>
      <c r="B328" t="str">
        <f>$B$125</f>
        <v>BAMI IM Equity</v>
      </c>
      <c r="C328" t="str">
        <f>$C$125</f>
        <v>BS016</v>
      </c>
      <c r="D328" t="str">
        <f>$D$125</f>
        <v>BS_COMM_LOAN</v>
      </c>
      <c r="E328" t="str">
        <f>$E$125</f>
        <v>Dynamic</v>
      </c>
      <c r="F328" t="str">
        <f ca="1">_xll.BDH($B$125,$C$125,$B$206,$B$207,CONCATENATE("Per=",$B$204),"Dts=H","Dir=H",CONCATENATE("Points=",$B$205),"Sort=R","Days=A","Fill=B",CONCATENATE("FX=", $B$203) )</f>
        <v/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  <c r="BT328" t="str">
        <f>""</f>
        <v/>
      </c>
      <c r="BU328" t="str">
        <f>""</f>
        <v/>
      </c>
      <c r="BV328" t="str">
        <f>""</f>
        <v/>
      </c>
      <c r="BW328" t="str">
        <f>""</f>
        <v/>
      </c>
      <c r="BX328" t="str">
        <f>""</f>
        <v/>
      </c>
      <c r="BY328" t="str">
        <f>""</f>
        <v/>
      </c>
      <c r="BZ328" t="str">
        <f>""</f>
        <v/>
      </c>
      <c r="CA328" t="str">
        <f>""</f>
        <v/>
      </c>
      <c r="CB328" t="str">
        <f>""</f>
        <v/>
      </c>
      <c r="CC328" t="str">
        <f>""</f>
        <v/>
      </c>
      <c r="CD328" t="str">
        <f>""</f>
        <v/>
      </c>
      <c r="CE328" t="str">
        <f>""</f>
        <v/>
      </c>
      <c r="CF328" t="str">
        <f>""</f>
        <v/>
      </c>
      <c r="CG328" t="str">
        <f>""</f>
        <v/>
      </c>
      <c r="CH328" t="str">
        <f>""</f>
        <v/>
      </c>
      <c r="CI328" t="str">
        <f>""</f>
        <v/>
      </c>
      <c r="CJ328" t="str">
        <f>""</f>
        <v/>
      </c>
      <c r="CK328" t="str">
        <f>""</f>
        <v/>
      </c>
      <c r="CL328" t="str">
        <f>""</f>
        <v/>
      </c>
      <c r="CM328" t="str">
        <f>""</f>
        <v/>
      </c>
      <c r="CN328" t="str">
        <f>""</f>
        <v/>
      </c>
      <c r="CO328" t="str">
        <f>""</f>
        <v/>
      </c>
      <c r="CP328" t="str">
        <f>""</f>
        <v/>
      </c>
      <c r="CQ328" t="str">
        <f>""</f>
        <v/>
      </c>
      <c r="CR328" t="str">
        <f>""</f>
        <v/>
      </c>
      <c r="CS328" t="str">
        <f>""</f>
        <v/>
      </c>
      <c r="CT328" t="str">
        <f>""</f>
        <v/>
      </c>
      <c r="CU328" t="str">
        <f>""</f>
        <v/>
      </c>
      <c r="CV328" t="str">
        <f>""</f>
        <v/>
      </c>
      <c r="CW328" t="str">
        <f>""</f>
        <v/>
      </c>
      <c r="CX328" t="str">
        <f>""</f>
        <v/>
      </c>
      <c r="CY328" t="str">
        <f>""</f>
        <v/>
      </c>
      <c r="CZ328" t="str">
        <f>""</f>
        <v/>
      </c>
      <c r="DA328" t="str">
        <f>""</f>
        <v/>
      </c>
      <c r="DB328" t="str">
        <f>""</f>
        <v/>
      </c>
      <c r="DC328" t="str">
        <f>""</f>
        <v/>
      </c>
      <c r="DD328" t="str">
        <f>""</f>
        <v/>
      </c>
      <c r="DE328" t="str">
        <f>""</f>
        <v/>
      </c>
      <c r="DF328" t="str">
        <f>""</f>
        <v/>
      </c>
      <c r="DG328" t="str">
        <f>""</f>
        <v/>
      </c>
      <c r="DH328" t="str">
        <f>""</f>
        <v/>
      </c>
      <c r="DI328" t="str">
        <f>""</f>
        <v/>
      </c>
      <c r="DJ328" t="str">
        <f>""</f>
        <v/>
      </c>
      <c r="DK328" t="str">
        <f>""</f>
        <v/>
      </c>
      <c r="DL328" t="str">
        <f>""</f>
        <v/>
      </c>
      <c r="DM328" t="str">
        <f>""</f>
        <v/>
      </c>
      <c r="DN328" t="str">
        <f>""</f>
        <v/>
      </c>
      <c r="DO328" t="str">
        <f>""</f>
        <v/>
      </c>
      <c r="DP328" t="str">
        <f>""</f>
        <v/>
      </c>
      <c r="DQ328" t="str">
        <f>""</f>
        <v/>
      </c>
      <c r="DR328" t="str">
        <f>""</f>
        <v/>
      </c>
      <c r="DS328" t="str">
        <f>""</f>
        <v/>
      </c>
      <c r="DT328" t="str">
        <f>""</f>
        <v/>
      </c>
      <c r="DU328" t="str">
        <f>""</f>
        <v/>
      </c>
    </row>
    <row r="329" spans="1:125" x14ac:dyDescent="0.25">
      <c r="A329" t="str">
        <f>$A$126</f>
        <v xml:space="preserve">    Banco Bilbao Vizcaya Argentaria SA</v>
      </c>
      <c r="B329" t="str">
        <f>$B$126</f>
        <v>BBVA SM Equity</v>
      </c>
      <c r="C329" t="str">
        <f>$C$126</f>
        <v>BS016</v>
      </c>
      <c r="D329" t="str">
        <f>$D$126</f>
        <v>BS_COMM_LOAN</v>
      </c>
      <c r="E329" t="str">
        <f>$E$126</f>
        <v>Dynamic</v>
      </c>
      <c r="F329" t="str">
        <f ca="1">_xll.BDH($B$126,$C$126,$B$206,$B$207,CONCATENATE("Per=",$B$204),"Dts=H","Dir=H",CONCATENATE("Points=",$B$205),"Sort=R","Days=A","Fill=B",CONCATENATE("FX=", $B$203),"cols=60;rows=1")</f>
        <v/>
      </c>
      <c r="G329">
        <v>191511</v>
      </c>
      <c r="H329">
        <v>192431</v>
      </c>
      <c r="I329">
        <v>188902</v>
      </c>
      <c r="J329">
        <v>148178</v>
      </c>
      <c r="K329">
        <v>182766</v>
      </c>
      <c r="L329">
        <v>177881</v>
      </c>
      <c r="M329">
        <v>177168</v>
      </c>
      <c r="N329">
        <v>144790</v>
      </c>
      <c r="O329">
        <v>180539</v>
      </c>
      <c r="P329">
        <v>169689</v>
      </c>
      <c r="Q329">
        <v>160785</v>
      </c>
      <c r="R329">
        <v>124204</v>
      </c>
      <c r="S329">
        <v>145826</v>
      </c>
      <c r="T329">
        <v>145427</v>
      </c>
      <c r="U329">
        <v>144516</v>
      </c>
      <c r="V329">
        <v>118410</v>
      </c>
      <c r="W329">
        <v>176359</v>
      </c>
      <c r="X329">
        <v>191199</v>
      </c>
      <c r="Y329">
        <v>152154</v>
      </c>
      <c r="Z329">
        <v>146383</v>
      </c>
      <c r="AA329">
        <v>173410</v>
      </c>
      <c r="AB329">
        <v>171053</v>
      </c>
      <c r="AC329">
        <v>175678</v>
      </c>
      <c r="AD329">
        <v>170872</v>
      </c>
      <c r="AE329">
        <v>167771</v>
      </c>
      <c r="AF329">
        <v>171818</v>
      </c>
      <c r="AG329">
        <v>165398</v>
      </c>
      <c r="AH329">
        <v>175168</v>
      </c>
      <c r="AI329">
        <v>184199</v>
      </c>
      <c r="AJ329">
        <v>186203</v>
      </c>
      <c r="AK329">
        <v>189699</v>
      </c>
      <c r="AL329">
        <v>14877</v>
      </c>
      <c r="AM329">
        <v>227481</v>
      </c>
      <c r="AN329">
        <v>231706</v>
      </c>
      <c r="AO329">
        <v>228227</v>
      </c>
      <c r="AP329">
        <v>13434</v>
      </c>
      <c r="AQ329">
        <v>222613</v>
      </c>
      <c r="AR329">
        <v>186036</v>
      </c>
      <c r="AS329">
        <v>191148</v>
      </c>
      <c r="AT329">
        <v>118207</v>
      </c>
      <c r="AU329">
        <v>174800</v>
      </c>
      <c r="AV329">
        <v>161858</v>
      </c>
      <c r="AW329">
        <v>156233</v>
      </c>
      <c r="AX329">
        <v>121316</v>
      </c>
      <c r="AZ329">
        <v>156491</v>
      </c>
      <c r="BA329">
        <v>158640</v>
      </c>
      <c r="BB329">
        <v>134605</v>
      </c>
      <c r="BF329">
        <v>148795</v>
      </c>
      <c r="BJ329">
        <v>150239</v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  <c r="BT329" t="str">
        <f>""</f>
        <v/>
      </c>
      <c r="BU329" t="str">
        <f>""</f>
        <v/>
      </c>
      <c r="BV329" t="str">
        <f>""</f>
        <v/>
      </c>
      <c r="BW329" t="str">
        <f>""</f>
        <v/>
      </c>
      <c r="BX329" t="str">
        <f>""</f>
        <v/>
      </c>
      <c r="BY329" t="str">
        <f>""</f>
        <v/>
      </c>
      <c r="BZ329" t="str">
        <f>""</f>
        <v/>
      </c>
      <c r="CA329" t="str">
        <f>""</f>
        <v/>
      </c>
      <c r="CB329" t="str">
        <f>""</f>
        <v/>
      </c>
      <c r="CC329" t="str">
        <f>""</f>
        <v/>
      </c>
      <c r="CD329" t="str">
        <f>""</f>
        <v/>
      </c>
      <c r="CE329" t="str">
        <f>""</f>
        <v/>
      </c>
      <c r="CF329" t="str">
        <f>""</f>
        <v/>
      </c>
      <c r="CG329" t="str">
        <f>""</f>
        <v/>
      </c>
      <c r="CH329" t="str">
        <f>""</f>
        <v/>
      </c>
      <c r="CI329" t="str">
        <f>""</f>
        <v/>
      </c>
      <c r="CJ329" t="str">
        <f>""</f>
        <v/>
      </c>
      <c r="CK329" t="str">
        <f>""</f>
        <v/>
      </c>
      <c r="CL329" t="str">
        <f>""</f>
        <v/>
      </c>
      <c r="CM329" t="str">
        <f>""</f>
        <v/>
      </c>
      <c r="CN329" t="str">
        <f>""</f>
        <v/>
      </c>
      <c r="CO329" t="str">
        <f>""</f>
        <v/>
      </c>
      <c r="CP329" t="str">
        <f>""</f>
        <v/>
      </c>
      <c r="CQ329" t="str">
        <f>""</f>
        <v/>
      </c>
      <c r="CR329" t="str">
        <f>""</f>
        <v/>
      </c>
      <c r="CS329" t="str">
        <f>""</f>
        <v/>
      </c>
      <c r="CT329" t="str">
        <f>""</f>
        <v/>
      </c>
      <c r="CU329" t="str">
        <f>""</f>
        <v/>
      </c>
      <c r="CV329" t="str">
        <f>""</f>
        <v/>
      </c>
      <c r="CW329" t="str">
        <f>""</f>
        <v/>
      </c>
      <c r="CX329" t="str">
        <f>""</f>
        <v/>
      </c>
      <c r="CY329" t="str">
        <f>""</f>
        <v/>
      </c>
      <c r="CZ329" t="str">
        <f>""</f>
        <v/>
      </c>
      <c r="DA329" t="str">
        <f>""</f>
        <v/>
      </c>
      <c r="DB329" t="str">
        <f>""</f>
        <v/>
      </c>
      <c r="DC329" t="str">
        <f>""</f>
        <v/>
      </c>
      <c r="DD329" t="str">
        <f>""</f>
        <v/>
      </c>
      <c r="DE329" t="str">
        <f>""</f>
        <v/>
      </c>
      <c r="DF329" t="str">
        <f>""</f>
        <v/>
      </c>
      <c r="DG329" t="str">
        <f>""</f>
        <v/>
      </c>
      <c r="DH329" t="str">
        <f>""</f>
        <v/>
      </c>
      <c r="DI329" t="str">
        <f>""</f>
        <v/>
      </c>
      <c r="DJ329" t="str">
        <f>""</f>
        <v/>
      </c>
      <c r="DK329" t="str">
        <f>""</f>
        <v/>
      </c>
      <c r="DL329" t="str">
        <f>""</f>
        <v/>
      </c>
      <c r="DM329" t="str">
        <f>""</f>
        <v/>
      </c>
      <c r="DN329" t="str">
        <f>""</f>
        <v/>
      </c>
      <c r="DO329" t="str">
        <f>""</f>
        <v/>
      </c>
      <c r="DP329" t="str">
        <f>""</f>
        <v/>
      </c>
      <c r="DQ329" t="str">
        <f>""</f>
        <v/>
      </c>
      <c r="DR329" t="str">
        <f>""</f>
        <v/>
      </c>
      <c r="DS329" t="str">
        <f>""</f>
        <v/>
      </c>
      <c r="DT329" t="str">
        <f>""</f>
        <v/>
      </c>
      <c r="DU329" t="str">
        <f>""</f>
        <v/>
      </c>
    </row>
    <row r="330" spans="1:125" x14ac:dyDescent="0.25">
      <c r="A330" t="str">
        <f>$A$127</f>
        <v xml:space="preserve">    Bank of Ireland Group PLC</v>
      </c>
      <c r="B330" t="str">
        <f>$B$127</f>
        <v>BIRG ID Equity</v>
      </c>
      <c r="C330" t="str">
        <f>$C$127</f>
        <v>BS016</v>
      </c>
      <c r="D330" t="str">
        <f>$D$127</f>
        <v>BS_COMM_LOAN</v>
      </c>
      <c r="E330" t="str">
        <f>$E$127</f>
        <v>Dynamic</v>
      </c>
      <c r="F330" t="str">
        <f ca="1">_xll.BDH($B$127,$C$127,$B$206,$B$207,CONCATENATE("Per=",$B$204),"Dts=H","Dir=H",CONCATENATE("Points=",$B$205),"Sort=R","Days=A","Fill=B",CONCATENATE("FX=", $B$203) )</f>
        <v/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  <c r="BT330" t="str">
        <f>""</f>
        <v/>
      </c>
      <c r="BU330" t="str">
        <f>""</f>
        <v/>
      </c>
      <c r="BV330" t="str">
        <f>""</f>
        <v/>
      </c>
      <c r="BW330" t="str">
        <f>""</f>
        <v/>
      </c>
      <c r="BX330" t="str">
        <f>""</f>
        <v/>
      </c>
      <c r="BY330" t="str">
        <f>""</f>
        <v/>
      </c>
      <c r="BZ330" t="str">
        <f>""</f>
        <v/>
      </c>
      <c r="CA330" t="str">
        <f>""</f>
        <v/>
      </c>
      <c r="CB330" t="str">
        <f>""</f>
        <v/>
      </c>
      <c r="CC330" t="str">
        <f>""</f>
        <v/>
      </c>
      <c r="CD330" t="str">
        <f>""</f>
        <v/>
      </c>
      <c r="CE330" t="str">
        <f>""</f>
        <v/>
      </c>
      <c r="CF330" t="str">
        <f>""</f>
        <v/>
      </c>
      <c r="CG330" t="str">
        <f>""</f>
        <v/>
      </c>
      <c r="CH330" t="str">
        <f>""</f>
        <v/>
      </c>
      <c r="CI330" t="str">
        <f>""</f>
        <v/>
      </c>
      <c r="CJ330" t="str">
        <f>""</f>
        <v/>
      </c>
      <c r="CK330" t="str">
        <f>""</f>
        <v/>
      </c>
      <c r="CL330" t="str">
        <f>""</f>
        <v/>
      </c>
      <c r="CM330" t="str">
        <f>""</f>
        <v/>
      </c>
      <c r="CN330" t="str">
        <f>""</f>
        <v/>
      </c>
      <c r="CO330" t="str">
        <f>""</f>
        <v/>
      </c>
      <c r="CP330" t="str">
        <f>""</f>
        <v/>
      </c>
      <c r="CQ330" t="str">
        <f>""</f>
        <v/>
      </c>
      <c r="CR330" t="str">
        <f>""</f>
        <v/>
      </c>
      <c r="CS330" t="str">
        <f>""</f>
        <v/>
      </c>
      <c r="CT330" t="str">
        <f>""</f>
        <v/>
      </c>
      <c r="CU330" t="str">
        <f>""</f>
        <v/>
      </c>
      <c r="CV330" t="str">
        <f>""</f>
        <v/>
      </c>
      <c r="CW330" t="str">
        <f>""</f>
        <v/>
      </c>
      <c r="CX330" t="str">
        <f>""</f>
        <v/>
      </c>
      <c r="CY330" t="str">
        <f>""</f>
        <v/>
      </c>
      <c r="CZ330" t="str">
        <f>""</f>
        <v/>
      </c>
      <c r="DA330" t="str">
        <f>""</f>
        <v/>
      </c>
      <c r="DB330" t="str">
        <f>""</f>
        <v/>
      </c>
      <c r="DC330" t="str">
        <f>""</f>
        <v/>
      </c>
      <c r="DD330" t="str">
        <f>""</f>
        <v/>
      </c>
      <c r="DE330" t="str">
        <f>""</f>
        <v/>
      </c>
      <c r="DF330" t="str">
        <f>""</f>
        <v/>
      </c>
      <c r="DG330" t="str">
        <f>""</f>
        <v/>
      </c>
      <c r="DH330" t="str">
        <f>""</f>
        <v/>
      </c>
      <c r="DI330" t="str">
        <f>""</f>
        <v/>
      </c>
      <c r="DJ330" t="str">
        <f>""</f>
        <v/>
      </c>
      <c r="DK330" t="str">
        <f>""</f>
        <v/>
      </c>
      <c r="DL330" t="str">
        <f>""</f>
        <v/>
      </c>
      <c r="DM330" t="str">
        <f>""</f>
        <v/>
      </c>
      <c r="DN330" t="str">
        <f>""</f>
        <v/>
      </c>
      <c r="DO330" t="str">
        <f>""</f>
        <v/>
      </c>
      <c r="DP330" t="str">
        <f>""</f>
        <v/>
      </c>
      <c r="DQ330" t="str">
        <f>""</f>
        <v/>
      </c>
      <c r="DR330" t="str">
        <f>""</f>
        <v/>
      </c>
      <c r="DS330" t="str">
        <f>""</f>
        <v/>
      </c>
      <c r="DT330" t="str">
        <f>""</f>
        <v/>
      </c>
      <c r="DU330" t="str">
        <f>""</f>
        <v/>
      </c>
    </row>
    <row r="331" spans="1:125" x14ac:dyDescent="0.25">
      <c r="A331" t="str">
        <f>$A$128</f>
        <v xml:space="preserve">    Bankinter SA</v>
      </c>
      <c r="B331" t="str">
        <f>$B$128</f>
        <v>BKT SM Equity</v>
      </c>
      <c r="C331" t="str">
        <f>$C$128</f>
        <v>BS016</v>
      </c>
      <c r="D331" t="str">
        <f>$D$128</f>
        <v>BS_COMM_LOAN</v>
      </c>
      <c r="E331" t="str">
        <f>$E$128</f>
        <v>Dynamic</v>
      </c>
      <c r="F331">
        <f ca="1">_xll.BDH($B$128,$C$128,$B$206,$B$207,CONCATENATE("Per=",$B$204),"Dts=H","Dir=H",CONCATENATE("Points=",$B$205),"Sort=R","Days=A","Fill=B",CONCATENATE("FX=", $B$203),"cols=60;rows=1")</f>
        <v>3589.136</v>
      </c>
      <c r="G331">
        <v>3228.1770000000001</v>
      </c>
      <c r="H331">
        <v>3530.0839999999998</v>
      </c>
      <c r="I331">
        <v>3169.576</v>
      </c>
      <c r="J331">
        <v>3434.8649999999998</v>
      </c>
      <c r="K331">
        <v>3115.5439999999999</v>
      </c>
      <c r="L331">
        <v>3358.3449999999998</v>
      </c>
      <c r="M331">
        <v>3138.4430000000002</v>
      </c>
      <c r="N331">
        <v>3757.3159999999998</v>
      </c>
      <c r="O331">
        <v>3118.24</v>
      </c>
      <c r="P331">
        <v>3440.7820000000002</v>
      </c>
      <c r="Q331">
        <v>2961.9690000000001</v>
      </c>
      <c r="R331">
        <v>3004.6770000000001</v>
      </c>
      <c r="S331">
        <v>2461.6689999999999</v>
      </c>
      <c r="T331">
        <v>2654.8139999999999</v>
      </c>
      <c r="U331">
        <v>2285.9279999999999</v>
      </c>
      <c r="V331">
        <v>2540.2449999999999</v>
      </c>
      <c r="W331">
        <v>2203.1999999999998</v>
      </c>
      <c r="X331">
        <v>2231.502</v>
      </c>
      <c r="Y331">
        <v>2772.3629999999998</v>
      </c>
      <c r="Z331">
        <v>3071.06</v>
      </c>
      <c r="AA331">
        <v>2608.951</v>
      </c>
      <c r="AB331">
        <v>2982.4580000000001</v>
      </c>
      <c r="AC331">
        <v>2557.4690000000001</v>
      </c>
      <c r="AD331">
        <v>2634.3539999999998</v>
      </c>
      <c r="AE331">
        <v>2168.2220000000002</v>
      </c>
      <c r="AF331">
        <v>2300</v>
      </c>
      <c r="AG331">
        <v>2081.14</v>
      </c>
      <c r="AH331">
        <v>2370.75</v>
      </c>
      <c r="AI331">
        <v>1992.4280000000001</v>
      </c>
      <c r="AJ331">
        <v>2053.7109999999998</v>
      </c>
      <c r="AK331">
        <v>1765.3209999999999</v>
      </c>
      <c r="AL331">
        <v>1963.758</v>
      </c>
      <c r="AM331">
        <v>1557.453</v>
      </c>
      <c r="AN331">
        <v>1691.3330000000001</v>
      </c>
      <c r="AO331">
        <v>1542.653</v>
      </c>
      <c r="AP331">
        <v>1793.057</v>
      </c>
      <c r="AQ331">
        <v>1674.95</v>
      </c>
      <c r="AR331">
        <v>3147.799</v>
      </c>
      <c r="AS331">
        <v>3068.48</v>
      </c>
      <c r="AT331">
        <v>2016.9970000000001</v>
      </c>
      <c r="AU331">
        <v>1912.75</v>
      </c>
      <c r="AV331">
        <v>3431.5830000000001</v>
      </c>
      <c r="AW331">
        <v>2985.6219999999998</v>
      </c>
      <c r="AX331">
        <v>2052.5990000000002</v>
      </c>
      <c r="AY331">
        <v>1855.229</v>
      </c>
      <c r="AZ331">
        <v>2030.492</v>
      </c>
      <c r="BA331">
        <v>2068.4969999999998</v>
      </c>
      <c r="BB331">
        <v>2177.5839999999998</v>
      </c>
      <c r="BC331">
        <v>1965.9159999999999</v>
      </c>
      <c r="BD331">
        <v>2875.8710000000001</v>
      </c>
      <c r="BE331">
        <v>2635.39</v>
      </c>
      <c r="BF331">
        <v>31537.585999999999</v>
      </c>
      <c r="BG331">
        <v>2622.7939999999999</v>
      </c>
      <c r="BH331">
        <v>2643.1819999999998</v>
      </c>
      <c r="BI331">
        <v>2598.4879999999998</v>
      </c>
      <c r="BJ331">
        <v>1930.5820000000001</v>
      </c>
      <c r="BK331">
        <v>2565.3490000000002</v>
      </c>
      <c r="BL331">
        <v>2591.1640000000002</v>
      </c>
      <c r="BM331">
        <v>1976.432</v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  <c r="BT331" t="str">
        <f>""</f>
        <v/>
      </c>
      <c r="BU331" t="str">
        <f>""</f>
        <v/>
      </c>
      <c r="BV331" t="str">
        <f>""</f>
        <v/>
      </c>
      <c r="BW331" t="str">
        <f>""</f>
        <v/>
      </c>
      <c r="BX331" t="str">
        <f>""</f>
        <v/>
      </c>
      <c r="BY331" t="str">
        <f>""</f>
        <v/>
      </c>
      <c r="BZ331" t="str">
        <f>""</f>
        <v/>
      </c>
      <c r="CA331" t="str">
        <f>""</f>
        <v/>
      </c>
      <c r="CB331" t="str">
        <f>""</f>
        <v/>
      </c>
      <c r="CC331" t="str">
        <f>""</f>
        <v/>
      </c>
      <c r="CD331" t="str">
        <f>""</f>
        <v/>
      </c>
      <c r="CE331" t="str">
        <f>""</f>
        <v/>
      </c>
      <c r="CF331" t="str">
        <f>""</f>
        <v/>
      </c>
      <c r="CG331" t="str">
        <f>""</f>
        <v/>
      </c>
      <c r="CH331" t="str">
        <f>""</f>
        <v/>
      </c>
      <c r="CI331" t="str">
        <f>""</f>
        <v/>
      </c>
      <c r="CJ331" t="str">
        <f>""</f>
        <v/>
      </c>
      <c r="CK331" t="str">
        <f>""</f>
        <v/>
      </c>
      <c r="CL331" t="str">
        <f>""</f>
        <v/>
      </c>
      <c r="CM331" t="str">
        <f>""</f>
        <v/>
      </c>
      <c r="CN331" t="str">
        <f>""</f>
        <v/>
      </c>
      <c r="CO331" t="str">
        <f>""</f>
        <v/>
      </c>
      <c r="CP331" t="str">
        <f>""</f>
        <v/>
      </c>
      <c r="CQ331" t="str">
        <f>""</f>
        <v/>
      </c>
      <c r="CR331" t="str">
        <f>""</f>
        <v/>
      </c>
      <c r="CS331" t="str">
        <f>""</f>
        <v/>
      </c>
      <c r="CT331" t="str">
        <f>""</f>
        <v/>
      </c>
      <c r="CU331" t="str">
        <f>""</f>
        <v/>
      </c>
      <c r="CV331" t="str">
        <f>""</f>
        <v/>
      </c>
      <c r="CW331" t="str">
        <f>""</f>
        <v/>
      </c>
      <c r="CX331" t="str">
        <f>""</f>
        <v/>
      </c>
      <c r="CY331" t="str">
        <f>""</f>
        <v/>
      </c>
      <c r="CZ331" t="str">
        <f>""</f>
        <v/>
      </c>
      <c r="DA331" t="str">
        <f>""</f>
        <v/>
      </c>
      <c r="DB331" t="str">
        <f>""</f>
        <v/>
      </c>
      <c r="DC331" t="str">
        <f>""</f>
        <v/>
      </c>
      <c r="DD331" t="str">
        <f>""</f>
        <v/>
      </c>
      <c r="DE331" t="str">
        <f>""</f>
        <v/>
      </c>
      <c r="DF331" t="str">
        <f>""</f>
        <v/>
      </c>
      <c r="DG331" t="str">
        <f>""</f>
        <v/>
      </c>
      <c r="DH331" t="str">
        <f>""</f>
        <v/>
      </c>
      <c r="DI331" t="str">
        <f>""</f>
        <v/>
      </c>
      <c r="DJ331" t="str">
        <f>""</f>
        <v/>
      </c>
      <c r="DK331" t="str">
        <f>""</f>
        <v/>
      </c>
      <c r="DL331" t="str">
        <f>""</f>
        <v/>
      </c>
      <c r="DM331" t="str">
        <f>""</f>
        <v/>
      </c>
      <c r="DN331" t="str">
        <f>""</f>
        <v/>
      </c>
      <c r="DO331" t="str">
        <f>""</f>
        <v/>
      </c>
      <c r="DP331" t="str">
        <f>""</f>
        <v/>
      </c>
      <c r="DQ331" t="str">
        <f>""</f>
        <v/>
      </c>
      <c r="DR331" t="str">
        <f>""</f>
        <v/>
      </c>
      <c r="DS331" t="str">
        <f>""</f>
        <v/>
      </c>
      <c r="DT331" t="str">
        <f>""</f>
        <v/>
      </c>
      <c r="DU331" t="str">
        <f>""</f>
        <v/>
      </c>
    </row>
    <row r="332" spans="1:125" x14ac:dyDescent="0.25">
      <c r="A332" t="str">
        <f>$A$129</f>
        <v xml:space="preserve">    CaixaBank SA</v>
      </c>
      <c r="B332" t="str">
        <f>$B$129</f>
        <v>CABK SM Equity</v>
      </c>
      <c r="C332" t="str">
        <f>$C$129</f>
        <v>BS016</v>
      </c>
      <c r="D332" t="str">
        <f>$D$129</f>
        <v>BS_COMM_LOAN</v>
      </c>
      <c r="E332" t="str">
        <f>$E$129</f>
        <v>Dynamic</v>
      </c>
      <c r="F332">
        <f ca="1">_xll.BDH($B$129,$C$129,$B$206,$B$207,CONCATENATE("Per=",$B$204),"Dts=H","Dir=H",CONCATENATE("Points=",$B$205),"Sort=R","Days=A","Fill=B",CONCATENATE("FX=", $B$203),"cols=60;rows=1")</f>
        <v>167513</v>
      </c>
      <c r="G332">
        <v>162377</v>
      </c>
      <c r="H332">
        <v>163763</v>
      </c>
      <c r="I332">
        <v>161779</v>
      </c>
      <c r="J332">
        <v>160018</v>
      </c>
      <c r="K332">
        <v>159370</v>
      </c>
      <c r="L332">
        <v>160971</v>
      </c>
      <c r="M332">
        <v>159538</v>
      </c>
      <c r="N332">
        <v>156693</v>
      </c>
      <c r="O332">
        <v>157129</v>
      </c>
      <c r="P332">
        <v>154513</v>
      </c>
      <c r="Q332">
        <v>148575</v>
      </c>
      <c r="R332">
        <v>147419</v>
      </c>
      <c r="S332">
        <v>144642</v>
      </c>
      <c r="T332">
        <v>146336</v>
      </c>
      <c r="U332">
        <v>149359</v>
      </c>
      <c r="V332">
        <v>106425</v>
      </c>
      <c r="W332">
        <v>107351</v>
      </c>
      <c r="X332">
        <v>105870</v>
      </c>
      <c r="Y332">
        <v>94119</v>
      </c>
      <c r="Z332">
        <v>91308</v>
      </c>
      <c r="AA332">
        <v>89749</v>
      </c>
      <c r="AB332">
        <v>89074</v>
      </c>
      <c r="AC332">
        <v>87248</v>
      </c>
      <c r="AD332">
        <v>85817</v>
      </c>
      <c r="AE332">
        <v>83872</v>
      </c>
      <c r="AF332">
        <v>83022</v>
      </c>
      <c r="AG332">
        <v>82296</v>
      </c>
      <c r="AH332">
        <v>83463</v>
      </c>
      <c r="AI332">
        <v>83034</v>
      </c>
      <c r="AJ332">
        <v>83424</v>
      </c>
      <c r="AK332">
        <v>83324</v>
      </c>
      <c r="AL332">
        <v>72837</v>
      </c>
      <c r="AM332">
        <v>71824</v>
      </c>
      <c r="AN332">
        <v>71235</v>
      </c>
      <c r="AO332">
        <v>69969</v>
      </c>
      <c r="AP332">
        <v>69681</v>
      </c>
      <c r="AQ332">
        <v>70092</v>
      </c>
      <c r="AR332">
        <v>70607</v>
      </c>
      <c r="AS332">
        <v>72843</v>
      </c>
      <c r="AT332">
        <v>70862</v>
      </c>
      <c r="AU332">
        <v>68318</v>
      </c>
      <c r="AV332">
        <v>71506</v>
      </c>
      <c r="AW332">
        <v>74938</v>
      </c>
      <c r="AX332">
        <v>78647</v>
      </c>
      <c r="AY332">
        <v>83287</v>
      </c>
      <c r="AZ332">
        <v>85910</v>
      </c>
      <c r="BA332">
        <v>90225</v>
      </c>
      <c r="BB332">
        <v>88975</v>
      </c>
      <c r="BC332">
        <v>94171</v>
      </c>
      <c r="BD332">
        <v>78134</v>
      </c>
      <c r="BE332">
        <v>76693</v>
      </c>
      <c r="BF332">
        <v>77919</v>
      </c>
      <c r="BG332">
        <v>78407</v>
      </c>
      <c r="BH332">
        <v>80808</v>
      </c>
      <c r="BI332">
        <v>25592</v>
      </c>
      <c r="BJ332">
        <v>81124</v>
      </c>
      <c r="BK332">
        <v>78022</v>
      </c>
      <c r="BL332">
        <v>78699</v>
      </c>
      <c r="BM332">
        <v>27071</v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  <c r="BT332" t="str">
        <f>""</f>
        <v/>
      </c>
      <c r="BU332" t="str">
        <f>""</f>
        <v/>
      </c>
      <c r="BV332" t="str">
        <f>""</f>
        <v/>
      </c>
      <c r="BW332" t="str">
        <f>""</f>
        <v/>
      </c>
      <c r="BX332" t="str">
        <f>""</f>
        <v/>
      </c>
      <c r="BY332" t="str">
        <f>""</f>
        <v/>
      </c>
      <c r="BZ332" t="str">
        <f>""</f>
        <v/>
      </c>
      <c r="CA332" t="str">
        <f>""</f>
        <v/>
      </c>
      <c r="CB332" t="str">
        <f>""</f>
        <v/>
      </c>
      <c r="CC332" t="str">
        <f>""</f>
        <v/>
      </c>
      <c r="CD332" t="str">
        <f>""</f>
        <v/>
      </c>
      <c r="CE332" t="str">
        <f>""</f>
        <v/>
      </c>
      <c r="CF332" t="str">
        <f>""</f>
        <v/>
      </c>
      <c r="CG332" t="str">
        <f>""</f>
        <v/>
      </c>
      <c r="CH332" t="str">
        <f>""</f>
        <v/>
      </c>
      <c r="CI332" t="str">
        <f>""</f>
        <v/>
      </c>
      <c r="CJ332" t="str">
        <f>""</f>
        <v/>
      </c>
      <c r="CK332" t="str">
        <f>""</f>
        <v/>
      </c>
      <c r="CL332" t="str">
        <f>""</f>
        <v/>
      </c>
      <c r="CM332" t="str">
        <f>""</f>
        <v/>
      </c>
      <c r="CN332" t="str">
        <f>""</f>
        <v/>
      </c>
      <c r="CO332" t="str">
        <f>""</f>
        <v/>
      </c>
      <c r="CP332" t="str">
        <f>""</f>
        <v/>
      </c>
      <c r="CQ332" t="str">
        <f>""</f>
        <v/>
      </c>
      <c r="CR332" t="str">
        <f>""</f>
        <v/>
      </c>
      <c r="CS332" t="str">
        <f>""</f>
        <v/>
      </c>
      <c r="CT332" t="str">
        <f>""</f>
        <v/>
      </c>
      <c r="CU332" t="str">
        <f>""</f>
        <v/>
      </c>
      <c r="CV332" t="str">
        <f>""</f>
        <v/>
      </c>
      <c r="CW332" t="str">
        <f>""</f>
        <v/>
      </c>
      <c r="CX332" t="str">
        <f>""</f>
        <v/>
      </c>
      <c r="CY332" t="str">
        <f>""</f>
        <v/>
      </c>
      <c r="CZ332" t="str">
        <f>""</f>
        <v/>
      </c>
      <c r="DA332" t="str">
        <f>""</f>
        <v/>
      </c>
      <c r="DB332" t="str">
        <f>""</f>
        <v/>
      </c>
      <c r="DC332" t="str">
        <f>""</f>
        <v/>
      </c>
      <c r="DD332" t="str">
        <f>""</f>
        <v/>
      </c>
      <c r="DE332" t="str">
        <f>""</f>
        <v/>
      </c>
      <c r="DF332" t="str">
        <f>""</f>
        <v/>
      </c>
      <c r="DG332" t="str">
        <f>""</f>
        <v/>
      </c>
      <c r="DH332" t="str">
        <f>""</f>
        <v/>
      </c>
      <c r="DI332" t="str">
        <f>""</f>
        <v/>
      </c>
      <c r="DJ332" t="str">
        <f>""</f>
        <v/>
      </c>
      <c r="DK332" t="str">
        <f>""</f>
        <v/>
      </c>
      <c r="DL332" t="str">
        <f>""</f>
        <v/>
      </c>
      <c r="DM332" t="str">
        <f>""</f>
        <v/>
      </c>
      <c r="DN332" t="str">
        <f>""</f>
        <v/>
      </c>
      <c r="DO332" t="str">
        <f>""</f>
        <v/>
      </c>
      <c r="DP332" t="str">
        <f>""</f>
        <v/>
      </c>
      <c r="DQ332" t="str">
        <f>""</f>
        <v/>
      </c>
      <c r="DR332" t="str">
        <f>""</f>
        <v/>
      </c>
      <c r="DS332" t="str">
        <f>""</f>
        <v/>
      </c>
      <c r="DT332" t="str">
        <f>""</f>
        <v/>
      </c>
      <c r="DU332" t="str">
        <f>""</f>
        <v/>
      </c>
    </row>
    <row r="333" spans="1:125" x14ac:dyDescent="0.25">
      <c r="A333" t="str">
        <f>$A$130</f>
        <v xml:space="preserve">    Commerzbank AG</v>
      </c>
      <c r="B333" t="str">
        <f>$B$130</f>
        <v>CBK GR Equity</v>
      </c>
      <c r="C333" t="str">
        <f>$C$130</f>
        <v>BS016</v>
      </c>
      <c r="D333" t="str">
        <f>$D$130</f>
        <v>BS_COMM_LOAN</v>
      </c>
      <c r="E333" t="str">
        <f>$E$130</f>
        <v>Dynamic</v>
      </c>
      <c r="F333" t="str">
        <f ca="1">_xll.BDH($B$130,$C$130,$B$206,$B$207,CONCATENATE("Per=",$B$204),"Dts=H","Dir=H",CONCATENATE("Points=",$B$205),"Sort=R","Days=A","Fill=B",CONCATENATE("FX=", $B$203),"cols=60;rows=1")</f>
        <v/>
      </c>
      <c r="J333">
        <v>92508</v>
      </c>
      <c r="N333">
        <v>94269</v>
      </c>
      <c r="R333">
        <v>92597</v>
      </c>
      <c r="T333">
        <v>89749</v>
      </c>
      <c r="V333">
        <v>88195</v>
      </c>
      <c r="W333">
        <v>131876</v>
      </c>
      <c r="X333">
        <v>102592</v>
      </c>
      <c r="Y333">
        <v>119217</v>
      </c>
      <c r="Z333">
        <v>97431</v>
      </c>
      <c r="AA333">
        <v>137837</v>
      </c>
      <c r="AB333">
        <v>101335</v>
      </c>
      <c r="AC333">
        <v>97305</v>
      </c>
      <c r="AD333">
        <v>92090</v>
      </c>
      <c r="AE333">
        <v>92540</v>
      </c>
      <c r="AF333">
        <v>91307</v>
      </c>
      <c r="AG333">
        <v>88539</v>
      </c>
      <c r="AH333">
        <v>90468</v>
      </c>
      <c r="AL333">
        <v>97590</v>
      </c>
      <c r="AP333">
        <v>61369</v>
      </c>
      <c r="AT333">
        <v>67235</v>
      </c>
      <c r="AX333">
        <v>70217</v>
      </c>
      <c r="BB333">
        <v>87532</v>
      </c>
      <c r="BF333">
        <v>201935</v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  <c r="BT333" t="str">
        <f>""</f>
        <v/>
      </c>
      <c r="BU333" t="str">
        <f>""</f>
        <v/>
      </c>
      <c r="BV333" t="str">
        <f>""</f>
        <v/>
      </c>
      <c r="BW333" t="str">
        <f>""</f>
        <v/>
      </c>
      <c r="BX333" t="str">
        <f>""</f>
        <v/>
      </c>
      <c r="BY333" t="str">
        <f>""</f>
        <v/>
      </c>
      <c r="BZ333" t="str">
        <f>""</f>
        <v/>
      </c>
      <c r="CA333" t="str">
        <f>""</f>
        <v/>
      </c>
      <c r="CB333" t="str">
        <f>""</f>
        <v/>
      </c>
      <c r="CC333" t="str">
        <f>""</f>
        <v/>
      </c>
      <c r="CD333" t="str">
        <f>""</f>
        <v/>
      </c>
      <c r="CE333" t="str">
        <f>""</f>
        <v/>
      </c>
      <c r="CF333" t="str">
        <f>""</f>
        <v/>
      </c>
      <c r="CG333" t="str">
        <f>""</f>
        <v/>
      </c>
      <c r="CH333" t="str">
        <f>""</f>
        <v/>
      </c>
      <c r="CI333" t="str">
        <f>""</f>
        <v/>
      </c>
      <c r="CJ333" t="str">
        <f>""</f>
        <v/>
      </c>
      <c r="CK333" t="str">
        <f>""</f>
        <v/>
      </c>
      <c r="CL333" t="str">
        <f>""</f>
        <v/>
      </c>
      <c r="CM333" t="str">
        <f>""</f>
        <v/>
      </c>
      <c r="CN333" t="str">
        <f>""</f>
        <v/>
      </c>
      <c r="CO333" t="str">
        <f>""</f>
        <v/>
      </c>
      <c r="CP333" t="str">
        <f>""</f>
        <v/>
      </c>
      <c r="CQ333" t="str">
        <f>""</f>
        <v/>
      </c>
      <c r="CR333" t="str">
        <f>""</f>
        <v/>
      </c>
      <c r="CS333" t="str">
        <f>""</f>
        <v/>
      </c>
      <c r="CT333" t="str">
        <f>""</f>
        <v/>
      </c>
      <c r="CU333" t="str">
        <f>""</f>
        <v/>
      </c>
      <c r="CV333" t="str">
        <f>""</f>
        <v/>
      </c>
      <c r="CW333" t="str">
        <f>""</f>
        <v/>
      </c>
      <c r="CX333" t="str">
        <f>""</f>
        <v/>
      </c>
      <c r="CY333" t="str">
        <f>""</f>
        <v/>
      </c>
      <c r="CZ333" t="str">
        <f>""</f>
        <v/>
      </c>
      <c r="DA333" t="str">
        <f>""</f>
        <v/>
      </c>
      <c r="DB333" t="str">
        <f>""</f>
        <v/>
      </c>
      <c r="DC333" t="str">
        <f>""</f>
        <v/>
      </c>
      <c r="DD333" t="str">
        <f>""</f>
        <v/>
      </c>
      <c r="DE333" t="str">
        <f>""</f>
        <v/>
      </c>
      <c r="DF333" t="str">
        <f>""</f>
        <v/>
      </c>
      <c r="DG333" t="str">
        <f>""</f>
        <v/>
      </c>
      <c r="DH333" t="str">
        <f>""</f>
        <v/>
      </c>
      <c r="DI333" t="str">
        <f>""</f>
        <v/>
      </c>
      <c r="DJ333" t="str">
        <f>""</f>
        <v/>
      </c>
      <c r="DK333" t="str">
        <f>""</f>
        <v/>
      </c>
      <c r="DL333" t="str">
        <f>""</f>
        <v/>
      </c>
      <c r="DM333" t="str">
        <f>""</f>
        <v/>
      </c>
      <c r="DN333" t="str">
        <f>""</f>
        <v/>
      </c>
      <c r="DO333" t="str">
        <f>""</f>
        <v/>
      </c>
      <c r="DP333" t="str">
        <f>""</f>
        <v/>
      </c>
      <c r="DQ333" t="str">
        <f>""</f>
        <v/>
      </c>
      <c r="DR333" t="str">
        <f>""</f>
        <v/>
      </c>
      <c r="DS333" t="str">
        <f>""</f>
        <v/>
      </c>
      <c r="DT333" t="str">
        <f>""</f>
        <v/>
      </c>
      <c r="DU333" t="str">
        <f>""</f>
        <v/>
      </c>
    </row>
    <row r="334" spans="1:125" x14ac:dyDescent="0.25">
      <c r="A334" t="str">
        <f>$A$131</f>
        <v xml:space="preserve">    Credit Agricole SA</v>
      </c>
      <c r="B334" t="str">
        <f>$B$131</f>
        <v>ACA FP Equity</v>
      </c>
      <c r="C334" t="str">
        <f>$C$131</f>
        <v>BS016</v>
      </c>
      <c r="D334" t="str">
        <f>$D$131</f>
        <v>BS_COMM_LOAN</v>
      </c>
      <c r="E334" t="str">
        <f>$E$131</f>
        <v>Dynamic</v>
      </c>
      <c r="F334" t="str">
        <f ca="1">_xll.BDH($B$131,$C$131,$B$206,$B$207,CONCATENATE("Per=",$B$204),"Dts=H","Dir=H",CONCATENATE("Points=",$B$205),"Sort=R","Days=A","Fill=B",CONCATENATE("FX=", $B$203) )</f>
        <v/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  <c r="BT334" t="str">
        <f>""</f>
        <v/>
      </c>
      <c r="BU334" t="str">
        <f>""</f>
        <v/>
      </c>
      <c r="BV334" t="str">
        <f>""</f>
        <v/>
      </c>
      <c r="BW334" t="str">
        <f>""</f>
        <v/>
      </c>
      <c r="BX334" t="str">
        <f>""</f>
        <v/>
      </c>
      <c r="BY334" t="str">
        <f>""</f>
        <v/>
      </c>
      <c r="BZ334" t="str">
        <f>""</f>
        <v/>
      </c>
      <c r="CA334" t="str">
        <f>""</f>
        <v/>
      </c>
      <c r="CB334" t="str">
        <f>""</f>
        <v/>
      </c>
      <c r="CC334" t="str">
        <f>""</f>
        <v/>
      </c>
      <c r="CD334" t="str">
        <f>""</f>
        <v/>
      </c>
      <c r="CE334" t="str">
        <f>""</f>
        <v/>
      </c>
      <c r="CF334" t="str">
        <f>""</f>
        <v/>
      </c>
      <c r="CG334" t="str">
        <f>""</f>
        <v/>
      </c>
      <c r="CH334" t="str">
        <f>""</f>
        <v/>
      </c>
      <c r="CI334" t="str">
        <f>""</f>
        <v/>
      </c>
      <c r="CJ334" t="str">
        <f>""</f>
        <v/>
      </c>
      <c r="CK334" t="str">
        <f>""</f>
        <v/>
      </c>
      <c r="CL334" t="str">
        <f>""</f>
        <v/>
      </c>
      <c r="CM334" t="str">
        <f>""</f>
        <v/>
      </c>
      <c r="CN334" t="str">
        <f>""</f>
        <v/>
      </c>
      <c r="CO334" t="str">
        <f>""</f>
        <v/>
      </c>
      <c r="CP334" t="str">
        <f>""</f>
        <v/>
      </c>
      <c r="CQ334" t="str">
        <f>""</f>
        <v/>
      </c>
      <c r="CR334" t="str">
        <f>""</f>
        <v/>
      </c>
      <c r="CS334" t="str">
        <f>""</f>
        <v/>
      </c>
      <c r="CT334" t="str">
        <f>""</f>
        <v/>
      </c>
      <c r="CU334" t="str">
        <f>""</f>
        <v/>
      </c>
      <c r="CV334" t="str">
        <f>""</f>
        <v/>
      </c>
      <c r="CW334" t="str">
        <f>""</f>
        <v/>
      </c>
      <c r="CX334" t="str">
        <f>""</f>
        <v/>
      </c>
      <c r="CY334" t="str">
        <f>""</f>
        <v/>
      </c>
      <c r="CZ334" t="str">
        <f>""</f>
        <v/>
      </c>
      <c r="DA334" t="str">
        <f>""</f>
        <v/>
      </c>
      <c r="DB334" t="str">
        <f>""</f>
        <v/>
      </c>
      <c r="DC334" t="str">
        <f>""</f>
        <v/>
      </c>
      <c r="DD334" t="str">
        <f>""</f>
        <v/>
      </c>
      <c r="DE334" t="str">
        <f>""</f>
        <v/>
      </c>
      <c r="DF334" t="str">
        <f>""</f>
        <v/>
      </c>
      <c r="DG334" t="str">
        <f>""</f>
        <v/>
      </c>
      <c r="DH334" t="str">
        <f>""</f>
        <v/>
      </c>
      <c r="DI334" t="str">
        <f>""</f>
        <v/>
      </c>
      <c r="DJ334" t="str">
        <f>""</f>
        <v/>
      </c>
      <c r="DK334" t="str">
        <f>""</f>
        <v/>
      </c>
      <c r="DL334" t="str">
        <f>""</f>
        <v/>
      </c>
      <c r="DM334" t="str">
        <f>""</f>
        <v/>
      </c>
      <c r="DN334" t="str">
        <f>""</f>
        <v/>
      </c>
      <c r="DO334" t="str">
        <f>""</f>
        <v/>
      </c>
      <c r="DP334" t="str">
        <f>""</f>
        <v/>
      </c>
      <c r="DQ334" t="str">
        <f>""</f>
        <v/>
      </c>
      <c r="DR334" t="str">
        <f>""</f>
        <v/>
      </c>
      <c r="DS334" t="str">
        <f>""</f>
        <v/>
      </c>
      <c r="DT334" t="str">
        <f>""</f>
        <v/>
      </c>
      <c r="DU334" t="str">
        <f>""</f>
        <v/>
      </c>
    </row>
    <row r="335" spans="1:125" x14ac:dyDescent="0.25">
      <c r="A335" t="str">
        <f>$A$132</f>
        <v xml:space="preserve">    Deutsche Bank AG</v>
      </c>
      <c r="B335" t="str">
        <f>$B$132</f>
        <v>DBK GR Equity</v>
      </c>
      <c r="C335" t="str">
        <f>$C$132</f>
        <v>BS016</v>
      </c>
      <c r="D335" t="str">
        <f>$D$132</f>
        <v>BS_COMM_LOAN</v>
      </c>
      <c r="E335" t="str">
        <f>$E$132</f>
        <v>Dynamic</v>
      </c>
      <c r="F335">
        <f ca="1">_xll.BDH($B$132,$C$132,$B$206,$B$207,CONCATENATE("Per=",$B$204),"Dts=H","Dir=H",CONCATENATE("Points=",$B$205),"Sort=R","Days=A","Fill=B",CONCATENATE("FX=", $B$203),"cols=60;rows=1")</f>
        <v>279326</v>
      </c>
      <c r="J335">
        <v>26458</v>
      </c>
      <c r="N335">
        <v>187960</v>
      </c>
      <c r="R335">
        <v>258729</v>
      </c>
      <c r="V335">
        <v>235892</v>
      </c>
      <c r="Z335">
        <v>251720</v>
      </c>
      <c r="AD335">
        <v>240009</v>
      </c>
      <c r="AH335">
        <v>141892</v>
      </c>
      <c r="AL335">
        <v>138761</v>
      </c>
      <c r="AP335">
        <v>161152</v>
      </c>
      <c r="AT335">
        <v>118118</v>
      </c>
      <c r="AX335">
        <v>110958</v>
      </c>
      <c r="BB335">
        <v>128762</v>
      </c>
      <c r="BF335">
        <v>135662</v>
      </c>
      <c r="BJ335">
        <v>141416</v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  <c r="BT335" t="str">
        <f>""</f>
        <v/>
      </c>
      <c r="BU335" t="str">
        <f>""</f>
        <v/>
      </c>
      <c r="BV335" t="str">
        <f>""</f>
        <v/>
      </c>
      <c r="BW335" t="str">
        <f>""</f>
        <v/>
      </c>
      <c r="BX335" t="str">
        <f>""</f>
        <v/>
      </c>
      <c r="BY335" t="str">
        <f>""</f>
        <v/>
      </c>
      <c r="BZ335" t="str">
        <f>""</f>
        <v/>
      </c>
      <c r="CA335" t="str">
        <f>""</f>
        <v/>
      </c>
      <c r="CB335" t="str">
        <f>""</f>
        <v/>
      </c>
      <c r="CC335" t="str">
        <f>""</f>
        <v/>
      </c>
      <c r="CD335" t="str">
        <f>""</f>
        <v/>
      </c>
      <c r="CE335" t="str">
        <f>""</f>
        <v/>
      </c>
      <c r="CF335" t="str">
        <f>""</f>
        <v/>
      </c>
      <c r="CG335" t="str">
        <f>""</f>
        <v/>
      </c>
      <c r="CH335" t="str">
        <f>""</f>
        <v/>
      </c>
      <c r="CI335" t="str">
        <f>""</f>
        <v/>
      </c>
      <c r="CJ335" t="str">
        <f>""</f>
        <v/>
      </c>
      <c r="CK335" t="str">
        <f>""</f>
        <v/>
      </c>
      <c r="CL335" t="str">
        <f>""</f>
        <v/>
      </c>
      <c r="CM335" t="str">
        <f>""</f>
        <v/>
      </c>
      <c r="CN335" t="str">
        <f>""</f>
        <v/>
      </c>
      <c r="CO335" t="str">
        <f>""</f>
        <v/>
      </c>
      <c r="CP335" t="str">
        <f>""</f>
        <v/>
      </c>
      <c r="CQ335" t="str">
        <f>""</f>
        <v/>
      </c>
      <c r="CR335" t="str">
        <f>""</f>
        <v/>
      </c>
      <c r="CS335" t="str">
        <f>""</f>
        <v/>
      </c>
      <c r="CT335" t="str">
        <f>""</f>
        <v/>
      </c>
      <c r="CU335" t="str">
        <f>""</f>
        <v/>
      </c>
      <c r="CV335" t="str">
        <f>""</f>
        <v/>
      </c>
      <c r="CW335" t="str">
        <f>""</f>
        <v/>
      </c>
      <c r="CX335" t="str">
        <f>""</f>
        <v/>
      </c>
      <c r="CY335" t="str">
        <f>""</f>
        <v/>
      </c>
      <c r="CZ335" t="str">
        <f>""</f>
        <v/>
      </c>
      <c r="DA335" t="str">
        <f>""</f>
        <v/>
      </c>
      <c r="DB335" t="str">
        <f>""</f>
        <v/>
      </c>
      <c r="DC335" t="str">
        <f>""</f>
        <v/>
      </c>
      <c r="DD335" t="str">
        <f>""</f>
        <v/>
      </c>
      <c r="DE335" t="str">
        <f>""</f>
        <v/>
      </c>
      <c r="DF335" t="str">
        <f>""</f>
        <v/>
      </c>
      <c r="DG335" t="str">
        <f>""</f>
        <v/>
      </c>
      <c r="DH335" t="str">
        <f>""</f>
        <v/>
      </c>
      <c r="DI335" t="str">
        <f>""</f>
        <v/>
      </c>
      <c r="DJ335" t="str">
        <f>""</f>
        <v/>
      </c>
      <c r="DK335" t="str">
        <f>""</f>
        <v/>
      </c>
      <c r="DL335" t="str">
        <f>""</f>
        <v/>
      </c>
      <c r="DM335" t="str">
        <f>""</f>
        <v/>
      </c>
      <c r="DN335" t="str">
        <f>""</f>
        <v/>
      </c>
      <c r="DO335" t="str">
        <f>""</f>
        <v/>
      </c>
      <c r="DP335" t="str">
        <f>""</f>
        <v/>
      </c>
      <c r="DQ335" t="str">
        <f>""</f>
        <v/>
      </c>
      <c r="DR335" t="str">
        <f>""</f>
        <v/>
      </c>
      <c r="DS335" t="str">
        <f>""</f>
        <v/>
      </c>
      <c r="DT335" t="str">
        <f>""</f>
        <v/>
      </c>
      <c r="DU335" t="str">
        <f>""</f>
        <v/>
      </c>
    </row>
    <row r="336" spans="1:125" x14ac:dyDescent="0.25">
      <c r="A336" t="str">
        <f>$A$133</f>
        <v xml:space="preserve">    DNB Bank ASA</v>
      </c>
      <c r="B336" t="str">
        <f>$B$133</f>
        <v>DNB NO Equity</v>
      </c>
      <c r="C336" t="str">
        <f>$C$133</f>
        <v>BS016</v>
      </c>
      <c r="D336" t="str">
        <f>$D$133</f>
        <v>BS_COMM_LOAN</v>
      </c>
      <c r="E336" t="str">
        <f>$E$133</f>
        <v>Dynamic</v>
      </c>
      <c r="F336">
        <f ca="1">_xll.BDH($B$133,$C$133,$B$206,$B$207,CONCATENATE("Per=",$B$204),"Dts=H","Dir=H",CONCATENATE("Points=",$B$205),"Sort=R","Days=A","Fill=B",CONCATENATE("FX=", $B$203),"cols=60;rows=1")</f>
        <v>101550.7911</v>
      </c>
      <c r="G336">
        <v>87778.483200000002</v>
      </c>
      <c r="H336">
        <v>85724.537299999996</v>
      </c>
      <c r="I336">
        <v>83830.904599999994</v>
      </c>
      <c r="J336">
        <v>85661.949200000003</v>
      </c>
      <c r="K336">
        <v>86167.869600000005</v>
      </c>
      <c r="L336">
        <v>83849.383199999997</v>
      </c>
      <c r="M336">
        <v>84955.7359</v>
      </c>
      <c r="N336">
        <v>87788.229300000006</v>
      </c>
      <c r="O336">
        <v>82661.970400000006</v>
      </c>
      <c r="P336">
        <v>90299.980899999995</v>
      </c>
      <c r="Q336">
        <v>86272.804000000004</v>
      </c>
      <c r="R336">
        <v>84398.021099999998</v>
      </c>
      <c r="S336">
        <v>81226.027300000002</v>
      </c>
      <c r="T336">
        <v>80053.634099999996</v>
      </c>
      <c r="U336">
        <v>80463.409</v>
      </c>
      <c r="V336">
        <v>77736.981899999999</v>
      </c>
      <c r="W336">
        <v>76257.783800000005</v>
      </c>
      <c r="X336">
        <v>78077.658200000005</v>
      </c>
      <c r="Y336">
        <v>77337.628299999997</v>
      </c>
      <c r="Z336">
        <v>76367.233099999998</v>
      </c>
      <c r="AA336">
        <v>76591.147400000002</v>
      </c>
      <c r="AB336">
        <v>82905.275500000003</v>
      </c>
      <c r="AC336">
        <v>82151.868400000007</v>
      </c>
      <c r="AD336">
        <v>76377.239799999996</v>
      </c>
      <c r="AE336">
        <v>68086.491200000004</v>
      </c>
      <c r="AF336">
        <v>75145.138200000001</v>
      </c>
      <c r="AG336">
        <v>72350.026500000007</v>
      </c>
      <c r="AH336">
        <v>72582.332599999994</v>
      </c>
      <c r="AL336">
        <v>80142.303499999995</v>
      </c>
      <c r="AP336">
        <v>80977.759999999995</v>
      </c>
      <c r="AT336">
        <v>79307.391699999993</v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  <c r="BT336" t="str">
        <f>""</f>
        <v/>
      </c>
      <c r="BU336" t="str">
        <f>""</f>
        <v/>
      </c>
      <c r="BV336" t="str">
        <f>""</f>
        <v/>
      </c>
      <c r="BW336" t="str">
        <f>""</f>
        <v/>
      </c>
      <c r="BX336" t="str">
        <f>""</f>
        <v/>
      </c>
      <c r="BY336" t="str">
        <f>""</f>
        <v/>
      </c>
      <c r="BZ336" t="str">
        <f>""</f>
        <v/>
      </c>
      <c r="CA336" t="str">
        <f>""</f>
        <v/>
      </c>
      <c r="CB336" t="str">
        <f>""</f>
        <v/>
      </c>
      <c r="CC336" t="str">
        <f>""</f>
        <v/>
      </c>
      <c r="CD336" t="str">
        <f>""</f>
        <v/>
      </c>
      <c r="CE336" t="str">
        <f>""</f>
        <v/>
      </c>
      <c r="CF336" t="str">
        <f>""</f>
        <v/>
      </c>
      <c r="CG336" t="str">
        <f>""</f>
        <v/>
      </c>
      <c r="CH336" t="str">
        <f>""</f>
        <v/>
      </c>
      <c r="CI336" t="str">
        <f>""</f>
        <v/>
      </c>
      <c r="CJ336" t="str">
        <f>""</f>
        <v/>
      </c>
      <c r="CK336" t="str">
        <f>""</f>
        <v/>
      </c>
      <c r="CL336" t="str">
        <f>""</f>
        <v/>
      </c>
      <c r="CM336" t="str">
        <f>""</f>
        <v/>
      </c>
      <c r="CN336" t="str">
        <f>""</f>
        <v/>
      </c>
      <c r="CO336" t="str">
        <f>""</f>
        <v/>
      </c>
      <c r="CP336" t="str">
        <f>""</f>
        <v/>
      </c>
      <c r="CQ336" t="str">
        <f>""</f>
        <v/>
      </c>
      <c r="CR336" t="str">
        <f>""</f>
        <v/>
      </c>
      <c r="CS336" t="str">
        <f>""</f>
        <v/>
      </c>
      <c r="CT336" t="str">
        <f>""</f>
        <v/>
      </c>
      <c r="CU336" t="str">
        <f>""</f>
        <v/>
      </c>
      <c r="CV336" t="str">
        <f>""</f>
        <v/>
      </c>
      <c r="CW336" t="str">
        <f>""</f>
        <v/>
      </c>
      <c r="CX336" t="str">
        <f>""</f>
        <v/>
      </c>
      <c r="CY336" t="str">
        <f>""</f>
        <v/>
      </c>
      <c r="CZ336" t="str">
        <f>""</f>
        <v/>
      </c>
      <c r="DA336" t="str">
        <f>""</f>
        <v/>
      </c>
      <c r="DB336" t="str">
        <f>""</f>
        <v/>
      </c>
      <c r="DC336" t="str">
        <f>""</f>
        <v/>
      </c>
      <c r="DD336" t="str">
        <f>""</f>
        <v/>
      </c>
      <c r="DE336" t="str">
        <f>""</f>
        <v/>
      </c>
      <c r="DF336" t="str">
        <f>""</f>
        <v/>
      </c>
      <c r="DG336" t="str">
        <f>""</f>
        <v/>
      </c>
      <c r="DH336" t="str">
        <f>""</f>
        <v/>
      </c>
      <c r="DI336" t="str">
        <f>""</f>
        <v/>
      </c>
      <c r="DJ336" t="str">
        <f>""</f>
        <v/>
      </c>
      <c r="DK336" t="str">
        <f>""</f>
        <v/>
      </c>
      <c r="DL336" t="str">
        <f>""</f>
        <v/>
      </c>
      <c r="DM336" t="str">
        <f>""</f>
        <v/>
      </c>
      <c r="DN336" t="str">
        <f>""</f>
        <v/>
      </c>
      <c r="DO336" t="str">
        <f>""</f>
        <v/>
      </c>
      <c r="DP336" t="str">
        <f>""</f>
        <v/>
      </c>
      <c r="DQ336" t="str">
        <f>""</f>
        <v/>
      </c>
      <c r="DR336" t="str">
        <f>""</f>
        <v/>
      </c>
      <c r="DS336" t="str">
        <f>""</f>
        <v/>
      </c>
      <c r="DT336" t="str">
        <f>""</f>
        <v/>
      </c>
      <c r="DU336" t="str">
        <f>""</f>
        <v/>
      </c>
    </row>
    <row r="337" spans="1:125" x14ac:dyDescent="0.25">
      <c r="A337" t="str">
        <f>$A$134</f>
        <v xml:space="preserve">    Danske Bank A/S</v>
      </c>
      <c r="B337" t="str">
        <f>$B$134</f>
        <v>DANSKE DC Equity</v>
      </c>
      <c r="C337" t="str">
        <f>$C$134</f>
        <v>BS016</v>
      </c>
      <c r="D337" t="str">
        <f>$D$134</f>
        <v>BS_COMM_LOAN</v>
      </c>
      <c r="E337" t="str">
        <f>$E$134</f>
        <v>Dynamic</v>
      </c>
      <c r="F337" t="str">
        <f ca="1">_xll.BDH($B$134,$C$134,$B$206,$B$207,CONCATENATE("Per=",$B$204),"Dts=H","Dir=H",CONCATENATE("Points=",$B$205),"Sort=R","Days=A","Fill=B",CONCATENATE("FX=", $B$203) )</f>
        <v/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  <c r="BT337" t="str">
        <f>""</f>
        <v/>
      </c>
      <c r="BU337" t="str">
        <f>""</f>
        <v/>
      </c>
      <c r="BV337" t="str">
        <f>""</f>
        <v/>
      </c>
      <c r="BW337" t="str">
        <f>""</f>
        <v/>
      </c>
      <c r="BX337" t="str">
        <f>""</f>
        <v/>
      </c>
      <c r="BY337" t="str">
        <f>""</f>
        <v/>
      </c>
      <c r="BZ337" t="str">
        <f>""</f>
        <v/>
      </c>
      <c r="CA337" t="str">
        <f>""</f>
        <v/>
      </c>
      <c r="CB337" t="str">
        <f>""</f>
        <v/>
      </c>
      <c r="CC337" t="str">
        <f>""</f>
        <v/>
      </c>
      <c r="CD337" t="str">
        <f>""</f>
        <v/>
      </c>
      <c r="CE337" t="str">
        <f>""</f>
        <v/>
      </c>
      <c r="CF337" t="str">
        <f>""</f>
        <v/>
      </c>
      <c r="CG337" t="str">
        <f>""</f>
        <v/>
      </c>
      <c r="CH337" t="str">
        <f>""</f>
        <v/>
      </c>
      <c r="CI337" t="str">
        <f>""</f>
        <v/>
      </c>
      <c r="CJ337" t="str">
        <f>""</f>
        <v/>
      </c>
      <c r="CK337" t="str">
        <f>""</f>
        <v/>
      </c>
      <c r="CL337" t="str">
        <f>""</f>
        <v/>
      </c>
      <c r="CM337" t="str">
        <f>""</f>
        <v/>
      </c>
      <c r="CN337" t="str">
        <f>""</f>
        <v/>
      </c>
      <c r="CO337" t="str">
        <f>""</f>
        <v/>
      </c>
      <c r="CP337" t="str">
        <f>""</f>
        <v/>
      </c>
      <c r="CQ337" t="str">
        <f>""</f>
        <v/>
      </c>
      <c r="CR337" t="str">
        <f>""</f>
        <v/>
      </c>
      <c r="CS337" t="str">
        <f>""</f>
        <v/>
      </c>
      <c r="CT337" t="str">
        <f>""</f>
        <v/>
      </c>
      <c r="CU337" t="str">
        <f>""</f>
        <v/>
      </c>
      <c r="CV337" t="str">
        <f>""</f>
        <v/>
      </c>
      <c r="CW337" t="str">
        <f>""</f>
        <v/>
      </c>
      <c r="CX337" t="str">
        <f>""</f>
        <v/>
      </c>
      <c r="CY337" t="str">
        <f>""</f>
        <v/>
      </c>
      <c r="CZ337" t="str">
        <f>""</f>
        <v/>
      </c>
      <c r="DA337" t="str">
        <f>""</f>
        <v/>
      </c>
      <c r="DB337" t="str">
        <f>""</f>
        <v/>
      </c>
      <c r="DC337" t="str">
        <f>""</f>
        <v/>
      </c>
      <c r="DD337" t="str">
        <f>""</f>
        <v/>
      </c>
      <c r="DE337" t="str">
        <f>""</f>
        <v/>
      </c>
      <c r="DF337" t="str">
        <f>""</f>
        <v/>
      </c>
      <c r="DG337" t="str">
        <f>""</f>
        <v/>
      </c>
      <c r="DH337" t="str">
        <f>""</f>
        <v/>
      </c>
      <c r="DI337" t="str">
        <f>""</f>
        <v/>
      </c>
      <c r="DJ337" t="str">
        <f>""</f>
        <v/>
      </c>
      <c r="DK337" t="str">
        <f>""</f>
        <v/>
      </c>
      <c r="DL337" t="str">
        <f>""</f>
        <v/>
      </c>
      <c r="DM337" t="str">
        <f>""</f>
        <v/>
      </c>
      <c r="DN337" t="str">
        <f>""</f>
        <v/>
      </c>
      <c r="DO337" t="str">
        <f>""</f>
        <v/>
      </c>
      <c r="DP337" t="str">
        <f>""</f>
        <v/>
      </c>
      <c r="DQ337" t="str">
        <f>""</f>
        <v/>
      </c>
      <c r="DR337" t="str">
        <f>""</f>
        <v/>
      </c>
      <c r="DS337" t="str">
        <f>""</f>
        <v/>
      </c>
      <c r="DT337" t="str">
        <f>""</f>
        <v/>
      </c>
      <c r="DU337" t="str">
        <f>""</f>
        <v/>
      </c>
    </row>
    <row r="338" spans="1:125" x14ac:dyDescent="0.25">
      <c r="A338" t="str">
        <f>$A$135</f>
        <v xml:space="preserve">    Erste Group Bank AG</v>
      </c>
      <c r="B338" t="str">
        <f>$B$135</f>
        <v>EBS AV Equity</v>
      </c>
      <c r="C338" t="str">
        <f>$C$135</f>
        <v>BS016</v>
      </c>
      <c r="D338" t="str">
        <f>$D$135</f>
        <v>BS_COMM_LOAN</v>
      </c>
      <c r="E338" t="str">
        <f>$E$135</f>
        <v>Dynamic</v>
      </c>
      <c r="F338">
        <f ca="1">_xll.BDH($B$135,$C$135,$B$206,$B$207,CONCATENATE("Per=",$B$204),"Dts=H","Dir=H",CONCATENATE("Points=",$B$205),"Sort=R","Days=A","Fill=B",CONCATENATE("FX=", $B$203),"cols=60;rows=1")</f>
        <v>209034</v>
      </c>
      <c r="G338">
        <v>204790</v>
      </c>
      <c r="H338">
        <v>202471</v>
      </c>
      <c r="I338">
        <v>199570.00700000001</v>
      </c>
      <c r="J338">
        <v>199241</v>
      </c>
      <c r="K338">
        <v>197824.859</v>
      </c>
      <c r="L338">
        <v>96471</v>
      </c>
      <c r="M338">
        <v>194755.35200000001</v>
      </c>
      <c r="N338">
        <v>194312.8</v>
      </c>
      <c r="O338">
        <v>93206</v>
      </c>
      <c r="P338">
        <v>88108</v>
      </c>
      <c r="Q338">
        <v>84722.323000000004</v>
      </c>
      <c r="R338">
        <v>173099.1</v>
      </c>
      <c r="S338">
        <v>79517</v>
      </c>
      <c r="T338">
        <v>77386</v>
      </c>
      <c r="U338">
        <v>76089</v>
      </c>
      <c r="V338">
        <v>159895.29999999999</v>
      </c>
      <c r="W338">
        <v>74802</v>
      </c>
      <c r="X338">
        <v>72799</v>
      </c>
      <c r="Y338">
        <v>73390</v>
      </c>
      <c r="Z338">
        <v>71386</v>
      </c>
      <c r="AA338">
        <v>70994</v>
      </c>
      <c r="AB338">
        <v>69601</v>
      </c>
      <c r="AC338">
        <v>67981</v>
      </c>
      <c r="AD338">
        <v>65562</v>
      </c>
      <c r="AE338">
        <v>66216</v>
      </c>
      <c r="AF338">
        <v>64727</v>
      </c>
      <c r="AG338">
        <v>63799</v>
      </c>
      <c r="AH338">
        <v>66292</v>
      </c>
      <c r="AI338">
        <v>66015</v>
      </c>
      <c r="AJ338">
        <v>64383</v>
      </c>
      <c r="AK338">
        <v>63478</v>
      </c>
      <c r="AL338">
        <v>61916</v>
      </c>
      <c r="AM338">
        <v>61179</v>
      </c>
      <c r="AN338">
        <v>60698</v>
      </c>
      <c r="AP338">
        <v>61142</v>
      </c>
      <c r="AY338">
        <v>66398</v>
      </c>
      <c r="AZ338">
        <v>67173</v>
      </c>
      <c r="BA338">
        <v>68961</v>
      </c>
      <c r="BB338">
        <v>69855</v>
      </c>
      <c r="BC338">
        <v>71204</v>
      </c>
      <c r="BD338">
        <v>71908</v>
      </c>
      <c r="BE338">
        <v>72081</v>
      </c>
      <c r="BF338">
        <v>71854</v>
      </c>
      <c r="BG338">
        <v>72237</v>
      </c>
      <c r="BH338">
        <v>71022</v>
      </c>
      <c r="BI338">
        <v>70755</v>
      </c>
      <c r="BJ338">
        <v>70518</v>
      </c>
      <c r="BK338">
        <v>69956</v>
      </c>
      <c r="BL338">
        <v>69949</v>
      </c>
      <c r="BM338">
        <v>70219</v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  <c r="BT338" t="str">
        <f>""</f>
        <v/>
      </c>
      <c r="BU338" t="str">
        <f>""</f>
        <v/>
      </c>
      <c r="BV338" t="str">
        <f>""</f>
        <v/>
      </c>
      <c r="BW338" t="str">
        <f>""</f>
        <v/>
      </c>
      <c r="BX338" t="str">
        <f>""</f>
        <v/>
      </c>
      <c r="BY338" t="str">
        <f>""</f>
        <v/>
      </c>
      <c r="BZ338" t="str">
        <f>""</f>
        <v/>
      </c>
      <c r="CA338" t="str">
        <f>""</f>
        <v/>
      </c>
      <c r="CB338" t="str">
        <f>""</f>
        <v/>
      </c>
      <c r="CC338" t="str">
        <f>""</f>
        <v/>
      </c>
      <c r="CD338" t="str">
        <f>""</f>
        <v/>
      </c>
      <c r="CE338" t="str">
        <f>""</f>
        <v/>
      </c>
      <c r="CF338" t="str">
        <f>""</f>
        <v/>
      </c>
      <c r="CG338" t="str">
        <f>""</f>
        <v/>
      </c>
      <c r="CH338" t="str">
        <f>""</f>
        <v/>
      </c>
      <c r="CI338" t="str">
        <f>""</f>
        <v/>
      </c>
      <c r="CJ338" t="str">
        <f>""</f>
        <v/>
      </c>
      <c r="CK338" t="str">
        <f>""</f>
        <v/>
      </c>
      <c r="CL338" t="str">
        <f>""</f>
        <v/>
      </c>
      <c r="CM338" t="str">
        <f>""</f>
        <v/>
      </c>
      <c r="CN338" t="str">
        <f>""</f>
        <v/>
      </c>
      <c r="CO338" t="str">
        <f>""</f>
        <v/>
      </c>
      <c r="CP338" t="str">
        <f>""</f>
        <v/>
      </c>
      <c r="CQ338" t="str">
        <f>""</f>
        <v/>
      </c>
      <c r="CR338" t="str">
        <f>""</f>
        <v/>
      </c>
      <c r="CS338" t="str">
        <f>""</f>
        <v/>
      </c>
      <c r="CT338" t="str">
        <f>""</f>
        <v/>
      </c>
      <c r="CU338" t="str">
        <f>""</f>
        <v/>
      </c>
      <c r="CV338" t="str">
        <f>""</f>
        <v/>
      </c>
      <c r="CW338" t="str">
        <f>""</f>
        <v/>
      </c>
      <c r="CX338" t="str">
        <f>""</f>
        <v/>
      </c>
      <c r="CY338" t="str">
        <f>""</f>
        <v/>
      </c>
      <c r="CZ338" t="str">
        <f>""</f>
        <v/>
      </c>
      <c r="DA338" t="str">
        <f>""</f>
        <v/>
      </c>
      <c r="DB338" t="str">
        <f>""</f>
        <v/>
      </c>
      <c r="DC338" t="str">
        <f>""</f>
        <v/>
      </c>
      <c r="DD338" t="str">
        <f>""</f>
        <v/>
      </c>
      <c r="DE338" t="str">
        <f>""</f>
        <v/>
      </c>
      <c r="DF338" t="str">
        <f>""</f>
        <v/>
      </c>
      <c r="DG338" t="str">
        <f>""</f>
        <v/>
      </c>
      <c r="DH338" t="str">
        <f>""</f>
        <v/>
      </c>
      <c r="DI338" t="str">
        <f>""</f>
        <v/>
      </c>
      <c r="DJ338" t="str">
        <f>""</f>
        <v/>
      </c>
      <c r="DK338" t="str">
        <f>""</f>
        <v/>
      </c>
      <c r="DL338" t="str">
        <f>""</f>
        <v/>
      </c>
      <c r="DM338" t="str">
        <f>""</f>
        <v/>
      </c>
      <c r="DN338" t="str">
        <f>""</f>
        <v/>
      </c>
      <c r="DO338" t="str">
        <f>""</f>
        <v/>
      </c>
      <c r="DP338" t="str">
        <f>""</f>
        <v/>
      </c>
      <c r="DQ338" t="str">
        <f>""</f>
        <v/>
      </c>
      <c r="DR338" t="str">
        <f>""</f>
        <v/>
      </c>
      <c r="DS338" t="str">
        <f>""</f>
        <v/>
      </c>
      <c r="DT338" t="str">
        <f>""</f>
        <v/>
      </c>
      <c r="DU338" t="str">
        <f>""</f>
        <v/>
      </c>
    </row>
    <row r="339" spans="1:125" x14ac:dyDescent="0.25">
      <c r="A339" t="str">
        <f>$A$136</f>
        <v xml:space="preserve">    FinecoBank Banca Fineco SpA</v>
      </c>
      <c r="B339" t="str">
        <f>$B$136</f>
        <v>FBK IM Equity</v>
      </c>
      <c r="C339" t="str">
        <f>$C$136</f>
        <v>BS016</v>
      </c>
      <c r="D339" t="str">
        <f>$D$136</f>
        <v>BS_COMM_LOAN</v>
      </c>
      <c r="E339" t="str">
        <f>$E$136</f>
        <v>Dynamic</v>
      </c>
      <c r="F339" t="str">
        <f ca="1">_xll.BDH($B$136,$C$136,$B$206,$B$207,CONCATENATE("Per=",$B$204),"Dts=H","Dir=H",CONCATENATE("Points=",$B$205),"Sort=R","Days=A","Fill=B",CONCATENATE("FX=", $B$203) )</f>
        <v/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  <c r="BT339" t="str">
        <f>""</f>
        <v/>
      </c>
      <c r="BU339" t="str">
        <f>""</f>
        <v/>
      </c>
      <c r="BV339" t="str">
        <f>""</f>
        <v/>
      </c>
      <c r="BW339" t="str">
        <f>""</f>
        <v/>
      </c>
      <c r="BX339" t="str">
        <f>""</f>
        <v/>
      </c>
      <c r="BY339" t="str">
        <f>""</f>
        <v/>
      </c>
      <c r="BZ339" t="str">
        <f>""</f>
        <v/>
      </c>
      <c r="CA339" t="str">
        <f>""</f>
        <v/>
      </c>
      <c r="CB339" t="str">
        <f>""</f>
        <v/>
      </c>
      <c r="CC339" t="str">
        <f>""</f>
        <v/>
      </c>
      <c r="CD339" t="str">
        <f>""</f>
        <v/>
      </c>
      <c r="CE339" t="str">
        <f>""</f>
        <v/>
      </c>
      <c r="CF339" t="str">
        <f>""</f>
        <v/>
      </c>
      <c r="CG339" t="str">
        <f>""</f>
        <v/>
      </c>
      <c r="CH339" t="str">
        <f>""</f>
        <v/>
      </c>
      <c r="CI339" t="str">
        <f>""</f>
        <v/>
      </c>
      <c r="CJ339" t="str">
        <f>""</f>
        <v/>
      </c>
      <c r="CK339" t="str">
        <f>""</f>
        <v/>
      </c>
      <c r="CL339" t="str">
        <f>""</f>
        <v/>
      </c>
      <c r="CM339" t="str">
        <f>""</f>
        <v/>
      </c>
      <c r="CN339" t="str">
        <f>""</f>
        <v/>
      </c>
      <c r="CO339" t="str">
        <f>""</f>
        <v/>
      </c>
      <c r="CP339" t="str">
        <f>""</f>
        <v/>
      </c>
      <c r="CQ339" t="str">
        <f>""</f>
        <v/>
      </c>
      <c r="CR339" t="str">
        <f>""</f>
        <v/>
      </c>
      <c r="CS339" t="str">
        <f>""</f>
        <v/>
      </c>
      <c r="CT339" t="str">
        <f>""</f>
        <v/>
      </c>
      <c r="CU339" t="str">
        <f>""</f>
        <v/>
      </c>
      <c r="CV339" t="str">
        <f>""</f>
        <v/>
      </c>
      <c r="CW339" t="str">
        <f>""</f>
        <v/>
      </c>
      <c r="CX339" t="str">
        <f>""</f>
        <v/>
      </c>
      <c r="CY339" t="str">
        <f>""</f>
        <v/>
      </c>
      <c r="CZ339" t="str">
        <f>""</f>
        <v/>
      </c>
      <c r="DA339" t="str">
        <f>""</f>
        <v/>
      </c>
      <c r="DB339" t="str">
        <f>""</f>
        <v/>
      </c>
      <c r="DC339" t="str">
        <f>""</f>
        <v/>
      </c>
      <c r="DD339" t="str">
        <f>""</f>
        <v/>
      </c>
      <c r="DE339" t="str">
        <f>""</f>
        <v/>
      </c>
      <c r="DF339" t="str">
        <f>""</f>
        <v/>
      </c>
      <c r="DG339" t="str">
        <f>""</f>
        <v/>
      </c>
      <c r="DH339" t="str">
        <f>""</f>
        <v/>
      </c>
      <c r="DI339" t="str">
        <f>""</f>
        <v/>
      </c>
      <c r="DJ339" t="str">
        <f>""</f>
        <v/>
      </c>
      <c r="DK339" t="str">
        <f>""</f>
        <v/>
      </c>
      <c r="DL339" t="str">
        <f>""</f>
        <v/>
      </c>
      <c r="DM339" t="str">
        <f>""</f>
        <v/>
      </c>
      <c r="DN339" t="str">
        <f>""</f>
        <v/>
      </c>
      <c r="DO339" t="str">
        <f>""</f>
        <v/>
      </c>
      <c r="DP339" t="str">
        <f>""</f>
        <v/>
      </c>
      <c r="DQ339" t="str">
        <f>""</f>
        <v/>
      </c>
      <c r="DR339" t="str">
        <f>""</f>
        <v/>
      </c>
      <c r="DS339" t="str">
        <f>""</f>
        <v/>
      </c>
      <c r="DT339" t="str">
        <f>""</f>
        <v/>
      </c>
      <c r="DU339" t="str">
        <f>""</f>
        <v/>
      </c>
    </row>
    <row r="340" spans="1:125" x14ac:dyDescent="0.25">
      <c r="A340" t="str">
        <f>$A$137</f>
        <v xml:space="preserve">    HSBC Holdings PLC</v>
      </c>
      <c r="B340" t="str">
        <f>$B$137</f>
        <v>HSBA LN Equity</v>
      </c>
      <c r="C340" t="str">
        <f>$C$137</f>
        <v>BS016</v>
      </c>
      <c r="D340" t="str">
        <f>$D$137</f>
        <v>BS_COMM_LOAN</v>
      </c>
      <c r="E340" t="str">
        <f>$E$137</f>
        <v>Dynamic</v>
      </c>
      <c r="F340">
        <f ca="1">_xll.BDH($B$137,$C$137,$B$206,$B$207,CONCATENATE("Per=",$B$204),"Dts=H","Dir=H",CONCATENATE("Points=",$B$205),"Sort=R","Days=A","Fill=B",CONCATENATE("FX=", $B$203),"cols=60;rows=1")</f>
        <v>396834.4768</v>
      </c>
      <c r="H340">
        <v>467044.60619999998</v>
      </c>
      <c r="J340">
        <v>386528.38030000002</v>
      </c>
      <c r="L340">
        <v>404156.43890000001</v>
      </c>
      <c r="N340">
        <v>423118.28960000002</v>
      </c>
      <c r="P340">
        <v>486087.95189999999</v>
      </c>
      <c r="R340">
        <v>451026.69949999999</v>
      </c>
      <c r="S340">
        <v>444086.94150000002</v>
      </c>
      <c r="T340">
        <v>439025.23420000001</v>
      </c>
      <c r="U340">
        <v>445900.42550000001</v>
      </c>
      <c r="V340">
        <v>431155.82819999999</v>
      </c>
      <c r="W340">
        <v>454565.77380000002</v>
      </c>
      <c r="X340">
        <v>480572.80089999997</v>
      </c>
      <c r="Y340">
        <v>577572.69160000002</v>
      </c>
      <c r="Z340">
        <v>481342.06069999997</v>
      </c>
      <c r="AA340">
        <v>493461.4326</v>
      </c>
      <c r="AB340">
        <v>481052.02919999999</v>
      </c>
      <c r="AC340">
        <v>483823.1887</v>
      </c>
      <c r="AD340">
        <v>466797.93920000002</v>
      </c>
      <c r="AE340">
        <v>464277.59600000002</v>
      </c>
      <c r="AF340">
        <v>461575.74719999998</v>
      </c>
      <c r="AG340">
        <v>441022.69949999999</v>
      </c>
      <c r="AH340">
        <v>494066.71100000001</v>
      </c>
      <c r="AI340">
        <v>496038.2953</v>
      </c>
      <c r="AJ340">
        <v>501606.06329999998</v>
      </c>
      <c r="AK340">
        <v>505986.72529999999</v>
      </c>
      <c r="AL340">
        <v>502091.59</v>
      </c>
      <c r="AM340">
        <v>475537.0502</v>
      </c>
      <c r="AN340">
        <v>484778.28950000001</v>
      </c>
      <c r="AO340">
        <v>491975.2219</v>
      </c>
      <c r="AP340">
        <v>515301.859</v>
      </c>
      <c r="AQ340">
        <v>502336.79129999998</v>
      </c>
      <c r="AR340">
        <v>518627.27519999997</v>
      </c>
      <c r="AS340">
        <v>543903.80310000002</v>
      </c>
      <c r="AT340">
        <v>488738.84299999999</v>
      </c>
      <c r="AU340">
        <v>504145.22129999998</v>
      </c>
      <c r="AV340">
        <v>469641.34399999998</v>
      </c>
      <c r="AW340">
        <v>444158.4374</v>
      </c>
      <c r="AX340">
        <v>494599.31829999998</v>
      </c>
      <c r="AY340">
        <v>459881.75300000003</v>
      </c>
      <c r="AZ340">
        <v>451340.2537</v>
      </c>
      <c r="BA340">
        <v>447517.54800000001</v>
      </c>
      <c r="BB340">
        <v>450671.36469999998</v>
      </c>
      <c r="BC340">
        <v>469499.84470000002</v>
      </c>
      <c r="BD340">
        <v>463802.071</v>
      </c>
      <c r="BE340">
        <v>429216.1716</v>
      </c>
      <c r="BF340">
        <v>431354.1667</v>
      </c>
      <c r="BG340">
        <v>432058.14559999999</v>
      </c>
      <c r="BH340">
        <v>421506.54719999997</v>
      </c>
      <c r="BI340">
        <v>407631.43060000002</v>
      </c>
      <c r="BJ340">
        <v>409424.65960000001</v>
      </c>
      <c r="BL340">
        <v>407233.41759999999</v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  <c r="BT340" t="str">
        <f>""</f>
        <v/>
      </c>
      <c r="BU340" t="str">
        <f>""</f>
        <v/>
      </c>
      <c r="BV340" t="str">
        <f>""</f>
        <v/>
      </c>
      <c r="BW340" t="str">
        <f>""</f>
        <v/>
      </c>
      <c r="BX340" t="str">
        <f>""</f>
        <v/>
      </c>
      <c r="BY340" t="str">
        <f>""</f>
        <v/>
      </c>
      <c r="BZ340" t="str">
        <f>""</f>
        <v/>
      </c>
      <c r="CA340" t="str">
        <f>""</f>
        <v/>
      </c>
      <c r="CB340" t="str">
        <f>""</f>
        <v/>
      </c>
      <c r="CC340" t="str">
        <f>""</f>
        <v/>
      </c>
      <c r="CD340" t="str">
        <f>""</f>
        <v/>
      </c>
      <c r="CE340" t="str">
        <f>""</f>
        <v/>
      </c>
      <c r="CF340" t="str">
        <f>""</f>
        <v/>
      </c>
      <c r="CG340" t="str">
        <f>""</f>
        <v/>
      </c>
      <c r="CH340" t="str">
        <f>""</f>
        <v/>
      </c>
      <c r="CI340" t="str">
        <f>""</f>
        <v/>
      </c>
      <c r="CJ340" t="str">
        <f>""</f>
        <v/>
      </c>
      <c r="CK340" t="str">
        <f>""</f>
        <v/>
      </c>
      <c r="CL340" t="str">
        <f>""</f>
        <v/>
      </c>
      <c r="CM340" t="str">
        <f>""</f>
        <v/>
      </c>
      <c r="CN340" t="str">
        <f>""</f>
        <v/>
      </c>
      <c r="CO340" t="str">
        <f>""</f>
        <v/>
      </c>
      <c r="CP340" t="str">
        <f>""</f>
        <v/>
      </c>
      <c r="CQ340" t="str">
        <f>""</f>
        <v/>
      </c>
      <c r="CR340" t="str">
        <f>""</f>
        <v/>
      </c>
      <c r="CS340" t="str">
        <f>""</f>
        <v/>
      </c>
      <c r="CT340" t="str">
        <f>""</f>
        <v/>
      </c>
      <c r="CU340" t="str">
        <f>""</f>
        <v/>
      </c>
      <c r="CV340" t="str">
        <f>""</f>
        <v/>
      </c>
      <c r="CW340" t="str">
        <f>""</f>
        <v/>
      </c>
      <c r="CX340" t="str">
        <f>""</f>
        <v/>
      </c>
      <c r="CY340" t="str">
        <f>""</f>
        <v/>
      </c>
      <c r="CZ340" t="str">
        <f>""</f>
        <v/>
      </c>
      <c r="DA340" t="str">
        <f>""</f>
        <v/>
      </c>
      <c r="DB340" t="str">
        <f>""</f>
        <v/>
      </c>
      <c r="DC340" t="str">
        <f>""</f>
        <v/>
      </c>
      <c r="DD340" t="str">
        <f>""</f>
        <v/>
      </c>
      <c r="DE340" t="str">
        <f>""</f>
        <v/>
      </c>
      <c r="DF340" t="str">
        <f>""</f>
        <v/>
      </c>
      <c r="DG340" t="str">
        <f>""</f>
        <v/>
      </c>
      <c r="DH340" t="str">
        <f>""</f>
        <v/>
      </c>
      <c r="DI340" t="str">
        <f>""</f>
        <v/>
      </c>
      <c r="DJ340" t="str">
        <f>""</f>
        <v/>
      </c>
      <c r="DK340" t="str">
        <f>""</f>
        <v/>
      </c>
      <c r="DL340" t="str">
        <f>""</f>
        <v/>
      </c>
      <c r="DM340" t="str">
        <f>""</f>
        <v/>
      </c>
      <c r="DN340" t="str">
        <f>""</f>
        <v/>
      </c>
      <c r="DO340" t="str">
        <f>""</f>
        <v/>
      </c>
      <c r="DP340" t="str">
        <f>""</f>
        <v/>
      </c>
      <c r="DQ340" t="str">
        <f>""</f>
        <v/>
      </c>
      <c r="DR340" t="str">
        <f>""</f>
        <v/>
      </c>
      <c r="DS340" t="str">
        <f>""</f>
        <v/>
      </c>
      <c r="DT340" t="str">
        <f>""</f>
        <v/>
      </c>
      <c r="DU340" t="str">
        <f>""</f>
        <v/>
      </c>
    </row>
    <row r="341" spans="1:125" x14ac:dyDescent="0.25">
      <c r="A341" t="str">
        <f>$A$138</f>
        <v xml:space="preserve">    ING Groep NV</v>
      </c>
      <c r="B341" t="str">
        <f>$B$138</f>
        <v>INGA NA Equity</v>
      </c>
      <c r="C341" t="str">
        <f>$C$138</f>
        <v>BS016</v>
      </c>
      <c r="D341" t="str">
        <f>$D$138</f>
        <v>BS_COMM_LOAN</v>
      </c>
      <c r="E341" t="str">
        <f>$E$138</f>
        <v>Dynamic</v>
      </c>
      <c r="F341">
        <f ca="1">_xll.BDH($B$138,$C$138,$B$206,$B$207,CONCATENATE("Per=",$B$204),"Dts=H","Dir=H",CONCATENATE("Points=",$B$205),"Sort=R","Days=A","Fill=B",CONCATENATE("FX=", $B$203),"cols=60;rows=1")</f>
        <v>285393</v>
      </c>
      <c r="H341">
        <v>276394</v>
      </c>
      <c r="J341">
        <v>272472</v>
      </c>
      <c r="L341">
        <v>276556</v>
      </c>
      <c r="N341">
        <v>279169</v>
      </c>
      <c r="P341">
        <v>277335</v>
      </c>
      <c r="R341">
        <v>190930</v>
      </c>
      <c r="T341">
        <v>181453</v>
      </c>
      <c r="V341">
        <v>173121</v>
      </c>
      <c r="X341">
        <v>194511</v>
      </c>
      <c r="Z341">
        <v>189878</v>
      </c>
      <c r="AB341">
        <v>195801</v>
      </c>
      <c r="AD341">
        <v>187000</v>
      </c>
      <c r="AF341">
        <v>190443</v>
      </c>
      <c r="AH341">
        <v>178669</v>
      </c>
      <c r="AJ341">
        <v>178007</v>
      </c>
      <c r="AL341">
        <v>176205</v>
      </c>
      <c r="AN341">
        <v>183186</v>
      </c>
      <c r="AP341">
        <v>316231</v>
      </c>
      <c r="AQ341">
        <v>162224</v>
      </c>
      <c r="AR341">
        <v>173463</v>
      </c>
      <c r="AS341">
        <v>168395</v>
      </c>
      <c r="AT341">
        <v>151031</v>
      </c>
      <c r="AU341">
        <v>156925</v>
      </c>
      <c r="AV341">
        <v>150168</v>
      </c>
      <c r="AW341">
        <v>148485</v>
      </c>
      <c r="AX341">
        <v>143772</v>
      </c>
      <c r="AY341">
        <v>144208</v>
      </c>
      <c r="AZ341">
        <v>149397</v>
      </c>
      <c r="BA341">
        <v>154014</v>
      </c>
      <c r="BC341">
        <v>153301</v>
      </c>
      <c r="BE341">
        <v>154779</v>
      </c>
      <c r="BF341">
        <v>152560</v>
      </c>
      <c r="BG341">
        <v>152903</v>
      </c>
      <c r="BH341">
        <v>151294</v>
      </c>
      <c r="BI341">
        <v>152279</v>
      </c>
      <c r="BJ341">
        <v>154509</v>
      </c>
      <c r="BK341">
        <v>156745</v>
      </c>
      <c r="BL341">
        <v>162295</v>
      </c>
      <c r="BM341">
        <v>149733</v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  <c r="BT341" t="str">
        <f>""</f>
        <v/>
      </c>
      <c r="BU341" t="str">
        <f>""</f>
        <v/>
      </c>
      <c r="BV341" t="str">
        <f>""</f>
        <v/>
      </c>
      <c r="BW341" t="str">
        <f>""</f>
        <v/>
      </c>
      <c r="BX341" t="str">
        <f>""</f>
        <v/>
      </c>
      <c r="BY341" t="str">
        <f>""</f>
        <v/>
      </c>
      <c r="BZ341" t="str">
        <f>""</f>
        <v/>
      </c>
      <c r="CA341" t="str">
        <f>""</f>
        <v/>
      </c>
      <c r="CB341" t="str">
        <f>""</f>
        <v/>
      </c>
      <c r="CC341" t="str">
        <f>""</f>
        <v/>
      </c>
      <c r="CD341" t="str">
        <f>""</f>
        <v/>
      </c>
      <c r="CE341" t="str">
        <f>""</f>
        <v/>
      </c>
      <c r="CF341" t="str">
        <f>""</f>
        <v/>
      </c>
      <c r="CG341" t="str">
        <f>""</f>
        <v/>
      </c>
      <c r="CH341" t="str">
        <f>""</f>
        <v/>
      </c>
      <c r="CI341" t="str">
        <f>""</f>
        <v/>
      </c>
      <c r="CJ341" t="str">
        <f>""</f>
        <v/>
      </c>
      <c r="CK341" t="str">
        <f>""</f>
        <v/>
      </c>
      <c r="CL341" t="str">
        <f>""</f>
        <v/>
      </c>
      <c r="CM341" t="str">
        <f>""</f>
        <v/>
      </c>
      <c r="CN341" t="str">
        <f>""</f>
        <v/>
      </c>
      <c r="CO341" t="str">
        <f>""</f>
        <v/>
      </c>
      <c r="CP341" t="str">
        <f>""</f>
        <v/>
      </c>
      <c r="CQ341" t="str">
        <f>""</f>
        <v/>
      </c>
      <c r="CR341" t="str">
        <f>""</f>
        <v/>
      </c>
      <c r="CS341" t="str">
        <f>""</f>
        <v/>
      </c>
      <c r="CT341" t="str">
        <f>""</f>
        <v/>
      </c>
      <c r="CU341" t="str">
        <f>""</f>
        <v/>
      </c>
      <c r="CV341" t="str">
        <f>""</f>
        <v/>
      </c>
      <c r="CW341" t="str">
        <f>""</f>
        <v/>
      </c>
      <c r="CX341" t="str">
        <f>""</f>
        <v/>
      </c>
      <c r="CY341" t="str">
        <f>""</f>
        <v/>
      </c>
      <c r="CZ341" t="str">
        <f>""</f>
        <v/>
      </c>
      <c r="DA341" t="str">
        <f>""</f>
        <v/>
      </c>
      <c r="DB341" t="str">
        <f>""</f>
        <v/>
      </c>
      <c r="DC341" t="str">
        <f>""</f>
        <v/>
      </c>
      <c r="DD341" t="str">
        <f>""</f>
        <v/>
      </c>
      <c r="DE341" t="str">
        <f>""</f>
        <v/>
      </c>
      <c r="DF341" t="str">
        <f>""</f>
        <v/>
      </c>
      <c r="DG341" t="str">
        <f>""</f>
        <v/>
      </c>
      <c r="DH341" t="str">
        <f>""</f>
        <v/>
      </c>
      <c r="DI341" t="str">
        <f>""</f>
        <v/>
      </c>
      <c r="DJ341" t="str">
        <f>""</f>
        <v/>
      </c>
      <c r="DK341" t="str">
        <f>""</f>
        <v/>
      </c>
      <c r="DL341" t="str">
        <f>""</f>
        <v/>
      </c>
      <c r="DM341" t="str">
        <f>""</f>
        <v/>
      </c>
      <c r="DN341" t="str">
        <f>""</f>
        <v/>
      </c>
      <c r="DO341" t="str">
        <f>""</f>
        <v/>
      </c>
      <c r="DP341" t="str">
        <f>""</f>
        <v/>
      </c>
      <c r="DQ341" t="str">
        <f>""</f>
        <v/>
      </c>
      <c r="DR341" t="str">
        <f>""</f>
        <v/>
      </c>
      <c r="DS341" t="str">
        <f>""</f>
        <v/>
      </c>
      <c r="DT341" t="str">
        <f>""</f>
        <v/>
      </c>
      <c r="DU341" t="str">
        <f>""</f>
        <v/>
      </c>
    </row>
    <row r="342" spans="1:125" x14ac:dyDescent="0.25">
      <c r="A342" t="str">
        <f>$A$139</f>
        <v xml:space="preserve">    Intesa Sanpaolo SpA</v>
      </c>
      <c r="B342" t="str">
        <f>$B$139</f>
        <v>ISP IM Equity</v>
      </c>
      <c r="C342" t="str">
        <f>$C$139</f>
        <v>BS016</v>
      </c>
      <c r="D342" t="str">
        <f>$D$139</f>
        <v>BS_COMM_LOAN</v>
      </c>
      <c r="E342" t="str">
        <f>$E$139</f>
        <v>Dynamic</v>
      </c>
      <c r="F342" t="str">
        <f ca="1">_xll.BDH($B$139,$C$139,$B$206,$B$207,CONCATENATE("Per=",$B$204),"Dts=H","Dir=H",CONCATENATE("Points=",$B$205),"Sort=R","Days=A","Fill=B",CONCATENATE("FX=", $B$203) )</f>
        <v/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  <c r="BT342" t="str">
        <f>""</f>
        <v/>
      </c>
      <c r="BU342" t="str">
        <f>""</f>
        <v/>
      </c>
      <c r="BV342" t="str">
        <f>""</f>
        <v/>
      </c>
      <c r="BW342" t="str">
        <f>""</f>
        <v/>
      </c>
      <c r="BX342" t="str">
        <f>""</f>
        <v/>
      </c>
      <c r="BY342" t="str">
        <f>""</f>
        <v/>
      </c>
      <c r="BZ342" t="str">
        <f>""</f>
        <v/>
      </c>
      <c r="CA342" t="str">
        <f>""</f>
        <v/>
      </c>
      <c r="CB342" t="str">
        <f>""</f>
        <v/>
      </c>
      <c r="CC342" t="str">
        <f>""</f>
        <v/>
      </c>
      <c r="CD342" t="str">
        <f>""</f>
        <v/>
      </c>
      <c r="CE342" t="str">
        <f>""</f>
        <v/>
      </c>
      <c r="CF342" t="str">
        <f>""</f>
        <v/>
      </c>
      <c r="CG342" t="str">
        <f>""</f>
        <v/>
      </c>
      <c r="CH342" t="str">
        <f>""</f>
        <v/>
      </c>
      <c r="CI342" t="str">
        <f>""</f>
        <v/>
      </c>
      <c r="CJ342" t="str">
        <f>""</f>
        <v/>
      </c>
      <c r="CK342" t="str">
        <f>""</f>
        <v/>
      </c>
      <c r="CL342" t="str">
        <f>""</f>
        <v/>
      </c>
      <c r="CM342" t="str">
        <f>""</f>
        <v/>
      </c>
      <c r="CN342" t="str">
        <f>""</f>
        <v/>
      </c>
      <c r="CO342" t="str">
        <f>""</f>
        <v/>
      </c>
      <c r="CP342" t="str">
        <f>""</f>
        <v/>
      </c>
      <c r="CQ342" t="str">
        <f>""</f>
        <v/>
      </c>
      <c r="CR342" t="str">
        <f>""</f>
        <v/>
      </c>
      <c r="CS342" t="str">
        <f>""</f>
        <v/>
      </c>
      <c r="CT342" t="str">
        <f>""</f>
        <v/>
      </c>
      <c r="CU342" t="str">
        <f>""</f>
        <v/>
      </c>
      <c r="CV342" t="str">
        <f>""</f>
        <v/>
      </c>
      <c r="CW342" t="str">
        <f>""</f>
        <v/>
      </c>
      <c r="CX342" t="str">
        <f>""</f>
        <v/>
      </c>
      <c r="CY342" t="str">
        <f>""</f>
        <v/>
      </c>
      <c r="CZ342" t="str">
        <f>""</f>
        <v/>
      </c>
      <c r="DA342" t="str">
        <f>""</f>
        <v/>
      </c>
      <c r="DB342" t="str">
        <f>""</f>
        <v/>
      </c>
      <c r="DC342" t="str">
        <f>""</f>
        <v/>
      </c>
      <c r="DD342" t="str">
        <f>""</f>
        <v/>
      </c>
      <c r="DE342" t="str">
        <f>""</f>
        <v/>
      </c>
      <c r="DF342" t="str">
        <f>""</f>
        <v/>
      </c>
      <c r="DG342" t="str">
        <f>""</f>
        <v/>
      </c>
      <c r="DH342" t="str">
        <f>""</f>
        <v/>
      </c>
      <c r="DI342" t="str">
        <f>""</f>
        <v/>
      </c>
      <c r="DJ342" t="str">
        <f>""</f>
        <v/>
      </c>
      <c r="DK342" t="str">
        <f>""</f>
        <v/>
      </c>
      <c r="DL342" t="str">
        <f>""</f>
        <v/>
      </c>
      <c r="DM342" t="str">
        <f>""</f>
        <v/>
      </c>
      <c r="DN342" t="str">
        <f>""</f>
        <v/>
      </c>
      <c r="DO342" t="str">
        <f>""</f>
        <v/>
      </c>
      <c r="DP342" t="str">
        <f>""</f>
        <v/>
      </c>
      <c r="DQ342" t="str">
        <f>""</f>
        <v/>
      </c>
      <c r="DR342" t="str">
        <f>""</f>
        <v/>
      </c>
      <c r="DS342" t="str">
        <f>""</f>
        <v/>
      </c>
      <c r="DT342" t="str">
        <f>""</f>
        <v/>
      </c>
      <c r="DU342" t="str">
        <f>""</f>
        <v/>
      </c>
    </row>
    <row r="343" spans="1:125" x14ac:dyDescent="0.25">
      <c r="A343" t="str">
        <f>$A$140</f>
        <v xml:space="preserve">    Jyske Bank A/S</v>
      </c>
      <c r="B343" t="str">
        <f>$B$140</f>
        <v>JYSK DC Equity</v>
      </c>
      <c r="C343" t="str">
        <f>$C$140</f>
        <v>BS016</v>
      </c>
      <c r="D343" t="str">
        <f>$D$140</f>
        <v>BS_COMM_LOAN</v>
      </c>
      <c r="E343" t="str">
        <f>$E$140</f>
        <v>Dynamic</v>
      </c>
      <c r="F343">
        <f ca="1">_xll.BDH($B$140,$C$140,$B$206,$B$207,CONCATENATE("Per=",$B$204),"Dts=H","Dir=H",CONCATENATE("Points=",$B$205),"Sort=R","Days=A","Fill=B",CONCATENATE("FX=", $B$203),"cols=60;rows=1")</f>
        <v>22897.072100000001</v>
      </c>
      <c r="G343">
        <v>22258.855599999999</v>
      </c>
      <c r="H343">
        <v>22178.106</v>
      </c>
      <c r="K343">
        <v>22782.110400000001</v>
      </c>
      <c r="L343">
        <v>23156.104299999999</v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  <c r="BT343" t="str">
        <f>""</f>
        <v/>
      </c>
      <c r="BU343" t="str">
        <f>""</f>
        <v/>
      </c>
      <c r="BV343" t="str">
        <f>""</f>
        <v/>
      </c>
      <c r="BW343" t="str">
        <f>""</f>
        <v/>
      </c>
      <c r="BX343" t="str">
        <f>""</f>
        <v/>
      </c>
      <c r="BY343" t="str">
        <f>""</f>
        <v/>
      </c>
      <c r="BZ343" t="str">
        <f>""</f>
        <v/>
      </c>
      <c r="CA343" t="str">
        <f>""</f>
        <v/>
      </c>
      <c r="CB343" t="str">
        <f>""</f>
        <v/>
      </c>
      <c r="CC343" t="str">
        <f>""</f>
        <v/>
      </c>
      <c r="CD343" t="str">
        <f>""</f>
        <v/>
      </c>
      <c r="CE343" t="str">
        <f>""</f>
        <v/>
      </c>
      <c r="CF343" t="str">
        <f>""</f>
        <v/>
      </c>
      <c r="CG343" t="str">
        <f>""</f>
        <v/>
      </c>
      <c r="CH343" t="str">
        <f>""</f>
        <v/>
      </c>
      <c r="CI343" t="str">
        <f>""</f>
        <v/>
      </c>
      <c r="CJ343" t="str">
        <f>""</f>
        <v/>
      </c>
      <c r="CK343" t="str">
        <f>""</f>
        <v/>
      </c>
      <c r="CL343" t="str">
        <f>""</f>
        <v/>
      </c>
      <c r="CM343" t="str">
        <f>""</f>
        <v/>
      </c>
      <c r="CN343" t="str">
        <f>""</f>
        <v/>
      </c>
      <c r="CO343" t="str">
        <f>""</f>
        <v/>
      </c>
      <c r="CP343" t="str">
        <f>""</f>
        <v/>
      </c>
      <c r="CQ343" t="str">
        <f>""</f>
        <v/>
      </c>
      <c r="CR343" t="str">
        <f>""</f>
        <v/>
      </c>
      <c r="CS343" t="str">
        <f>""</f>
        <v/>
      </c>
      <c r="CT343" t="str">
        <f>""</f>
        <v/>
      </c>
      <c r="CU343" t="str">
        <f>""</f>
        <v/>
      </c>
      <c r="CV343" t="str">
        <f>""</f>
        <v/>
      </c>
      <c r="CW343" t="str">
        <f>""</f>
        <v/>
      </c>
      <c r="CX343" t="str">
        <f>""</f>
        <v/>
      </c>
      <c r="CY343" t="str">
        <f>""</f>
        <v/>
      </c>
      <c r="CZ343" t="str">
        <f>""</f>
        <v/>
      </c>
      <c r="DA343" t="str">
        <f>""</f>
        <v/>
      </c>
      <c r="DB343" t="str">
        <f>""</f>
        <v/>
      </c>
      <c r="DC343" t="str">
        <f>""</f>
        <v/>
      </c>
      <c r="DD343" t="str">
        <f>""</f>
        <v/>
      </c>
      <c r="DE343" t="str">
        <f>""</f>
        <v/>
      </c>
      <c r="DF343" t="str">
        <f>""</f>
        <v/>
      </c>
      <c r="DG343" t="str">
        <f>""</f>
        <v/>
      </c>
      <c r="DH343" t="str">
        <f>""</f>
        <v/>
      </c>
      <c r="DI343" t="str">
        <f>""</f>
        <v/>
      </c>
      <c r="DJ343" t="str">
        <f>""</f>
        <v/>
      </c>
      <c r="DK343" t="str">
        <f>""</f>
        <v/>
      </c>
      <c r="DL343" t="str">
        <f>""</f>
        <v/>
      </c>
      <c r="DM343" t="str">
        <f>""</f>
        <v/>
      </c>
      <c r="DN343" t="str">
        <f>""</f>
        <v/>
      </c>
      <c r="DO343" t="str">
        <f>""</f>
        <v/>
      </c>
      <c r="DP343" t="str">
        <f>""</f>
        <v/>
      </c>
      <c r="DQ343" t="str">
        <f>""</f>
        <v/>
      </c>
      <c r="DR343" t="str">
        <f>""</f>
        <v/>
      </c>
      <c r="DS343" t="str">
        <f>""</f>
        <v/>
      </c>
      <c r="DT343" t="str">
        <f>""</f>
        <v/>
      </c>
      <c r="DU343" t="str">
        <f>""</f>
        <v/>
      </c>
    </row>
    <row r="344" spans="1:125" x14ac:dyDescent="0.25">
      <c r="A344" t="str">
        <f>$A$141</f>
        <v xml:space="preserve">    KBC Group NV</v>
      </c>
      <c r="B344" t="str">
        <f>$B$141</f>
        <v>KBC BB Equity</v>
      </c>
      <c r="C344" t="str">
        <f>$C$141</f>
        <v>BS016</v>
      </c>
      <c r="D344" t="str">
        <f>$D$141</f>
        <v>BS_COMM_LOAN</v>
      </c>
      <c r="E344" t="str">
        <f>$E$141</f>
        <v>Dynamic</v>
      </c>
      <c r="F344" t="str">
        <f ca="1">_xll.BDH($B$141,$C$141,$B$206,$B$207,CONCATENATE("Per=",$B$204),"Dts=H","Dir=H",CONCATENATE("Points=",$B$205),"Sort=R","Days=A","Fill=B",CONCATENATE("FX=", $B$203) )</f>
        <v/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  <c r="BT344" t="str">
        <f>""</f>
        <v/>
      </c>
      <c r="BU344" t="str">
        <f>""</f>
        <v/>
      </c>
      <c r="BV344" t="str">
        <f>""</f>
        <v/>
      </c>
      <c r="BW344" t="str">
        <f>""</f>
        <v/>
      </c>
      <c r="BX344" t="str">
        <f>""</f>
        <v/>
      </c>
      <c r="BY344" t="str">
        <f>""</f>
        <v/>
      </c>
      <c r="BZ344" t="str">
        <f>""</f>
        <v/>
      </c>
      <c r="CA344" t="str">
        <f>""</f>
        <v/>
      </c>
      <c r="CB344" t="str">
        <f>""</f>
        <v/>
      </c>
      <c r="CC344" t="str">
        <f>""</f>
        <v/>
      </c>
      <c r="CD344" t="str">
        <f>""</f>
        <v/>
      </c>
      <c r="CE344" t="str">
        <f>""</f>
        <v/>
      </c>
      <c r="CF344" t="str">
        <f>""</f>
        <v/>
      </c>
      <c r="CG344" t="str">
        <f>""</f>
        <v/>
      </c>
      <c r="CH344" t="str">
        <f>""</f>
        <v/>
      </c>
      <c r="CI344" t="str">
        <f>""</f>
        <v/>
      </c>
      <c r="CJ344" t="str">
        <f>""</f>
        <v/>
      </c>
      <c r="CK344" t="str">
        <f>""</f>
        <v/>
      </c>
      <c r="CL344" t="str">
        <f>""</f>
        <v/>
      </c>
      <c r="CM344" t="str">
        <f>""</f>
        <v/>
      </c>
      <c r="CN344" t="str">
        <f>""</f>
        <v/>
      </c>
      <c r="CO344" t="str">
        <f>""</f>
        <v/>
      </c>
      <c r="CP344" t="str">
        <f>""</f>
        <v/>
      </c>
      <c r="CQ344" t="str">
        <f>""</f>
        <v/>
      </c>
      <c r="CR344" t="str">
        <f>""</f>
        <v/>
      </c>
      <c r="CS344" t="str">
        <f>""</f>
        <v/>
      </c>
      <c r="CT344" t="str">
        <f>""</f>
        <v/>
      </c>
      <c r="CU344" t="str">
        <f>""</f>
        <v/>
      </c>
      <c r="CV344" t="str">
        <f>""</f>
        <v/>
      </c>
      <c r="CW344" t="str">
        <f>""</f>
        <v/>
      </c>
      <c r="CX344" t="str">
        <f>""</f>
        <v/>
      </c>
      <c r="CY344" t="str">
        <f>""</f>
        <v/>
      </c>
      <c r="CZ344" t="str">
        <f>""</f>
        <v/>
      </c>
      <c r="DA344" t="str">
        <f>""</f>
        <v/>
      </c>
      <c r="DB344" t="str">
        <f>""</f>
        <v/>
      </c>
      <c r="DC344" t="str">
        <f>""</f>
        <v/>
      </c>
      <c r="DD344" t="str">
        <f>""</f>
        <v/>
      </c>
      <c r="DE344" t="str">
        <f>""</f>
        <v/>
      </c>
      <c r="DF344" t="str">
        <f>""</f>
        <v/>
      </c>
      <c r="DG344" t="str">
        <f>""</f>
        <v/>
      </c>
      <c r="DH344" t="str">
        <f>""</f>
        <v/>
      </c>
      <c r="DI344" t="str">
        <f>""</f>
        <v/>
      </c>
      <c r="DJ344" t="str">
        <f>""</f>
        <v/>
      </c>
      <c r="DK344" t="str">
        <f>""</f>
        <v/>
      </c>
      <c r="DL344" t="str">
        <f>""</f>
        <v/>
      </c>
      <c r="DM344" t="str">
        <f>""</f>
        <v/>
      </c>
      <c r="DN344" t="str">
        <f>""</f>
        <v/>
      </c>
      <c r="DO344" t="str">
        <f>""</f>
        <v/>
      </c>
      <c r="DP344" t="str">
        <f>""</f>
        <v/>
      </c>
      <c r="DQ344" t="str">
        <f>""</f>
        <v/>
      </c>
      <c r="DR344" t="str">
        <f>""</f>
        <v/>
      </c>
      <c r="DS344" t="str">
        <f>""</f>
        <v/>
      </c>
      <c r="DT344" t="str">
        <f>""</f>
        <v/>
      </c>
      <c r="DU344" t="str">
        <f>""</f>
        <v/>
      </c>
    </row>
    <row r="345" spans="1:125" x14ac:dyDescent="0.25">
      <c r="A345" t="str">
        <f>$A$142</f>
        <v xml:space="preserve">    Komercni Banka AS</v>
      </c>
      <c r="B345" t="str">
        <f>$B$142</f>
        <v>KOMB CP Equity</v>
      </c>
      <c r="C345" t="str">
        <f>$C$142</f>
        <v>BS016</v>
      </c>
      <c r="D345" t="str">
        <f>$D$142</f>
        <v>BS_COMM_LOAN</v>
      </c>
      <c r="E345" t="str">
        <f>$E$142</f>
        <v>Dynamic</v>
      </c>
      <c r="F345">
        <f ca="1">_xll.BDH($B$142,$C$142,$B$206,$B$207,CONCATENATE("Per=",$B$204),"Dts=H","Dir=H",CONCATENATE("Points=",$B$205),"Sort=R","Days=A","Fill=B",CONCATENATE("FX=", $B$203),"cols=60;rows=1")</f>
        <v>15620.1307</v>
      </c>
      <c r="G345">
        <v>16605.492600000001</v>
      </c>
      <c r="H345">
        <v>15239.8181</v>
      </c>
      <c r="I345">
        <v>16403.2991</v>
      </c>
      <c r="J345">
        <v>15800.439200000001</v>
      </c>
      <c r="K345">
        <v>16702.631799999999</v>
      </c>
      <c r="L345">
        <v>15331.704</v>
      </c>
      <c r="M345">
        <v>16927.485499999999</v>
      </c>
      <c r="N345">
        <v>14918.3742</v>
      </c>
      <c r="O345">
        <v>16336.698700000001</v>
      </c>
      <c r="P345">
        <v>13874.3712</v>
      </c>
      <c r="Q345">
        <v>15304.648300000001</v>
      </c>
      <c r="R345">
        <v>12865.393099999999</v>
      </c>
      <c r="S345">
        <v>14238.3037</v>
      </c>
      <c r="T345">
        <v>12081.7572</v>
      </c>
      <c r="U345">
        <v>13083.7999</v>
      </c>
      <c r="V345">
        <v>11719.4853</v>
      </c>
      <c r="W345">
        <v>12902.356900000001</v>
      </c>
      <c r="X345">
        <v>11703.838100000001</v>
      </c>
      <c r="Y345">
        <v>12420.585300000001</v>
      </c>
      <c r="Z345">
        <v>11493.3969</v>
      </c>
      <c r="AA345">
        <v>12918.939</v>
      </c>
      <c r="AB345">
        <v>11636.2415</v>
      </c>
      <c r="AC345">
        <v>12497.4807</v>
      </c>
      <c r="AD345">
        <v>11176.5352</v>
      </c>
      <c r="AE345">
        <v>12410.313700000001</v>
      </c>
      <c r="AF345">
        <v>11278.972</v>
      </c>
      <c r="AG345">
        <v>12195.096299999999</v>
      </c>
      <c r="AH345">
        <v>11218.507600000001</v>
      </c>
      <c r="AI345">
        <v>11884.4211</v>
      </c>
      <c r="AJ345">
        <v>11570.004000000001</v>
      </c>
      <c r="AK345">
        <v>11446.767400000001</v>
      </c>
      <c r="AL345">
        <v>10593.156499999999</v>
      </c>
      <c r="AM345">
        <v>11753.004800000001</v>
      </c>
      <c r="AN345">
        <v>10212.638000000001</v>
      </c>
      <c r="AO345">
        <v>10702.9357</v>
      </c>
      <c r="AP345">
        <v>9693.4964</v>
      </c>
      <c r="AQ345">
        <v>10533.438</v>
      </c>
      <c r="AR345">
        <v>8931.7957000000006</v>
      </c>
      <c r="AS345">
        <v>10057.2143</v>
      </c>
      <c r="AT345">
        <v>9018.2302</v>
      </c>
      <c r="AV345">
        <v>8589.9028999999991</v>
      </c>
      <c r="AW345">
        <v>9519.6250999999993</v>
      </c>
      <c r="AX345">
        <v>8664.5403999999999</v>
      </c>
      <c r="BB345">
        <v>8942.8467000000001</v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  <c r="BT345" t="str">
        <f>""</f>
        <v/>
      </c>
      <c r="BU345" t="str">
        <f>""</f>
        <v/>
      </c>
      <c r="BV345" t="str">
        <f>""</f>
        <v/>
      </c>
      <c r="BW345" t="str">
        <f>""</f>
        <v/>
      </c>
      <c r="BX345" t="str">
        <f>""</f>
        <v/>
      </c>
      <c r="BY345" t="str">
        <f>""</f>
        <v/>
      </c>
      <c r="BZ345" t="str">
        <f>""</f>
        <v/>
      </c>
      <c r="CA345" t="str">
        <f>""</f>
        <v/>
      </c>
      <c r="CB345" t="str">
        <f>""</f>
        <v/>
      </c>
      <c r="CC345" t="str">
        <f>""</f>
        <v/>
      </c>
      <c r="CD345" t="str">
        <f>""</f>
        <v/>
      </c>
      <c r="CE345" t="str">
        <f>""</f>
        <v/>
      </c>
      <c r="CF345" t="str">
        <f>""</f>
        <v/>
      </c>
      <c r="CG345" t="str">
        <f>""</f>
        <v/>
      </c>
      <c r="CH345" t="str">
        <f>""</f>
        <v/>
      </c>
      <c r="CI345" t="str">
        <f>""</f>
        <v/>
      </c>
      <c r="CJ345" t="str">
        <f>""</f>
        <v/>
      </c>
      <c r="CK345" t="str">
        <f>""</f>
        <v/>
      </c>
      <c r="CL345" t="str">
        <f>""</f>
        <v/>
      </c>
      <c r="CM345" t="str">
        <f>""</f>
        <v/>
      </c>
      <c r="CN345" t="str">
        <f>""</f>
        <v/>
      </c>
      <c r="CO345" t="str">
        <f>""</f>
        <v/>
      </c>
      <c r="CP345" t="str">
        <f>""</f>
        <v/>
      </c>
      <c r="CQ345" t="str">
        <f>""</f>
        <v/>
      </c>
      <c r="CR345" t="str">
        <f>""</f>
        <v/>
      </c>
      <c r="CS345" t="str">
        <f>""</f>
        <v/>
      </c>
      <c r="CT345" t="str">
        <f>""</f>
        <v/>
      </c>
      <c r="CU345" t="str">
        <f>""</f>
        <v/>
      </c>
      <c r="CV345" t="str">
        <f>""</f>
        <v/>
      </c>
      <c r="CW345" t="str">
        <f>""</f>
        <v/>
      </c>
      <c r="CX345" t="str">
        <f>""</f>
        <v/>
      </c>
      <c r="CY345" t="str">
        <f>""</f>
        <v/>
      </c>
      <c r="CZ345" t="str">
        <f>""</f>
        <v/>
      </c>
      <c r="DA345" t="str">
        <f>""</f>
        <v/>
      </c>
      <c r="DB345" t="str">
        <f>""</f>
        <v/>
      </c>
      <c r="DC345" t="str">
        <f>""</f>
        <v/>
      </c>
      <c r="DD345" t="str">
        <f>""</f>
        <v/>
      </c>
      <c r="DE345" t="str">
        <f>""</f>
        <v/>
      </c>
      <c r="DF345" t="str">
        <f>""</f>
        <v/>
      </c>
      <c r="DG345" t="str">
        <f>""</f>
        <v/>
      </c>
      <c r="DH345" t="str">
        <f>""</f>
        <v/>
      </c>
      <c r="DI345" t="str">
        <f>""</f>
        <v/>
      </c>
      <c r="DJ345" t="str">
        <f>""</f>
        <v/>
      </c>
      <c r="DK345" t="str">
        <f>""</f>
        <v/>
      </c>
      <c r="DL345" t="str">
        <f>""</f>
        <v/>
      </c>
      <c r="DM345" t="str">
        <f>""</f>
        <v/>
      </c>
      <c r="DN345" t="str">
        <f>""</f>
        <v/>
      </c>
      <c r="DO345" t="str">
        <f>""</f>
        <v/>
      </c>
      <c r="DP345" t="str">
        <f>""</f>
        <v/>
      </c>
      <c r="DQ345" t="str">
        <f>""</f>
        <v/>
      </c>
      <c r="DR345" t="str">
        <f>""</f>
        <v/>
      </c>
      <c r="DS345" t="str">
        <f>""</f>
        <v/>
      </c>
      <c r="DT345" t="str">
        <f>""</f>
        <v/>
      </c>
      <c r="DU345" t="str">
        <f>""</f>
        <v/>
      </c>
    </row>
    <row r="346" spans="1:125" x14ac:dyDescent="0.25">
      <c r="A346" t="str">
        <f>$A$143</f>
        <v xml:space="preserve">    Lloyds Banking Group PLC</v>
      </c>
      <c r="B346" t="str">
        <f>$B$143</f>
        <v>LLOY LN Equity</v>
      </c>
      <c r="C346" t="str">
        <f>$C$143</f>
        <v>BS016</v>
      </c>
      <c r="D346" t="str">
        <f>$D$143</f>
        <v>BS_COMM_LOAN</v>
      </c>
      <c r="E346" t="str">
        <f>$E$143</f>
        <v>Dynamic</v>
      </c>
      <c r="F346">
        <f ca="1">_xll.BDH($B$143,$C$143,$B$206,$B$207,CONCATENATE("Per=",$B$204),"Dts=H","Dir=H",CONCATENATE("Points=",$B$205),"Sort=R","Days=A","Fill=B",CONCATENATE("FX=", $B$203),"cols=60;rows=1")</f>
        <v>33317.064299999998</v>
      </c>
      <c r="G346">
        <v>19135.238099999999</v>
      </c>
      <c r="J346">
        <v>32817.659699999997</v>
      </c>
      <c r="K346">
        <v>17705.508000000002</v>
      </c>
      <c r="N346">
        <v>34849.378400000001</v>
      </c>
      <c r="R346">
        <v>37706.8505</v>
      </c>
      <c r="V346">
        <v>37454.547400000003</v>
      </c>
      <c r="Z346">
        <v>38249.976999999999</v>
      </c>
      <c r="AD346">
        <v>39943.105799999998</v>
      </c>
      <c r="AF346">
        <v>40200.062700000002</v>
      </c>
      <c r="AH346">
        <v>74738.605200000005</v>
      </c>
      <c r="AJ346">
        <v>74088.498399999997</v>
      </c>
      <c r="AL346">
        <v>78329.358600000007</v>
      </c>
      <c r="AN346">
        <v>81229.205100000006</v>
      </c>
      <c r="AP346">
        <v>90619.659499999994</v>
      </c>
      <c r="AR346">
        <v>102954.8305</v>
      </c>
      <c r="AT346">
        <v>96136.057700000005</v>
      </c>
      <c r="AV346">
        <v>106731.9705</v>
      </c>
      <c r="AX346">
        <v>110179.6983</v>
      </c>
      <c r="AZ346">
        <v>115922.09149999999</v>
      </c>
      <c r="BB346">
        <v>127828.98299999999</v>
      </c>
      <c r="BD346">
        <v>144807.174</v>
      </c>
      <c r="BF346">
        <v>151533.4608</v>
      </c>
      <c r="BH346">
        <v>149274.7211</v>
      </c>
      <c r="BJ346">
        <v>164439.2078</v>
      </c>
      <c r="BL346">
        <v>179873.4007</v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  <c r="BT346" t="str">
        <f>""</f>
        <v/>
      </c>
      <c r="BU346" t="str">
        <f>""</f>
        <v/>
      </c>
      <c r="BV346" t="str">
        <f>""</f>
        <v/>
      </c>
      <c r="BW346" t="str">
        <f>""</f>
        <v/>
      </c>
      <c r="BX346" t="str">
        <f>""</f>
        <v/>
      </c>
      <c r="BY346" t="str">
        <f>""</f>
        <v/>
      </c>
      <c r="BZ346" t="str">
        <f>""</f>
        <v/>
      </c>
      <c r="CA346" t="str">
        <f>""</f>
        <v/>
      </c>
      <c r="CB346" t="str">
        <f>""</f>
        <v/>
      </c>
      <c r="CC346" t="str">
        <f>""</f>
        <v/>
      </c>
      <c r="CD346" t="str">
        <f>""</f>
        <v/>
      </c>
      <c r="CE346" t="str">
        <f>""</f>
        <v/>
      </c>
      <c r="CF346" t="str">
        <f>""</f>
        <v/>
      </c>
      <c r="CG346" t="str">
        <f>""</f>
        <v/>
      </c>
      <c r="CH346" t="str">
        <f>""</f>
        <v/>
      </c>
      <c r="CI346" t="str">
        <f>""</f>
        <v/>
      </c>
      <c r="CJ346" t="str">
        <f>""</f>
        <v/>
      </c>
      <c r="CK346" t="str">
        <f>""</f>
        <v/>
      </c>
      <c r="CL346" t="str">
        <f>""</f>
        <v/>
      </c>
      <c r="CM346" t="str">
        <f>""</f>
        <v/>
      </c>
      <c r="CN346" t="str">
        <f>""</f>
        <v/>
      </c>
      <c r="CO346" t="str">
        <f>""</f>
        <v/>
      </c>
      <c r="CP346" t="str">
        <f>""</f>
        <v/>
      </c>
      <c r="CQ346" t="str">
        <f>""</f>
        <v/>
      </c>
      <c r="CR346" t="str">
        <f>""</f>
        <v/>
      </c>
      <c r="CS346" t="str">
        <f>""</f>
        <v/>
      </c>
      <c r="CT346" t="str">
        <f>""</f>
        <v/>
      </c>
      <c r="CU346" t="str">
        <f>""</f>
        <v/>
      </c>
      <c r="CV346" t="str">
        <f>""</f>
        <v/>
      </c>
      <c r="CW346" t="str">
        <f>""</f>
        <v/>
      </c>
      <c r="CX346" t="str">
        <f>""</f>
        <v/>
      </c>
      <c r="CY346" t="str">
        <f>""</f>
        <v/>
      </c>
      <c r="CZ346" t="str">
        <f>""</f>
        <v/>
      </c>
      <c r="DA346" t="str">
        <f>""</f>
        <v/>
      </c>
      <c r="DB346" t="str">
        <f>""</f>
        <v/>
      </c>
      <c r="DC346" t="str">
        <f>""</f>
        <v/>
      </c>
      <c r="DD346" t="str">
        <f>""</f>
        <v/>
      </c>
      <c r="DE346" t="str">
        <f>""</f>
        <v/>
      </c>
      <c r="DF346" t="str">
        <f>""</f>
        <v/>
      </c>
      <c r="DG346" t="str">
        <f>""</f>
        <v/>
      </c>
      <c r="DH346" t="str">
        <f>""</f>
        <v/>
      </c>
      <c r="DI346" t="str">
        <f>""</f>
        <v/>
      </c>
      <c r="DJ346" t="str">
        <f>""</f>
        <v/>
      </c>
      <c r="DK346" t="str">
        <f>""</f>
        <v/>
      </c>
      <c r="DL346" t="str">
        <f>""</f>
        <v/>
      </c>
      <c r="DM346" t="str">
        <f>""</f>
        <v/>
      </c>
      <c r="DN346" t="str">
        <f>""</f>
        <v/>
      </c>
      <c r="DO346" t="str">
        <f>""</f>
        <v/>
      </c>
      <c r="DP346" t="str">
        <f>""</f>
        <v/>
      </c>
      <c r="DQ346" t="str">
        <f>""</f>
        <v/>
      </c>
      <c r="DR346" t="str">
        <f>""</f>
        <v/>
      </c>
      <c r="DS346" t="str">
        <f>""</f>
        <v/>
      </c>
      <c r="DT346" t="str">
        <f>""</f>
        <v/>
      </c>
      <c r="DU346" t="str">
        <f>""</f>
        <v/>
      </c>
    </row>
    <row r="347" spans="1:125" x14ac:dyDescent="0.25">
      <c r="A347" t="str">
        <f>$A$144</f>
        <v xml:space="preserve">    Mediobanca Banca di Credito Finanziario SpA</v>
      </c>
      <c r="B347" t="str">
        <f>$B$144</f>
        <v>MB IM Equity</v>
      </c>
      <c r="C347" t="str">
        <f>$C$144</f>
        <v>BS016</v>
      </c>
      <c r="D347" t="str">
        <f>$D$144</f>
        <v>BS_COMM_LOAN</v>
      </c>
      <c r="E347" t="str">
        <f>$E$144</f>
        <v>Dynamic</v>
      </c>
      <c r="F347" t="str">
        <f ca="1">_xll.BDH($B$144,$C$144,$B$206,$B$207,CONCATENATE("Per=",$B$204),"Dts=H","Dir=H",CONCATENATE("Points=",$B$205),"Sort=R","Days=A","Fill=B",CONCATENATE("FX=", $B$203) )</f>
        <v/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  <c r="BT347" t="str">
        <f>""</f>
        <v/>
      </c>
      <c r="BU347" t="str">
        <f>""</f>
        <v/>
      </c>
      <c r="BV347" t="str">
        <f>""</f>
        <v/>
      </c>
      <c r="BW347" t="str">
        <f>""</f>
        <v/>
      </c>
      <c r="BX347" t="str">
        <f>""</f>
        <v/>
      </c>
      <c r="BY347" t="str">
        <f>""</f>
        <v/>
      </c>
      <c r="BZ347" t="str">
        <f>""</f>
        <v/>
      </c>
      <c r="CA347" t="str">
        <f>""</f>
        <v/>
      </c>
      <c r="CB347" t="str">
        <f>""</f>
        <v/>
      </c>
      <c r="CC347" t="str">
        <f>""</f>
        <v/>
      </c>
      <c r="CD347" t="str">
        <f>""</f>
        <v/>
      </c>
      <c r="CE347" t="str">
        <f>""</f>
        <v/>
      </c>
      <c r="CF347" t="str">
        <f>""</f>
        <v/>
      </c>
      <c r="CG347" t="str">
        <f>""</f>
        <v/>
      </c>
      <c r="CH347" t="str">
        <f>""</f>
        <v/>
      </c>
      <c r="CI347" t="str">
        <f>""</f>
        <v/>
      </c>
      <c r="CJ347" t="str">
        <f>""</f>
        <v/>
      </c>
      <c r="CK347" t="str">
        <f>""</f>
        <v/>
      </c>
      <c r="CL347" t="str">
        <f>""</f>
        <v/>
      </c>
      <c r="CM347" t="str">
        <f>""</f>
        <v/>
      </c>
      <c r="CN347" t="str">
        <f>""</f>
        <v/>
      </c>
      <c r="CO347" t="str">
        <f>""</f>
        <v/>
      </c>
      <c r="CP347" t="str">
        <f>""</f>
        <v/>
      </c>
      <c r="CQ347" t="str">
        <f>""</f>
        <v/>
      </c>
      <c r="CR347" t="str">
        <f>""</f>
        <v/>
      </c>
      <c r="CS347" t="str">
        <f>""</f>
        <v/>
      </c>
      <c r="CT347" t="str">
        <f>""</f>
        <v/>
      </c>
      <c r="CU347" t="str">
        <f>""</f>
        <v/>
      </c>
      <c r="CV347" t="str">
        <f>""</f>
        <v/>
      </c>
      <c r="CW347" t="str">
        <f>""</f>
        <v/>
      </c>
      <c r="CX347" t="str">
        <f>""</f>
        <v/>
      </c>
      <c r="CY347" t="str">
        <f>""</f>
        <v/>
      </c>
      <c r="CZ347" t="str">
        <f>""</f>
        <v/>
      </c>
      <c r="DA347" t="str">
        <f>""</f>
        <v/>
      </c>
      <c r="DB347" t="str">
        <f>""</f>
        <v/>
      </c>
      <c r="DC347" t="str">
        <f>""</f>
        <v/>
      </c>
      <c r="DD347" t="str">
        <f>""</f>
        <v/>
      </c>
      <c r="DE347" t="str">
        <f>""</f>
        <v/>
      </c>
      <c r="DF347" t="str">
        <f>""</f>
        <v/>
      </c>
      <c r="DG347" t="str">
        <f>""</f>
        <v/>
      </c>
      <c r="DH347" t="str">
        <f>""</f>
        <v/>
      </c>
      <c r="DI347" t="str">
        <f>""</f>
        <v/>
      </c>
      <c r="DJ347" t="str">
        <f>""</f>
        <v/>
      </c>
      <c r="DK347" t="str">
        <f>""</f>
        <v/>
      </c>
      <c r="DL347" t="str">
        <f>""</f>
        <v/>
      </c>
      <c r="DM347" t="str">
        <f>""</f>
        <v/>
      </c>
      <c r="DN347" t="str">
        <f>""</f>
        <v/>
      </c>
      <c r="DO347" t="str">
        <f>""</f>
        <v/>
      </c>
      <c r="DP347" t="str">
        <f>""</f>
        <v/>
      </c>
      <c r="DQ347" t="str">
        <f>""</f>
        <v/>
      </c>
      <c r="DR347" t="str">
        <f>""</f>
        <v/>
      </c>
      <c r="DS347" t="str">
        <f>""</f>
        <v/>
      </c>
      <c r="DT347" t="str">
        <f>""</f>
        <v/>
      </c>
      <c r="DU347" t="str">
        <f>""</f>
        <v/>
      </c>
    </row>
    <row r="348" spans="1:125" x14ac:dyDescent="0.25">
      <c r="A348" t="str">
        <f>$A$145</f>
        <v xml:space="preserve">    NatWest Group PLC</v>
      </c>
      <c r="B348" t="str">
        <f>$B$145</f>
        <v>NWG LN Equity</v>
      </c>
      <c r="C348" t="str">
        <f>$C$145</f>
        <v>BS016</v>
      </c>
      <c r="D348" t="str">
        <f>$D$145</f>
        <v>BS_COMM_LOAN</v>
      </c>
      <c r="E348" t="str">
        <f>$E$145</f>
        <v>Dynamic</v>
      </c>
      <c r="F348" t="str">
        <f ca="1">_xll.BDH($B$145,$C$145,$B$206,$B$207,CONCATENATE("Per=",$B$204),"Dts=H","Dir=H",CONCATENATE("Points=",$B$205),"Sort=R","Days=A","Fill=B",CONCATENATE("FX=", $B$203),"cols=60;rows=1")</f>
        <v/>
      </c>
      <c r="AX348">
        <v>234970.73120000001</v>
      </c>
      <c r="AY348">
        <v>244159.86139999999</v>
      </c>
      <c r="BE348">
        <v>311835.29499999998</v>
      </c>
      <c r="BF348">
        <v>326222.72019999998</v>
      </c>
      <c r="BG348">
        <v>344002.35560000001</v>
      </c>
      <c r="BH348">
        <v>331739.81140000001</v>
      </c>
      <c r="BI348">
        <v>344854.11810000002</v>
      </c>
      <c r="BJ348">
        <v>381748.53950000001</v>
      </c>
      <c r="BK348">
        <v>403450.91450000001</v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  <c r="BT348" t="str">
        <f>""</f>
        <v/>
      </c>
      <c r="BU348" t="str">
        <f>""</f>
        <v/>
      </c>
      <c r="BV348" t="str">
        <f>""</f>
        <v/>
      </c>
      <c r="BW348" t="str">
        <f>""</f>
        <v/>
      </c>
      <c r="BX348" t="str">
        <f>""</f>
        <v/>
      </c>
      <c r="BY348" t="str">
        <f>""</f>
        <v/>
      </c>
      <c r="BZ348" t="str">
        <f>""</f>
        <v/>
      </c>
      <c r="CA348" t="str">
        <f>""</f>
        <v/>
      </c>
      <c r="CB348" t="str">
        <f>""</f>
        <v/>
      </c>
      <c r="CC348" t="str">
        <f>""</f>
        <v/>
      </c>
      <c r="CD348" t="str">
        <f>""</f>
        <v/>
      </c>
      <c r="CE348" t="str">
        <f>""</f>
        <v/>
      </c>
      <c r="CF348" t="str">
        <f>""</f>
        <v/>
      </c>
      <c r="CG348" t="str">
        <f>""</f>
        <v/>
      </c>
      <c r="CH348" t="str">
        <f>""</f>
        <v/>
      </c>
      <c r="CI348" t="str">
        <f>""</f>
        <v/>
      </c>
      <c r="CJ348" t="str">
        <f>""</f>
        <v/>
      </c>
      <c r="CK348" t="str">
        <f>""</f>
        <v/>
      </c>
      <c r="CL348" t="str">
        <f>""</f>
        <v/>
      </c>
      <c r="CM348" t="str">
        <f>""</f>
        <v/>
      </c>
      <c r="CN348" t="str">
        <f>""</f>
        <v/>
      </c>
      <c r="CO348" t="str">
        <f>""</f>
        <v/>
      </c>
      <c r="CP348" t="str">
        <f>""</f>
        <v/>
      </c>
      <c r="CQ348" t="str">
        <f>""</f>
        <v/>
      </c>
      <c r="CR348" t="str">
        <f>""</f>
        <v/>
      </c>
      <c r="CS348" t="str">
        <f>""</f>
        <v/>
      </c>
      <c r="CT348" t="str">
        <f>""</f>
        <v/>
      </c>
      <c r="CU348" t="str">
        <f>""</f>
        <v/>
      </c>
      <c r="CV348" t="str">
        <f>""</f>
        <v/>
      </c>
      <c r="CW348" t="str">
        <f>""</f>
        <v/>
      </c>
      <c r="CX348" t="str">
        <f>""</f>
        <v/>
      </c>
      <c r="CY348" t="str">
        <f>""</f>
        <v/>
      </c>
      <c r="CZ348" t="str">
        <f>""</f>
        <v/>
      </c>
      <c r="DA348" t="str">
        <f>""</f>
        <v/>
      </c>
      <c r="DB348" t="str">
        <f>""</f>
        <v/>
      </c>
      <c r="DC348" t="str">
        <f>""</f>
        <v/>
      </c>
      <c r="DD348" t="str">
        <f>""</f>
        <v/>
      </c>
      <c r="DE348" t="str">
        <f>""</f>
        <v/>
      </c>
      <c r="DF348" t="str">
        <f>""</f>
        <v/>
      </c>
      <c r="DG348" t="str">
        <f>""</f>
        <v/>
      </c>
      <c r="DH348" t="str">
        <f>""</f>
        <v/>
      </c>
      <c r="DI348" t="str">
        <f>""</f>
        <v/>
      </c>
      <c r="DJ348" t="str">
        <f>""</f>
        <v/>
      </c>
      <c r="DK348" t="str">
        <f>""</f>
        <v/>
      </c>
      <c r="DL348" t="str">
        <f>""</f>
        <v/>
      </c>
      <c r="DM348" t="str">
        <f>""</f>
        <v/>
      </c>
      <c r="DN348" t="str">
        <f>""</f>
        <v/>
      </c>
      <c r="DO348" t="str">
        <f>""</f>
        <v/>
      </c>
      <c r="DP348" t="str">
        <f>""</f>
        <v/>
      </c>
      <c r="DQ348" t="str">
        <f>""</f>
        <v/>
      </c>
      <c r="DR348" t="str">
        <f>""</f>
        <v/>
      </c>
      <c r="DS348" t="str">
        <f>""</f>
        <v/>
      </c>
      <c r="DT348" t="str">
        <f>""</f>
        <v/>
      </c>
      <c r="DU348" t="str">
        <f>""</f>
        <v/>
      </c>
    </row>
    <row r="349" spans="1:125" x14ac:dyDescent="0.25">
      <c r="A349" t="str">
        <f>$A$146</f>
        <v xml:space="preserve">    Nordea Bank Abp</v>
      </c>
      <c r="B349" t="str">
        <f>$B$146</f>
        <v>NDA FH Equity</v>
      </c>
      <c r="C349" t="str">
        <f>$C$146</f>
        <v>BS016</v>
      </c>
      <c r="D349" t="str">
        <f>$D$146</f>
        <v>BS_COMM_LOAN</v>
      </c>
      <c r="E349" t="str">
        <f>$E$146</f>
        <v>Dynamic</v>
      </c>
      <c r="F349">
        <f ca="1">_xll.BDH($B$146,$C$146,$B$206,$B$207,CONCATENATE("Per=",$B$204),"Dts=H","Dir=H",CONCATENATE("Points=",$B$205),"Sort=R","Days=A","Fill=B",CONCATENATE("FX=", $B$203),"cols=60;rows=1")</f>
        <v>122441</v>
      </c>
      <c r="G349">
        <v>122714</v>
      </c>
      <c r="H349">
        <v>123126</v>
      </c>
      <c r="I349">
        <v>123818</v>
      </c>
      <c r="J349">
        <v>123401</v>
      </c>
      <c r="K349">
        <v>124235</v>
      </c>
      <c r="L349">
        <v>122180</v>
      </c>
      <c r="M349">
        <v>121559</v>
      </c>
      <c r="N349">
        <v>124258</v>
      </c>
      <c r="O349">
        <v>126480</v>
      </c>
      <c r="P349">
        <v>124194</v>
      </c>
      <c r="R349">
        <v>118512</v>
      </c>
      <c r="S349">
        <v>114060</v>
      </c>
      <c r="T349">
        <v>136000</v>
      </c>
      <c r="U349">
        <v>113992</v>
      </c>
      <c r="V349">
        <v>136528</v>
      </c>
      <c r="W349">
        <v>107548</v>
      </c>
      <c r="X349">
        <v>134000</v>
      </c>
      <c r="Y349">
        <v>131000</v>
      </c>
      <c r="Z349">
        <v>132625</v>
      </c>
      <c r="AA349">
        <v>131000</v>
      </c>
      <c r="AB349">
        <v>132000</v>
      </c>
      <c r="AC349">
        <v>133000</v>
      </c>
      <c r="AD349">
        <v>130717</v>
      </c>
      <c r="AE349">
        <v>127000</v>
      </c>
      <c r="AF349">
        <v>131000</v>
      </c>
      <c r="AG349">
        <v>129000</v>
      </c>
      <c r="AH349">
        <v>130716</v>
      </c>
      <c r="AI349">
        <v>132000</v>
      </c>
      <c r="AJ349">
        <v>130000</v>
      </c>
      <c r="AK349">
        <v>135000</v>
      </c>
      <c r="AL349">
        <v>133788</v>
      </c>
      <c r="AM349">
        <v>136000</v>
      </c>
      <c r="AN349">
        <v>143000</v>
      </c>
      <c r="AO349">
        <v>144000</v>
      </c>
      <c r="AP349">
        <v>145268</v>
      </c>
      <c r="AQ349">
        <v>146000</v>
      </c>
      <c r="AR349">
        <v>147000</v>
      </c>
      <c r="AS349">
        <v>150000</v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  <c r="BT349" t="str">
        <f>""</f>
        <v/>
      </c>
      <c r="BU349" t="str">
        <f>""</f>
        <v/>
      </c>
      <c r="BV349" t="str">
        <f>""</f>
        <v/>
      </c>
      <c r="BW349" t="str">
        <f>""</f>
        <v/>
      </c>
      <c r="BX349" t="str">
        <f>""</f>
        <v/>
      </c>
      <c r="BY349" t="str">
        <f>""</f>
        <v/>
      </c>
      <c r="BZ349" t="str">
        <f>""</f>
        <v/>
      </c>
      <c r="CA349" t="str">
        <f>""</f>
        <v/>
      </c>
      <c r="CB349" t="str">
        <f>""</f>
        <v/>
      </c>
      <c r="CC349" t="str">
        <f>""</f>
        <v/>
      </c>
      <c r="CD349" t="str">
        <f>""</f>
        <v/>
      </c>
      <c r="CE349" t="str">
        <f>""</f>
        <v/>
      </c>
      <c r="CF349" t="str">
        <f>""</f>
        <v/>
      </c>
      <c r="CG349" t="str">
        <f>""</f>
        <v/>
      </c>
      <c r="CH349" t="str">
        <f>""</f>
        <v/>
      </c>
      <c r="CI349" t="str">
        <f>""</f>
        <v/>
      </c>
      <c r="CJ349" t="str">
        <f>""</f>
        <v/>
      </c>
      <c r="CK349" t="str">
        <f>""</f>
        <v/>
      </c>
      <c r="CL349" t="str">
        <f>""</f>
        <v/>
      </c>
      <c r="CM349" t="str">
        <f>""</f>
        <v/>
      </c>
      <c r="CN349" t="str">
        <f>""</f>
        <v/>
      </c>
      <c r="CO349" t="str">
        <f>""</f>
        <v/>
      </c>
      <c r="CP349" t="str">
        <f>""</f>
        <v/>
      </c>
      <c r="CQ349" t="str">
        <f>""</f>
        <v/>
      </c>
      <c r="CR349" t="str">
        <f>""</f>
        <v/>
      </c>
      <c r="CS349" t="str">
        <f>""</f>
        <v/>
      </c>
      <c r="CT349" t="str">
        <f>""</f>
        <v/>
      </c>
      <c r="CU349" t="str">
        <f>""</f>
        <v/>
      </c>
      <c r="CV349" t="str">
        <f>""</f>
        <v/>
      </c>
      <c r="CW349" t="str">
        <f>""</f>
        <v/>
      </c>
      <c r="CX349" t="str">
        <f>""</f>
        <v/>
      </c>
      <c r="CY349" t="str">
        <f>""</f>
        <v/>
      </c>
      <c r="CZ349" t="str">
        <f>""</f>
        <v/>
      </c>
      <c r="DA349" t="str">
        <f>""</f>
        <v/>
      </c>
      <c r="DB349" t="str">
        <f>""</f>
        <v/>
      </c>
      <c r="DC349" t="str">
        <f>""</f>
        <v/>
      </c>
      <c r="DD349" t="str">
        <f>""</f>
        <v/>
      </c>
      <c r="DE349" t="str">
        <f>""</f>
        <v/>
      </c>
      <c r="DF349" t="str">
        <f>""</f>
        <v/>
      </c>
      <c r="DG349" t="str">
        <f>""</f>
        <v/>
      </c>
      <c r="DH349" t="str">
        <f>""</f>
        <v/>
      </c>
      <c r="DI349" t="str">
        <f>""</f>
        <v/>
      </c>
      <c r="DJ349" t="str">
        <f>""</f>
        <v/>
      </c>
      <c r="DK349" t="str">
        <f>""</f>
        <v/>
      </c>
      <c r="DL349" t="str">
        <f>""</f>
        <v/>
      </c>
      <c r="DM349" t="str">
        <f>""</f>
        <v/>
      </c>
      <c r="DN349" t="str">
        <f>""</f>
        <v/>
      </c>
      <c r="DO349" t="str">
        <f>""</f>
        <v/>
      </c>
      <c r="DP349" t="str">
        <f>""</f>
        <v/>
      </c>
      <c r="DQ349" t="str">
        <f>""</f>
        <v/>
      </c>
      <c r="DR349" t="str">
        <f>""</f>
        <v/>
      </c>
      <c r="DS349" t="str">
        <f>""</f>
        <v/>
      </c>
      <c r="DT349" t="str">
        <f>""</f>
        <v/>
      </c>
      <c r="DU349" t="str">
        <f>""</f>
        <v/>
      </c>
    </row>
    <row r="350" spans="1:125" x14ac:dyDescent="0.25">
      <c r="A350" t="str">
        <f>$A$147</f>
        <v xml:space="preserve">    Raiffeisen Bank International AG</v>
      </c>
      <c r="B350" t="str">
        <f>$B$147</f>
        <v>RBI AV Equity</v>
      </c>
      <c r="C350" t="str">
        <f>$C$147</f>
        <v>BS016</v>
      </c>
      <c r="D350" t="str">
        <f>$D$147</f>
        <v>BS_COMM_LOAN</v>
      </c>
      <c r="E350" t="str">
        <f>$E$147</f>
        <v>Dynamic</v>
      </c>
      <c r="F350">
        <f ca="1">_xll.BDH($B$147,$C$147,$B$206,$B$207,CONCATENATE("Per=",$B$204),"Dts=H","Dir=H",CONCATENATE("Points=",$B$205),"Sort=R","Days=A","Fill=B",CONCATENATE("FX=", $B$203),"cols=60;rows=1")</f>
        <v>103835</v>
      </c>
      <c r="G350">
        <v>58787</v>
      </c>
      <c r="H350">
        <v>60484</v>
      </c>
      <c r="I350">
        <v>60587</v>
      </c>
      <c r="J350">
        <v>59368</v>
      </c>
      <c r="K350">
        <v>61725</v>
      </c>
      <c r="L350">
        <v>60957</v>
      </c>
      <c r="M350">
        <v>64080</v>
      </c>
      <c r="N350">
        <v>61976</v>
      </c>
      <c r="O350">
        <v>66499</v>
      </c>
      <c r="P350">
        <v>65707</v>
      </c>
      <c r="Q350">
        <v>63388</v>
      </c>
      <c r="R350">
        <v>62805</v>
      </c>
      <c r="S350">
        <v>61448</v>
      </c>
      <c r="T350">
        <v>57698</v>
      </c>
      <c r="U350">
        <v>56807</v>
      </c>
      <c r="V350">
        <v>55575.771000000001</v>
      </c>
      <c r="W350">
        <v>57707</v>
      </c>
      <c r="X350">
        <v>59706</v>
      </c>
      <c r="Y350">
        <v>58313</v>
      </c>
      <c r="Z350">
        <v>46470.17</v>
      </c>
      <c r="AA350">
        <v>58230</v>
      </c>
      <c r="AB350">
        <v>46466</v>
      </c>
      <c r="AC350">
        <v>45305</v>
      </c>
      <c r="AD350">
        <v>43321.930999999997</v>
      </c>
      <c r="AE350">
        <v>49560</v>
      </c>
      <c r="AF350">
        <v>40981</v>
      </c>
      <c r="AG350">
        <v>43690</v>
      </c>
      <c r="AH350">
        <v>42274.726999999999</v>
      </c>
      <c r="AI350">
        <v>49571</v>
      </c>
      <c r="AJ350">
        <v>49668</v>
      </c>
      <c r="AK350">
        <v>50523</v>
      </c>
      <c r="AL350">
        <v>46462.074000000001</v>
      </c>
      <c r="AM350">
        <v>46308</v>
      </c>
      <c r="AN350">
        <v>47758</v>
      </c>
      <c r="AO350">
        <v>48045</v>
      </c>
      <c r="AP350">
        <v>47228.535000000003</v>
      </c>
      <c r="AQ350">
        <v>50166</v>
      </c>
      <c r="AR350">
        <v>52118</v>
      </c>
      <c r="AS350">
        <v>55894</v>
      </c>
      <c r="AT350">
        <v>54157.303</v>
      </c>
      <c r="AU350">
        <v>57334</v>
      </c>
      <c r="AV350">
        <v>55484</v>
      </c>
      <c r="AW350">
        <v>54714</v>
      </c>
      <c r="AX350">
        <v>55231.292000000001</v>
      </c>
      <c r="AY350">
        <v>56599</v>
      </c>
      <c r="AZ350">
        <v>56477</v>
      </c>
      <c r="BA350">
        <v>57936</v>
      </c>
      <c r="BB350">
        <v>58467.235999999997</v>
      </c>
      <c r="BC350">
        <v>58590</v>
      </c>
      <c r="BD350">
        <v>60161</v>
      </c>
      <c r="BE350">
        <v>60830</v>
      </c>
      <c r="BF350">
        <v>61187.766000000003</v>
      </c>
      <c r="BG350">
        <v>60907</v>
      </c>
      <c r="BH350">
        <v>58582</v>
      </c>
      <c r="BI350">
        <v>56804</v>
      </c>
      <c r="BJ350">
        <v>55471.254999999997</v>
      </c>
      <c r="BK350">
        <v>32520</v>
      </c>
      <c r="BL350">
        <v>32790</v>
      </c>
      <c r="BM350">
        <v>32114</v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  <c r="BT350" t="str">
        <f>""</f>
        <v/>
      </c>
      <c r="BU350" t="str">
        <f>""</f>
        <v/>
      </c>
      <c r="BV350" t="str">
        <f>""</f>
        <v/>
      </c>
      <c r="BW350" t="str">
        <f>""</f>
        <v/>
      </c>
      <c r="BX350" t="str">
        <f>""</f>
        <v/>
      </c>
      <c r="BY350" t="str">
        <f>""</f>
        <v/>
      </c>
      <c r="BZ350" t="str">
        <f>""</f>
        <v/>
      </c>
      <c r="CA350" t="str">
        <f>""</f>
        <v/>
      </c>
      <c r="CB350" t="str">
        <f>""</f>
        <v/>
      </c>
      <c r="CC350" t="str">
        <f>""</f>
        <v/>
      </c>
      <c r="CD350" t="str">
        <f>""</f>
        <v/>
      </c>
      <c r="CE350" t="str">
        <f>""</f>
        <v/>
      </c>
      <c r="CF350" t="str">
        <f>""</f>
        <v/>
      </c>
      <c r="CG350" t="str">
        <f>""</f>
        <v/>
      </c>
      <c r="CH350" t="str">
        <f>""</f>
        <v/>
      </c>
      <c r="CI350" t="str">
        <f>""</f>
        <v/>
      </c>
      <c r="CJ350" t="str">
        <f>""</f>
        <v/>
      </c>
      <c r="CK350" t="str">
        <f>""</f>
        <v/>
      </c>
      <c r="CL350" t="str">
        <f>""</f>
        <v/>
      </c>
      <c r="CM350" t="str">
        <f>""</f>
        <v/>
      </c>
      <c r="CN350" t="str">
        <f>""</f>
        <v/>
      </c>
      <c r="CO350" t="str">
        <f>""</f>
        <v/>
      </c>
      <c r="CP350" t="str">
        <f>""</f>
        <v/>
      </c>
      <c r="CQ350" t="str">
        <f>""</f>
        <v/>
      </c>
      <c r="CR350" t="str">
        <f>""</f>
        <v/>
      </c>
      <c r="CS350" t="str">
        <f>""</f>
        <v/>
      </c>
      <c r="CT350" t="str">
        <f>""</f>
        <v/>
      </c>
      <c r="CU350" t="str">
        <f>""</f>
        <v/>
      </c>
      <c r="CV350" t="str">
        <f>""</f>
        <v/>
      </c>
      <c r="CW350" t="str">
        <f>""</f>
        <v/>
      </c>
      <c r="CX350" t="str">
        <f>""</f>
        <v/>
      </c>
      <c r="CY350" t="str">
        <f>""</f>
        <v/>
      </c>
      <c r="CZ350" t="str">
        <f>""</f>
        <v/>
      </c>
      <c r="DA350" t="str">
        <f>""</f>
        <v/>
      </c>
      <c r="DB350" t="str">
        <f>""</f>
        <v/>
      </c>
      <c r="DC350" t="str">
        <f>""</f>
        <v/>
      </c>
      <c r="DD350" t="str">
        <f>""</f>
        <v/>
      </c>
      <c r="DE350" t="str">
        <f>""</f>
        <v/>
      </c>
      <c r="DF350" t="str">
        <f>""</f>
        <v/>
      </c>
      <c r="DG350" t="str">
        <f>""</f>
        <v/>
      </c>
      <c r="DH350" t="str">
        <f>""</f>
        <v/>
      </c>
      <c r="DI350" t="str">
        <f>""</f>
        <v/>
      </c>
      <c r="DJ350" t="str">
        <f>""</f>
        <v/>
      </c>
      <c r="DK350" t="str">
        <f>""</f>
        <v/>
      </c>
      <c r="DL350" t="str">
        <f>""</f>
        <v/>
      </c>
      <c r="DM350" t="str">
        <f>""</f>
        <v/>
      </c>
      <c r="DN350" t="str">
        <f>""</f>
        <v/>
      </c>
      <c r="DO350" t="str">
        <f>""</f>
        <v/>
      </c>
      <c r="DP350" t="str">
        <f>""</f>
        <v/>
      </c>
      <c r="DQ350" t="str">
        <f>""</f>
        <v/>
      </c>
      <c r="DR350" t="str">
        <f>""</f>
        <v/>
      </c>
      <c r="DS350" t="str">
        <f>""</f>
        <v/>
      </c>
      <c r="DT350" t="str">
        <f>""</f>
        <v/>
      </c>
      <c r="DU350" t="str">
        <f>""</f>
        <v/>
      </c>
    </row>
    <row r="351" spans="1:125" x14ac:dyDescent="0.25">
      <c r="A351" t="str">
        <f>$A$148</f>
        <v xml:space="preserve">    Skandinaviska Enskilda Banken AB</v>
      </c>
      <c r="B351" t="str">
        <f>$B$148</f>
        <v>SEBA SS Equity</v>
      </c>
      <c r="C351" t="str">
        <f>$C$148</f>
        <v>BS016</v>
      </c>
      <c r="D351" t="str">
        <f>$D$148</f>
        <v>BS_COMM_LOAN</v>
      </c>
      <c r="E351" t="str">
        <f>$E$148</f>
        <v>Dynamic</v>
      </c>
      <c r="F351" t="str">
        <f ca="1">_xll.BDH($B$148,$C$148,$B$206,$B$207,CONCATENATE("Per=",$B$204),"Dts=H","Dir=H",CONCATENATE("Points=",$B$205),"Sort=R","Days=A","Fill=B",CONCATENATE("FX=", $B$203) )</f>
        <v/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  <c r="BT351" t="str">
        <f>""</f>
        <v/>
      </c>
      <c r="BU351" t="str">
        <f>""</f>
        <v/>
      </c>
      <c r="BV351" t="str">
        <f>""</f>
        <v/>
      </c>
      <c r="BW351" t="str">
        <f>""</f>
        <v/>
      </c>
      <c r="BX351" t="str">
        <f>""</f>
        <v/>
      </c>
      <c r="BY351" t="str">
        <f>""</f>
        <v/>
      </c>
      <c r="BZ351" t="str">
        <f>""</f>
        <v/>
      </c>
      <c r="CA351" t="str">
        <f>""</f>
        <v/>
      </c>
      <c r="CB351" t="str">
        <f>""</f>
        <v/>
      </c>
      <c r="CC351" t="str">
        <f>""</f>
        <v/>
      </c>
      <c r="CD351" t="str">
        <f>""</f>
        <v/>
      </c>
      <c r="CE351" t="str">
        <f>""</f>
        <v/>
      </c>
      <c r="CF351" t="str">
        <f>""</f>
        <v/>
      </c>
      <c r="CG351" t="str">
        <f>""</f>
        <v/>
      </c>
      <c r="CH351" t="str">
        <f>""</f>
        <v/>
      </c>
      <c r="CI351" t="str">
        <f>""</f>
        <v/>
      </c>
      <c r="CJ351" t="str">
        <f>""</f>
        <v/>
      </c>
      <c r="CK351" t="str">
        <f>""</f>
        <v/>
      </c>
      <c r="CL351" t="str">
        <f>""</f>
        <v/>
      </c>
      <c r="CM351" t="str">
        <f>""</f>
        <v/>
      </c>
      <c r="CN351" t="str">
        <f>""</f>
        <v/>
      </c>
      <c r="CO351" t="str">
        <f>""</f>
        <v/>
      </c>
      <c r="CP351" t="str">
        <f>""</f>
        <v/>
      </c>
      <c r="CQ351" t="str">
        <f>""</f>
        <v/>
      </c>
      <c r="CR351" t="str">
        <f>""</f>
        <v/>
      </c>
      <c r="CS351" t="str">
        <f>""</f>
        <v/>
      </c>
      <c r="CT351" t="str">
        <f>""</f>
        <v/>
      </c>
      <c r="CU351" t="str">
        <f>""</f>
        <v/>
      </c>
      <c r="CV351" t="str">
        <f>""</f>
        <v/>
      </c>
      <c r="CW351" t="str">
        <f>""</f>
        <v/>
      </c>
      <c r="CX351" t="str">
        <f>""</f>
        <v/>
      </c>
      <c r="CY351" t="str">
        <f>""</f>
        <v/>
      </c>
      <c r="CZ351" t="str">
        <f>""</f>
        <v/>
      </c>
      <c r="DA351" t="str">
        <f>""</f>
        <v/>
      </c>
      <c r="DB351" t="str">
        <f>""</f>
        <v/>
      </c>
      <c r="DC351" t="str">
        <f>""</f>
        <v/>
      </c>
      <c r="DD351" t="str">
        <f>""</f>
        <v/>
      </c>
      <c r="DE351" t="str">
        <f>""</f>
        <v/>
      </c>
      <c r="DF351" t="str">
        <f>""</f>
        <v/>
      </c>
      <c r="DG351" t="str">
        <f>""</f>
        <v/>
      </c>
      <c r="DH351" t="str">
        <f>""</f>
        <v/>
      </c>
      <c r="DI351" t="str">
        <f>""</f>
        <v/>
      </c>
      <c r="DJ351" t="str">
        <f>""</f>
        <v/>
      </c>
      <c r="DK351" t="str">
        <f>""</f>
        <v/>
      </c>
      <c r="DL351" t="str">
        <f>""</f>
        <v/>
      </c>
      <c r="DM351" t="str">
        <f>""</f>
        <v/>
      </c>
      <c r="DN351" t="str">
        <f>""</f>
        <v/>
      </c>
      <c r="DO351" t="str">
        <f>""</f>
        <v/>
      </c>
      <c r="DP351" t="str">
        <f>""</f>
        <v/>
      </c>
      <c r="DQ351" t="str">
        <f>""</f>
        <v/>
      </c>
      <c r="DR351" t="str">
        <f>""</f>
        <v/>
      </c>
      <c r="DS351" t="str">
        <f>""</f>
        <v/>
      </c>
      <c r="DT351" t="str">
        <f>""</f>
        <v/>
      </c>
      <c r="DU351" t="str">
        <f>""</f>
        <v/>
      </c>
    </row>
    <row r="352" spans="1:125" x14ac:dyDescent="0.25">
      <c r="A352" t="str">
        <f>$A$149</f>
        <v xml:space="preserve">    Svenska Handelsbanken AB</v>
      </c>
      <c r="B352" t="str">
        <f>$B$149</f>
        <v>SHBA SS Equity</v>
      </c>
      <c r="C352" t="str">
        <f>$C$149</f>
        <v>BS016</v>
      </c>
      <c r="D352" t="str">
        <f>$D$149</f>
        <v>BS_COMM_LOAN</v>
      </c>
      <c r="E352" t="str">
        <f>$E$149</f>
        <v>Dynamic</v>
      </c>
      <c r="F352">
        <f ca="1">_xll.BDH($B$149,$C$149,$B$206,$B$207,CONCATENATE("Per=",$B$204),"Dts=H","Dir=H",CONCATENATE("Points=",$B$205),"Sort=R","Days=A","Fill=B",CONCATENATE("FX=", $B$203),"cols=60;rows=1")</f>
        <v>95081.424400000004</v>
      </c>
      <c r="G352">
        <v>96499.748699999996</v>
      </c>
      <c r="H352">
        <v>96406.709499999997</v>
      </c>
      <c r="I352">
        <v>94663.864400000006</v>
      </c>
      <c r="J352">
        <v>99260.552299999996</v>
      </c>
      <c r="K352">
        <v>94954.462899999999</v>
      </c>
      <c r="L352">
        <v>95392.425700000007</v>
      </c>
      <c r="M352">
        <v>97709.898799999995</v>
      </c>
      <c r="N352">
        <v>98410.1924</v>
      </c>
      <c r="O352">
        <v>95451.690799999997</v>
      </c>
      <c r="P352">
        <v>95015.664099999995</v>
      </c>
      <c r="Q352">
        <v>95424.630300000004</v>
      </c>
      <c r="R352">
        <v>93665.301600000006</v>
      </c>
      <c r="S352">
        <v>106118.20419999999</v>
      </c>
      <c r="T352">
        <v>105272.83560000001</v>
      </c>
      <c r="U352">
        <v>104457.5849</v>
      </c>
      <c r="V352">
        <v>103268.4967</v>
      </c>
      <c r="W352">
        <v>100868.01639999999</v>
      </c>
      <c r="X352">
        <v>101661.3891</v>
      </c>
      <c r="Y352">
        <v>99064.263200000001</v>
      </c>
      <c r="Z352">
        <v>101998.0113</v>
      </c>
      <c r="AA352">
        <v>100178.19349999999</v>
      </c>
      <c r="AB352">
        <v>99653.546900000001</v>
      </c>
      <c r="AC352">
        <v>99919.7886</v>
      </c>
      <c r="AD352">
        <v>97001.722399999999</v>
      </c>
      <c r="AE352">
        <v>96970.019700000004</v>
      </c>
      <c r="AF352">
        <v>96975.358500000002</v>
      </c>
      <c r="AG352">
        <v>95638.443400000004</v>
      </c>
      <c r="AH352">
        <v>95638.231499999994</v>
      </c>
      <c r="AI352">
        <v>96014.040800000002</v>
      </c>
      <c r="AJ352">
        <v>94415.099100000007</v>
      </c>
      <c r="AK352">
        <v>94776.196500000005</v>
      </c>
      <c r="AL352">
        <v>93249.671100000007</v>
      </c>
      <c r="AM352">
        <v>94459.506099999999</v>
      </c>
      <c r="AN352">
        <v>95673.1394</v>
      </c>
      <c r="AO352">
        <v>95405.869699999996</v>
      </c>
      <c r="AP352">
        <v>93674.9663</v>
      </c>
      <c r="AT352">
        <v>91616.683499999999</v>
      </c>
      <c r="AX352">
        <v>91995.736999999994</v>
      </c>
      <c r="BB352">
        <v>96121.934500000003</v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  <c r="BT352" t="str">
        <f>""</f>
        <v/>
      </c>
      <c r="BU352" t="str">
        <f>""</f>
        <v/>
      </c>
      <c r="BV352" t="str">
        <f>""</f>
        <v/>
      </c>
      <c r="BW352" t="str">
        <f>""</f>
        <v/>
      </c>
      <c r="BX352" t="str">
        <f>""</f>
        <v/>
      </c>
      <c r="BY352" t="str">
        <f>""</f>
        <v/>
      </c>
      <c r="BZ352" t="str">
        <f>""</f>
        <v/>
      </c>
      <c r="CA352" t="str">
        <f>""</f>
        <v/>
      </c>
      <c r="CB352" t="str">
        <f>""</f>
        <v/>
      </c>
      <c r="CC352" t="str">
        <f>""</f>
        <v/>
      </c>
      <c r="CD352" t="str">
        <f>""</f>
        <v/>
      </c>
      <c r="CE352" t="str">
        <f>""</f>
        <v/>
      </c>
      <c r="CF352" t="str">
        <f>""</f>
        <v/>
      </c>
      <c r="CG352" t="str">
        <f>""</f>
        <v/>
      </c>
      <c r="CH352" t="str">
        <f>""</f>
        <v/>
      </c>
      <c r="CI352" t="str">
        <f>""</f>
        <v/>
      </c>
      <c r="CJ352" t="str">
        <f>""</f>
        <v/>
      </c>
      <c r="CK352" t="str">
        <f>""</f>
        <v/>
      </c>
      <c r="CL352" t="str">
        <f>""</f>
        <v/>
      </c>
      <c r="CM352" t="str">
        <f>""</f>
        <v/>
      </c>
      <c r="CN352" t="str">
        <f>""</f>
        <v/>
      </c>
      <c r="CO352" t="str">
        <f>""</f>
        <v/>
      </c>
      <c r="CP352" t="str">
        <f>""</f>
        <v/>
      </c>
      <c r="CQ352" t="str">
        <f>""</f>
        <v/>
      </c>
      <c r="CR352" t="str">
        <f>""</f>
        <v/>
      </c>
      <c r="CS352" t="str">
        <f>""</f>
        <v/>
      </c>
      <c r="CT352" t="str">
        <f>""</f>
        <v/>
      </c>
      <c r="CU352" t="str">
        <f>""</f>
        <v/>
      </c>
      <c r="CV352" t="str">
        <f>""</f>
        <v/>
      </c>
      <c r="CW352" t="str">
        <f>""</f>
        <v/>
      </c>
      <c r="CX352" t="str">
        <f>""</f>
        <v/>
      </c>
      <c r="CY352" t="str">
        <f>""</f>
        <v/>
      </c>
      <c r="CZ352" t="str">
        <f>""</f>
        <v/>
      </c>
      <c r="DA352" t="str">
        <f>""</f>
        <v/>
      </c>
      <c r="DB352" t="str">
        <f>""</f>
        <v/>
      </c>
      <c r="DC352" t="str">
        <f>""</f>
        <v/>
      </c>
      <c r="DD352" t="str">
        <f>""</f>
        <v/>
      </c>
      <c r="DE352" t="str">
        <f>""</f>
        <v/>
      </c>
      <c r="DF352" t="str">
        <f>""</f>
        <v/>
      </c>
      <c r="DG352" t="str">
        <f>""</f>
        <v/>
      </c>
      <c r="DH352" t="str">
        <f>""</f>
        <v/>
      </c>
      <c r="DI352" t="str">
        <f>""</f>
        <v/>
      </c>
      <c r="DJ352" t="str">
        <f>""</f>
        <v/>
      </c>
      <c r="DK352" t="str">
        <f>""</f>
        <v/>
      </c>
      <c r="DL352" t="str">
        <f>""</f>
        <v/>
      </c>
      <c r="DM352" t="str">
        <f>""</f>
        <v/>
      </c>
      <c r="DN352" t="str">
        <f>""</f>
        <v/>
      </c>
      <c r="DO352" t="str">
        <f>""</f>
        <v/>
      </c>
      <c r="DP352" t="str">
        <f>""</f>
        <v/>
      </c>
      <c r="DQ352" t="str">
        <f>""</f>
        <v/>
      </c>
      <c r="DR352" t="str">
        <f>""</f>
        <v/>
      </c>
      <c r="DS352" t="str">
        <f>""</f>
        <v/>
      </c>
      <c r="DT352" t="str">
        <f>""</f>
        <v/>
      </c>
      <c r="DU352" t="str">
        <f>""</f>
        <v/>
      </c>
    </row>
    <row r="353" spans="1:125" x14ac:dyDescent="0.25">
      <c r="A353" t="str">
        <f>$A$150</f>
        <v xml:space="preserve">    Swedbank AB</v>
      </c>
      <c r="B353" t="str">
        <f>$B$150</f>
        <v>SWEDA SS Equity</v>
      </c>
      <c r="C353" t="str">
        <f>$C$150</f>
        <v>BS016</v>
      </c>
      <c r="D353" t="str">
        <f>$D$150</f>
        <v>BS_COMM_LOAN</v>
      </c>
      <c r="E353" t="str">
        <f>$E$150</f>
        <v>Dynamic</v>
      </c>
      <c r="F353">
        <f ca="1">_xll.BDH($B$150,$C$150,$B$206,$B$207,CONCATENATE("Per=",$B$204),"Dts=H","Dir=H",CONCATENATE("Points=",$B$205),"Sort=R","Days=A","Fill=B",CONCATENATE("FX=", $B$203),"cols=60;rows=1")</f>
        <v>50927.940799999997</v>
      </c>
      <c r="G353">
        <v>29094.116399999999</v>
      </c>
      <c r="H353">
        <v>29242.413499999999</v>
      </c>
      <c r="I353">
        <v>27923.688399999999</v>
      </c>
      <c r="J353">
        <v>55042.743699999999</v>
      </c>
      <c r="K353">
        <v>54884.362500000003</v>
      </c>
      <c r="L353">
        <v>57907.097900000001</v>
      </c>
      <c r="M353">
        <v>27984.336599999999</v>
      </c>
      <c r="N353">
        <v>56091.2235</v>
      </c>
      <c r="O353">
        <v>57961.5844</v>
      </c>
      <c r="P353">
        <v>81744.803100000005</v>
      </c>
      <c r="Q353">
        <v>56237.016499999998</v>
      </c>
      <c r="R353">
        <v>53583.686500000003</v>
      </c>
      <c r="S353">
        <v>53413.233899999999</v>
      </c>
      <c r="T353">
        <v>53219.120799999997</v>
      </c>
      <c r="U353">
        <v>52686.154600000002</v>
      </c>
      <c r="V353">
        <v>53919.331700000002</v>
      </c>
      <c r="W353">
        <v>52543.211799999997</v>
      </c>
      <c r="X353">
        <v>53884.715700000001</v>
      </c>
      <c r="Y353">
        <v>52661.708100000003</v>
      </c>
      <c r="Z353">
        <v>53459.377699999997</v>
      </c>
      <c r="AA353">
        <v>52850.1466</v>
      </c>
      <c r="AB353">
        <v>54136.541799999999</v>
      </c>
      <c r="AC353">
        <v>53811.313099999999</v>
      </c>
      <c r="AD353">
        <v>53902.1054</v>
      </c>
      <c r="AE353">
        <v>54092.297299999998</v>
      </c>
      <c r="AF353">
        <v>53060.263099999996</v>
      </c>
      <c r="AG353">
        <v>52192.940199999997</v>
      </c>
      <c r="AH353">
        <v>53299.8433</v>
      </c>
      <c r="AI353">
        <v>54494.419099999999</v>
      </c>
      <c r="AJ353">
        <v>53805.0164</v>
      </c>
      <c r="AK353">
        <v>54470.6783</v>
      </c>
      <c r="AL353">
        <v>54733.187299999998</v>
      </c>
      <c r="AM353">
        <v>55251.77</v>
      </c>
      <c r="AN353">
        <v>56074.290999999997</v>
      </c>
      <c r="AO353">
        <v>55049.214</v>
      </c>
      <c r="AP353">
        <v>54841.219499999999</v>
      </c>
      <c r="AQ353">
        <v>54346.0095</v>
      </c>
      <c r="AR353">
        <v>54903.136299999998</v>
      </c>
      <c r="AS353">
        <v>54451.553999999996</v>
      </c>
      <c r="AT353">
        <v>52800.708100000003</v>
      </c>
      <c r="AU353">
        <v>52346.840499999998</v>
      </c>
      <c r="AV353">
        <v>50983.2624</v>
      </c>
      <c r="AW353">
        <v>49135.689899999998</v>
      </c>
      <c r="AX353">
        <v>49831.950900000003</v>
      </c>
      <c r="AY353">
        <v>49641.1158</v>
      </c>
      <c r="AZ353">
        <v>49900.569600000003</v>
      </c>
      <c r="BA353">
        <v>51909.9179</v>
      </c>
      <c r="BC353">
        <v>52211.168700000002</v>
      </c>
      <c r="BD353">
        <v>50042.781499999997</v>
      </c>
      <c r="BE353">
        <v>58028.575499999999</v>
      </c>
      <c r="BF353">
        <v>49230.671199999997</v>
      </c>
      <c r="BJ353">
        <v>56560.784899999999</v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  <c r="BT353" t="str">
        <f>""</f>
        <v/>
      </c>
      <c r="BU353" t="str">
        <f>""</f>
        <v/>
      </c>
      <c r="BV353" t="str">
        <f>""</f>
        <v/>
      </c>
      <c r="BW353" t="str">
        <f>""</f>
        <v/>
      </c>
      <c r="BX353" t="str">
        <f>""</f>
        <v/>
      </c>
      <c r="BY353" t="str">
        <f>""</f>
        <v/>
      </c>
      <c r="BZ353" t="str">
        <f>""</f>
        <v/>
      </c>
      <c r="CA353" t="str">
        <f>""</f>
        <v/>
      </c>
      <c r="CB353" t="str">
        <f>""</f>
        <v/>
      </c>
      <c r="CC353" t="str">
        <f>""</f>
        <v/>
      </c>
      <c r="CD353" t="str">
        <f>""</f>
        <v/>
      </c>
      <c r="CE353" t="str">
        <f>""</f>
        <v/>
      </c>
      <c r="CF353" t="str">
        <f>""</f>
        <v/>
      </c>
      <c r="CG353" t="str">
        <f>""</f>
        <v/>
      </c>
      <c r="CH353" t="str">
        <f>""</f>
        <v/>
      </c>
      <c r="CI353" t="str">
        <f>""</f>
        <v/>
      </c>
      <c r="CJ353" t="str">
        <f>""</f>
        <v/>
      </c>
      <c r="CK353" t="str">
        <f>""</f>
        <v/>
      </c>
      <c r="CL353" t="str">
        <f>""</f>
        <v/>
      </c>
      <c r="CM353" t="str">
        <f>""</f>
        <v/>
      </c>
      <c r="CN353" t="str">
        <f>""</f>
        <v/>
      </c>
      <c r="CO353" t="str">
        <f>""</f>
        <v/>
      </c>
      <c r="CP353" t="str">
        <f>""</f>
        <v/>
      </c>
      <c r="CQ353" t="str">
        <f>""</f>
        <v/>
      </c>
      <c r="CR353" t="str">
        <f>""</f>
        <v/>
      </c>
      <c r="CS353" t="str">
        <f>""</f>
        <v/>
      </c>
      <c r="CT353" t="str">
        <f>""</f>
        <v/>
      </c>
      <c r="CU353" t="str">
        <f>""</f>
        <v/>
      </c>
      <c r="CV353" t="str">
        <f>""</f>
        <v/>
      </c>
      <c r="CW353" t="str">
        <f>""</f>
        <v/>
      </c>
      <c r="CX353" t="str">
        <f>""</f>
        <v/>
      </c>
      <c r="CY353" t="str">
        <f>""</f>
        <v/>
      </c>
      <c r="CZ353" t="str">
        <f>""</f>
        <v/>
      </c>
      <c r="DA353" t="str">
        <f>""</f>
        <v/>
      </c>
      <c r="DB353" t="str">
        <f>""</f>
        <v/>
      </c>
      <c r="DC353" t="str">
        <f>""</f>
        <v/>
      </c>
      <c r="DD353" t="str">
        <f>""</f>
        <v/>
      </c>
      <c r="DE353" t="str">
        <f>""</f>
        <v/>
      </c>
      <c r="DF353" t="str">
        <f>""</f>
        <v/>
      </c>
      <c r="DG353" t="str">
        <f>""</f>
        <v/>
      </c>
      <c r="DH353" t="str">
        <f>""</f>
        <v/>
      </c>
      <c r="DI353" t="str">
        <f>""</f>
        <v/>
      </c>
      <c r="DJ353" t="str">
        <f>""</f>
        <v/>
      </c>
      <c r="DK353" t="str">
        <f>""</f>
        <v/>
      </c>
      <c r="DL353" t="str">
        <f>""</f>
        <v/>
      </c>
      <c r="DM353" t="str">
        <f>""</f>
        <v/>
      </c>
      <c r="DN353" t="str">
        <f>""</f>
        <v/>
      </c>
      <c r="DO353" t="str">
        <f>""</f>
        <v/>
      </c>
      <c r="DP353" t="str">
        <f>""</f>
        <v/>
      </c>
      <c r="DQ353" t="str">
        <f>""</f>
        <v/>
      </c>
      <c r="DR353" t="str">
        <f>""</f>
        <v/>
      </c>
      <c r="DS353" t="str">
        <f>""</f>
        <v/>
      </c>
      <c r="DT353" t="str">
        <f>""</f>
        <v/>
      </c>
      <c r="DU353" t="str">
        <f>""</f>
        <v/>
      </c>
    </row>
    <row r="354" spans="1:125" x14ac:dyDescent="0.25">
      <c r="A354" t="str">
        <f>$A$151</f>
        <v xml:space="preserve">    Societe Generale SA</v>
      </c>
      <c r="B354" t="str">
        <f>$B$151</f>
        <v>GLE FP Equity</v>
      </c>
      <c r="C354" t="str">
        <f>$C$151</f>
        <v>BS016</v>
      </c>
      <c r="D354" t="str">
        <f>$D$151</f>
        <v>BS_COMM_LOAN</v>
      </c>
      <c r="E354" t="str">
        <f>$E$151</f>
        <v>Dynamic</v>
      </c>
      <c r="F354" t="str">
        <f ca="1">_xll.BDH($B$151,$C$151,$B$206,$B$207,CONCATENATE("Per=",$B$204),"Dts=H","Dir=H",CONCATENATE("Points=",$B$205),"Sort=R","Days=A","Fill=B",CONCATENATE("FX=", $B$203) )</f>
        <v/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  <c r="BT354" t="str">
        <f>""</f>
        <v/>
      </c>
      <c r="BU354" t="str">
        <f>""</f>
        <v/>
      </c>
      <c r="BV354" t="str">
        <f>""</f>
        <v/>
      </c>
      <c r="BW354" t="str">
        <f>""</f>
        <v/>
      </c>
      <c r="BX354" t="str">
        <f>""</f>
        <v/>
      </c>
      <c r="BY354" t="str">
        <f>""</f>
        <v/>
      </c>
      <c r="BZ354" t="str">
        <f>""</f>
        <v/>
      </c>
      <c r="CA354" t="str">
        <f>""</f>
        <v/>
      </c>
      <c r="CB354" t="str">
        <f>""</f>
        <v/>
      </c>
      <c r="CC354" t="str">
        <f>""</f>
        <v/>
      </c>
      <c r="CD354" t="str">
        <f>""</f>
        <v/>
      </c>
      <c r="CE354" t="str">
        <f>""</f>
        <v/>
      </c>
      <c r="CF354" t="str">
        <f>""</f>
        <v/>
      </c>
      <c r="CG354" t="str">
        <f>""</f>
        <v/>
      </c>
      <c r="CH354" t="str">
        <f>""</f>
        <v/>
      </c>
      <c r="CI354" t="str">
        <f>""</f>
        <v/>
      </c>
      <c r="CJ354" t="str">
        <f>""</f>
        <v/>
      </c>
      <c r="CK354" t="str">
        <f>""</f>
        <v/>
      </c>
      <c r="CL354" t="str">
        <f>""</f>
        <v/>
      </c>
      <c r="CM354" t="str">
        <f>""</f>
        <v/>
      </c>
      <c r="CN354" t="str">
        <f>""</f>
        <v/>
      </c>
      <c r="CO354" t="str">
        <f>""</f>
        <v/>
      </c>
      <c r="CP354" t="str">
        <f>""</f>
        <v/>
      </c>
      <c r="CQ354" t="str">
        <f>""</f>
        <v/>
      </c>
      <c r="CR354" t="str">
        <f>""</f>
        <v/>
      </c>
      <c r="CS354" t="str">
        <f>""</f>
        <v/>
      </c>
      <c r="CT354" t="str">
        <f>""</f>
        <v/>
      </c>
      <c r="CU354" t="str">
        <f>""</f>
        <v/>
      </c>
      <c r="CV354" t="str">
        <f>""</f>
        <v/>
      </c>
      <c r="CW354" t="str">
        <f>""</f>
        <v/>
      </c>
      <c r="CX354" t="str">
        <f>""</f>
        <v/>
      </c>
      <c r="CY354" t="str">
        <f>""</f>
        <v/>
      </c>
      <c r="CZ354" t="str">
        <f>""</f>
        <v/>
      </c>
      <c r="DA354" t="str">
        <f>""</f>
        <v/>
      </c>
      <c r="DB354" t="str">
        <f>""</f>
        <v/>
      </c>
      <c r="DC354" t="str">
        <f>""</f>
        <v/>
      </c>
      <c r="DD354" t="str">
        <f>""</f>
        <v/>
      </c>
      <c r="DE354" t="str">
        <f>""</f>
        <v/>
      </c>
      <c r="DF354" t="str">
        <f>""</f>
        <v/>
      </c>
      <c r="DG354" t="str">
        <f>""</f>
        <v/>
      </c>
      <c r="DH354" t="str">
        <f>""</f>
        <v/>
      </c>
      <c r="DI354" t="str">
        <f>""</f>
        <v/>
      </c>
      <c r="DJ354" t="str">
        <f>""</f>
        <v/>
      </c>
      <c r="DK354" t="str">
        <f>""</f>
        <v/>
      </c>
      <c r="DL354" t="str">
        <f>""</f>
        <v/>
      </c>
      <c r="DM354" t="str">
        <f>""</f>
        <v/>
      </c>
      <c r="DN354" t="str">
        <f>""</f>
        <v/>
      </c>
      <c r="DO354" t="str">
        <f>""</f>
        <v/>
      </c>
      <c r="DP354" t="str">
        <f>""</f>
        <v/>
      </c>
      <c r="DQ354" t="str">
        <f>""</f>
        <v/>
      </c>
      <c r="DR354" t="str">
        <f>""</f>
        <v/>
      </c>
      <c r="DS354" t="str">
        <f>""</f>
        <v/>
      </c>
      <c r="DT354" t="str">
        <f>""</f>
        <v/>
      </c>
      <c r="DU354" t="str">
        <f>""</f>
        <v/>
      </c>
    </row>
    <row r="355" spans="1:125" x14ac:dyDescent="0.25">
      <c r="A355" t="str">
        <f>$A$152</f>
        <v xml:space="preserve">    Standard Chartered PLC</v>
      </c>
      <c r="B355" t="str">
        <f>$B$152</f>
        <v>STAN LN Equity</v>
      </c>
      <c r="C355" t="str">
        <f>$C$152</f>
        <v>BS016</v>
      </c>
      <c r="D355" t="str">
        <f>$D$152</f>
        <v>BS_COMM_LOAN</v>
      </c>
      <c r="E355" t="str">
        <f>$E$152</f>
        <v>Dynamic</v>
      </c>
      <c r="F355">
        <f ca="1">_xll.BDH($B$152,$C$152,$B$206,$B$207,CONCATENATE("Per=",$B$204),"Dts=H","Dir=H",CONCATENATE("Points=",$B$205),"Sort=R","Days=A","Fill=B",CONCATENATE("FX=", $B$203),"cols=60;rows=1")</f>
        <v>136384.1917</v>
      </c>
      <c r="H355">
        <v>127728.63009999999</v>
      </c>
      <c r="J355">
        <v>124131.4172</v>
      </c>
      <c r="L355">
        <v>122695.54859999999</v>
      </c>
      <c r="N355">
        <v>137093.6421</v>
      </c>
      <c r="P355">
        <v>131955.5471</v>
      </c>
      <c r="R355">
        <v>128699.2798</v>
      </c>
      <c r="T355">
        <v>125105.0722</v>
      </c>
      <c r="V355">
        <v>113366.05319999999</v>
      </c>
      <c r="X355">
        <v>124295.117</v>
      </c>
      <c r="Z355">
        <v>124314.7208</v>
      </c>
      <c r="AB355">
        <v>123000.2641</v>
      </c>
      <c r="AD355">
        <v>115827.803</v>
      </c>
      <c r="AF355">
        <v>115326.71060000001</v>
      </c>
      <c r="AH355">
        <v>130222.9246</v>
      </c>
      <c r="AJ355">
        <v>128360.64139999999</v>
      </c>
      <c r="AL355">
        <v>133878.82810000001</v>
      </c>
      <c r="AN355">
        <v>132424.81709999999</v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  <c r="BT355" t="str">
        <f>""</f>
        <v/>
      </c>
      <c r="BU355" t="str">
        <f>""</f>
        <v/>
      </c>
      <c r="BV355" t="str">
        <f>""</f>
        <v/>
      </c>
      <c r="BW355" t="str">
        <f>""</f>
        <v/>
      </c>
      <c r="BX355" t="str">
        <f>""</f>
        <v/>
      </c>
      <c r="BY355" t="str">
        <f>""</f>
        <v/>
      </c>
      <c r="BZ355" t="str">
        <f>""</f>
        <v/>
      </c>
      <c r="CA355" t="str">
        <f>""</f>
        <v/>
      </c>
      <c r="CB355" t="str">
        <f>""</f>
        <v/>
      </c>
      <c r="CC355" t="str">
        <f>""</f>
        <v/>
      </c>
      <c r="CD355" t="str">
        <f>""</f>
        <v/>
      </c>
      <c r="CE355" t="str">
        <f>""</f>
        <v/>
      </c>
      <c r="CF355" t="str">
        <f>""</f>
        <v/>
      </c>
      <c r="CG355" t="str">
        <f>""</f>
        <v/>
      </c>
      <c r="CH355" t="str">
        <f>""</f>
        <v/>
      </c>
      <c r="CI355" t="str">
        <f>""</f>
        <v/>
      </c>
      <c r="CJ355" t="str">
        <f>""</f>
        <v/>
      </c>
      <c r="CK355" t="str">
        <f>""</f>
        <v/>
      </c>
      <c r="CL355" t="str">
        <f>""</f>
        <v/>
      </c>
      <c r="CM355" t="str">
        <f>""</f>
        <v/>
      </c>
      <c r="CN355" t="str">
        <f>""</f>
        <v/>
      </c>
      <c r="CO355" t="str">
        <f>""</f>
        <v/>
      </c>
      <c r="CP355" t="str">
        <f>""</f>
        <v/>
      </c>
      <c r="CQ355" t="str">
        <f>""</f>
        <v/>
      </c>
      <c r="CR355" t="str">
        <f>""</f>
        <v/>
      </c>
      <c r="CS355" t="str">
        <f>""</f>
        <v/>
      </c>
      <c r="CT355" t="str">
        <f>""</f>
        <v/>
      </c>
      <c r="CU355" t="str">
        <f>""</f>
        <v/>
      </c>
      <c r="CV355" t="str">
        <f>""</f>
        <v/>
      </c>
      <c r="CW355" t="str">
        <f>""</f>
        <v/>
      </c>
      <c r="CX355" t="str">
        <f>""</f>
        <v/>
      </c>
      <c r="CY355" t="str">
        <f>""</f>
        <v/>
      </c>
      <c r="CZ355" t="str">
        <f>""</f>
        <v/>
      </c>
      <c r="DA355" t="str">
        <f>""</f>
        <v/>
      </c>
      <c r="DB355" t="str">
        <f>""</f>
        <v/>
      </c>
      <c r="DC355" t="str">
        <f>""</f>
        <v/>
      </c>
      <c r="DD355" t="str">
        <f>""</f>
        <v/>
      </c>
      <c r="DE355" t="str">
        <f>""</f>
        <v/>
      </c>
      <c r="DF355" t="str">
        <f>""</f>
        <v/>
      </c>
      <c r="DG355" t="str">
        <f>""</f>
        <v/>
      </c>
      <c r="DH355" t="str">
        <f>""</f>
        <v/>
      </c>
      <c r="DI355" t="str">
        <f>""</f>
        <v/>
      </c>
      <c r="DJ355" t="str">
        <f>""</f>
        <v/>
      </c>
      <c r="DK355" t="str">
        <f>""</f>
        <v/>
      </c>
      <c r="DL355" t="str">
        <f>""</f>
        <v/>
      </c>
      <c r="DM355" t="str">
        <f>""</f>
        <v/>
      </c>
      <c r="DN355" t="str">
        <f>""</f>
        <v/>
      </c>
      <c r="DO355" t="str">
        <f>""</f>
        <v/>
      </c>
      <c r="DP355" t="str">
        <f>""</f>
        <v/>
      </c>
      <c r="DQ355" t="str">
        <f>""</f>
        <v/>
      </c>
      <c r="DR355" t="str">
        <f>""</f>
        <v/>
      </c>
      <c r="DS355" t="str">
        <f>""</f>
        <v/>
      </c>
      <c r="DT355" t="str">
        <f>""</f>
        <v/>
      </c>
      <c r="DU355" t="str">
        <f>""</f>
        <v/>
      </c>
    </row>
    <row r="356" spans="1:125" x14ac:dyDescent="0.25">
      <c r="A356" t="str">
        <f>$A$153</f>
        <v xml:space="preserve">    UBS Group AG</v>
      </c>
      <c r="B356" t="str">
        <f>$B$153</f>
        <v>UBSG SW Equity</v>
      </c>
      <c r="C356" t="str">
        <f>$C$153</f>
        <v>BS016</v>
      </c>
      <c r="D356" t="str">
        <f>$D$153</f>
        <v>BS_COMM_LOAN</v>
      </c>
      <c r="E356" t="str">
        <f>$E$153</f>
        <v>Dynamic</v>
      </c>
      <c r="F356">
        <f ca="1">_xll.BDH($B$153,$C$153,$B$206,$B$207,CONCATENATE("Per=",$B$204),"Dts=H","Dir=H",CONCATENATE("Points=",$B$205),"Sort=R","Days=A","Fill=B",CONCATENATE("FX=", $B$203),"cols=60;rows=1")</f>
        <v>24877.8141</v>
      </c>
      <c r="G356">
        <v>22116.971699999998</v>
      </c>
      <c r="H356">
        <v>23584.359799999998</v>
      </c>
      <c r="I356">
        <v>21115.227900000002</v>
      </c>
      <c r="J356">
        <v>19013.919000000002</v>
      </c>
      <c r="K356">
        <v>23266.212899999999</v>
      </c>
      <c r="L356">
        <v>19726.140299999999</v>
      </c>
      <c r="M356">
        <v>19344.0059</v>
      </c>
      <c r="N356">
        <v>16409.298900000002</v>
      </c>
      <c r="O356">
        <v>22992.8498</v>
      </c>
      <c r="P356">
        <v>18400.267100000001</v>
      </c>
      <c r="Q356">
        <v>18734.885399999999</v>
      </c>
      <c r="R356">
        <v>19300.928</v>
      </c>
      <c r="S356">
        <v>17929.306</v>
      </c>
      <c r="T356">
        <v>19419.3603</v>
      </c>
      <c r="U356">
        <v>20596.595700000002</v>
      </c>
      <c r="V356">
        <v>20065.9126</v>
      </c>
      <c r="W356">
        <v>17855.3148</v>
      </c>
      <c r="X356">
        <v>17653.6512</v>
      </c>
      <c r="Y356">
        <v>18520.6453</v>
      </c>
      <c r="Z356">
        <v>16061.9035</v>
      </c>
      <c r="AA356">
        <v>16190.9566</v>
      </c>
      <c r="AB356">
        <v>14891.275600000001</v>
      </c>
      <c r="AC356">
        <v>14504.054899999999</v>
      </c>
      <c r="AD356">
        <v>65228.563900000001</v>
      </c>
      <c r="AE356">
        <v>65971.241599999994</v>
      </c>
      <c r="AF356">
        <v>15770.3177</v>
      </c>
      <c r="AG356">
        <v>16475.4699</v>
      </c>
      <c r="AH356">
        <v>15568.956899999999</v>
      </c>
      <c r="AJ356">
        <v>270665.03110000002</v>
      </c>
      <c r="AL356">
        <v>18423.049599999998</v>
      </c>
      <c r="AP356">
        <v>19912.256099999999</v>
      </c>
      <c r="AT356">
        <v>18602.038400000001</v>
      </c>
      <c r="AX356">
        <v>18547.458699999999</v>
      </c>
      <c r="BB356">
        <v>18573.213400000001</v>
      </c>
      <c r="BF356">
        <v>17464.887699999999</v>
      </c>
      <c r="BJ356">
        <v>16386.470700000002</v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  <c r="BT356" t="str">
        <f>""</f>
        <v/>
      </c>
      <c r="BU356" t="str">
        <f>""</f>
        <v/>
      </c>
      <c r="BV356" t="str">
        <f>""</f>
        <v/>
      </c>
      <c r="BW356" t="str">
        <f>""</f>
        <v/>
      </c>
      <c r="BX356" t="str">
        <f>""</f>
        <v/>
      </c>
      <c r="BY356" t="str">
        <f>""</f>
        <v/>
      </c>
      <c r="BZ356" t="str">
        <f>""</f>
        <v/>
      </c>
      <c r="CA356" t="str">
        <f>""</f>
        <v/>
      </c>
      <c r="CB356" t="str">
        <f>""</f>
        <v/>
      </c>
      <c r="CC356" t="str">
        <f>""</f>
        <v/>
      </c>
      <c r="CD356" t="str">
        <f>""</f>
        <v/>
      </c>
      <c r="CE356" t="str">
        <f>""</f>
        <v/>
      </c>
      <c r="CF356" t="str">
        <f>""</f>
        <v/>
      </c>
      <c r="CG356" t="str">
        <f>""</f>
        <v/>
      </c>
      <c r="CH356" t="str">
        <f>""</f>
        <v/>
      </c>
      <c r="CI356" t="str">
        <f>""</f>
        <v/>
      </c>
      <c r="CJ356" t="str">
        <f>""</f>
        <v/>
      </c>
      <c r="CK356" t="str">
        <f>""</f>
        <v/>
      </c>
      <c r="CL356" t="str">
        <f>""</f>
        <v/>
      </c>
      <c r="CM356" t="str">
        <f>""</f>
        <v/>
      </c>
      <c r="CN356" t="str">
        <f>""</f>
        <v/>
      </c>
      <c r="CO356" t="str">
        <f>""</f>
        <v/>
      </c>
      <c r="CP356" t="str">
        <f>""</f>
        <v/>
      </c>
      <c r="CQ356" t="str">
        <f>""</f>
        <v/>
      </c>
      <c r="CR356" t="str">
        <f>""</f>
        <v/>
      </c>
      <c r="CS356" t="str">
        <f>""</f>
        <v/>
      </c>
      <c r="CT356" t="str">
        <f>""</f>
        <v/>
      </c>
      <c r="CU356" t="str">
        <f>""</f>
        <v/>
      </c>
      <c r="CV356" t="str">
        <f>""</f>
        <v/>
      </c>
      <c r="CW356" t="str">
        <f>""</f>
        <v/>
      </c>
      <c r="CX356" t="str">
        <f>""</f>
        <v/>
      </c>
      <c r="CY356" t="str">
        <f>""</f>
        <v/>
      </c>
      <c r="CZ356" t="str">
        <f>""</f>
        <v/>
      </c>
      <c r="DA356" t="str">
        <f>""</f>
        <v/>
      </c>
      <c r="DB356" t="str">
        <f>""</f>
        <v/>
      </c>
      <c r="DC356" t="str">
        <f>""</f>
        <v/>
      </c>
      <c r="DD356" t="str">
        <f>""</f>
        <v/>
      </c>
      <c r="DE356" t="str">
        <f>""</f>
        <v/>
      </c>
      <c r="DF356" t="str">
        <f>""</f>
        <v/>
      </c>
      <c r="DG356" t="str">
        <f>""</f>
        <v/>
      </c>
      <c r="DH356" t="str">
        <f>""</f>
        <v/>
      </c>
      <c r="DI356" t="str">
        <f>""</f>
        <v/>
      </c>
      <c r="DJ356" t="str">
        <f>""</f>
        <v/>
      </c>
      <c r="DK356" t="str">
        <f>""</f>
        <v/>
      </c>
      <c r="DL356" t="str">
        <f>""</f>
        <v/>
      </c>
      <c r="DM356" t="str">
        <f>""</f>
        <v/>
      </c>
      <c r="DN356" t="str">
        <f>""</f>
        <v/>
      </c>
      <c r="DO356" t="str">
        <f>""</f>
        <v/>
      </c>
      <c r="DP356" t="str">
        <f>""</f>
        <v/>
      </c>
      <c r="DQ356" t="str">
        <f>""</f>
        <v/>
      </c>
      <c r="DR356" t="str">
        <f>""</f>
        <v/>
      </c>
      <c r="DS356" t="str">
        <f>""</f>
        <v/>
      </c>
      <c r="DT356" t="str">
        <f>""</f>
        <v/>
      </c>
      <c r="DU356" t="str">
        <f>""</f>
        <v/>
      </c>
    </row>
    <row r="357" spans="1:125" x14ac:dyDescent="0.25">
      <c r="A357" t="str">
        <f>$A$154</f>
        <v xml:space="preserve">    UniCredit SpA</v>
      </c>
      <c r="B357" t="str">
        <f>$B$154</f>
        <v>UCG IM Equity</v>
      </c>
      <c r="C357" t="str">
        <f>$C$154</f>
        <v>BS016</v>
      </c>
      <c r="D357" t="str">
        <f>$D$154</f>
        <v>BS_COMM_LOAN</v>
      </c>
      <c r="E357" t="str">
        <f>$E$154</f>
        <v>Dynamic</v>
      </c>
      <c r="F357" t="str">
        <f ca="1">_xll.BDH($B$154,$C$154,$B$206,$B$207,CONCATENATE("Per=",$B$204),"Dts=H","Dir=H",CONCATENATE("Points=",$B$205),"Sort=R","Days=A","Fill=B",CONCATENATE("FX=", $B$203) )</f>
        <v/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  <c r="BT357" t="str">
        <f>""</f>
        <v/>
      </c>
      <c r="BU357" t="str">
        <f>""</f>
        <v/>
      </c>
      <c r="BV357" t="str">
        <f>""</f>
        <v/>
      </c>
      <c r="BW357" t="str">
        <f>""</f>
        <v/>
      </c>
      <c r="BX357" t="str">
        <f>""</f>
        <v/>
      </c>
      <c r="BY357" t="str">
        <f>""</f>
        <v/>
      </c>
      <c r="BZ357" t="str">
        <f>""</f>
        <v/>
      </c>
      <c r="CA357" t="str">
        <f>""</f>
        <v/>
      </c>
      <c r="CB357" t="str">
        <f>""</f>
        <v/>
      </c>
      <c r="CC357" t="str">
        <f>""</f>
        <v/>
      </c>
      <c r="CD357" t="str">
        <f>""</f>
        <v/>
      </c>
      <c r="CE357" t="str">
        <f>""</f>
        <v/>
      </c>
      <c r="CF357" t="str">
        <f>""</f>
        <v/>
      </c>
      <c r="CG357" t="str">
        <f>""</f>
        <v/>
      </c>
      <c r="CH357" t="str">
        <f>""</f>
        <v/>
      </c>
      <c r="CI357" t="str">
        <f>""</f>
        <v/>
      </c>
      <c r="CJ357" t="str">
        <f>""</f>
        <v/>
      </c>
      <c r="CK357" t="str">
        <f>""</f>
        <v/>
      </c>
      <c r="CL357" t="str">
        <f>""</f>
        <v/>
      </c>
      <c r="CM357" t="str">
        <f>""</f>
        <v/>
      </c>
      <c r="CN357" t="str">
        <f>""</f>
        <v/>
      </c>
      <c r="CO357" t="str">
        <f>""</f>
        <v/>
      </c>
      <c r="CP357" t="str">
        <f>""</f>
        <v/>
      </c>
      <c r="CQ357" t="str">
        <f>""</f>
        <v/>
      </c>
      <c r="CR357" t="str">
        <f>""</f>
        <v/>
      </c>
      <c r="CS357" t="str">
        <f>""</f>
        <v/>
      </c>
      <c r="CT357" t="str">
        <f>""</f>
        <v/>
      </c>
      <c r="CU357" t="str">
        <f>""</f>
        <v/>
      </c>
      <c r="CV357" t="str">
        <f>""</f>
        <v/>
      </c>
      <c r="CW357" t="str">
        <f>""</f>
        <v/>
      </c>
      <c r="CX357" t="str">
        <f>""</f>
        <v/>
      </c>
      <c r="CY357" t="str">
        <f>""</f>
        <v/>
      </c>
      <c r="CZ357" t="str">
        <f>""</f>
        <v/>
      </c>
      <c r="DA357" t="str">
        <f>""</f>
        <v/>
      </c>
      <c r="DB357" t="str">
        <f>""</f>
        <v/>
      </c>
      <c r="DC357" t="str">
        <f>""</f>
        <v/>
      </c>
      <c r="DD357" t="str">
        <f>""</f>
        <v/>
      </c>
      <c r="DE357" t="str">
        <f>""</f>
        <v/>
      </c>
      <c r="DF357" t="str">
        <f>""</f>
        <v/>
      </c>
      <c r="DG357" t="str">
        <f>""</f>
        <v/>
      </c>
      <c r="DH357" t="str">
        <f>""</f>
        <v/>
      </c>
      <c r="DI357" t="str">
        <f>""</f>
        <v/>
      </c>
      <c r="DJ357" t="str">
        <f>""</f>
        <v/>
      </c>
      <c r="DK357" t="str">
        <f>""</f>
        <v/>
      </c>
      <c r="DL357" t="str">
        <f>""</f>
        <v/>
      </c>
      <c r="DM357" t="str">
        <f>""</f>
        <v/>
      </c>
      <c r="DN357" t="str">
        <f>""</f>
        <v/>
      </c>
      <c r="DO357" t="str">
        <f>""</f>
        <v/>
      </c>
      <c r="DP357" t="str">
        <f>""</f>
        <v/>
      </c>
      <c r="DQ357" t="str">
        <f>""</f>
        <v/>
      </c>
      <c r="DR357" t="str">
        <f>""</f>
        <v/>
      </c>
      <c r="DS357" t="str">
        <f>""</f>
        <v/>
      </c>
      <c r="DT357" t="str">
        <f>""</f>
        <v/>
      </c>
      <c r="DU357" t="str">
        <f>""</f>
        <v/>
      </c>
    </row>
    <row r="358" spans="1:125" x14ac:dyDescent="0.25">
      <c r="A358" t="str">
        <f>$A$156</f>
        <v xml:space="preserve">    ABN AMRO Bank NV</v>
      </c>
      <c r="B358" t="str">
        <f>$B$156</f>
        <v>ABN NA Equity</v>
      </c>
      <c r="C358" t="str">
        <f>$C$156</f>
        <v>BS018</v>
      </c>
      <c r="D358" t="str">
        <f>$D$156</f>
        <v>BS_OTHER_LOAN</v>
      </c>
      <c r="E358" t="str">
        <f>$E$156</f>
        <v>Dynamic</v>
      </c>
      <c r="F358">
        <f ca="1">_xll.BDH($B$156,$C$156,$B$206,$B$207,CONCATENATE("Per=",$B$204),"Dts=H","Dir=H",CONCATENATE("Points=",$B$205),"Sort=R","Days=A","Fill=B",CONCATENATE("FX=", $B$203),"cols=60;rows=1")</f>
        <v>0</v>
      </c>
      <c r="G358">
        <v>0</v>
      </c>
      <c r="H358">
        <v>0</v>
      </c>
      <c r="R358">
        <v>1951</v>
      </c>
      <c r="S358">
        <v>2490</v>
      </c>
      <c r="T358">
        <v>2804</v>
      </c>
      <c r="U358">
        <v>3014</v>
      </c>
      <c r="V358">
        <v>3838</v>
      </c>
      <c r="W358">
        <v>3911</v>
      </c>
      <c r="X358">
        <v>8903</v>
      </c>
      <c r="Y358">
        <v>3659</v>
      </c>
      <c r="Z358">
        <v>3342</v>
      </c>
      <c r="AA358">
        <v>4452</v>
      </c>
      <c r="AB358">
        <v>6527</v>
      </c>
      <c r="AC358">
        <v>3434</v>
      </c>
      <c r="AD358">
        <v>3185</v>
      </c>
      <c r="AE358">
        <v>3150</v>
      </c>
      <c r="AF358">
        <v>5857</v>
      </c>
      <c r="AG358">
        <v>9964</v>
      </c>
      <c r="AH358">
        <v>8975</v>
      </c>
      <c r="AI358">
        <v>11893</v>
      </c>
      <c r="AJ358">
        <v>11569</v>
      </c>
      <c r="AK358">
        <v>12443</v>
      </c>
      <c r="AL358">
        <v>7447</v>
      </c>
      <c r="AM358">
        <v>30232</v>
      </c>
      <c r="AN358">
        <v>8680</v>
      </c>
      <c r="AO358">
        <v>13421</v>
      </c>
      <c r="AP358">
        <v>6357</v>
      </c>
      <c r="AQ358">
        <v>7255</v>
      </c>
      <c r="AR358">
        <v>8421</v>
      </c>
      <c r="AT358">
        <v>259</v>
      </c>
      <c r="AU358">
        <v>43405</v>
      </c>
      <c r="AV358">
        <v>33368</v>
      </c>
      <c r="AW358">
        <v>29127</v>
      </c>
      <c r="AX358">
        <v>2821</v>
      </c>
      <c r="AY358">
        <v>22001</v>
      </c>
      <c r="AZ358">
        <v>32258</v>
      </c>
      <c r="BA358">
        <v>1217</v>
      </c>
      <c r="BB358">
        <v>18764</v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  <c r="BT358" t="str">
        <f>""</f>
        <v/>
      </c>
      <c r="BU358" t="str">
        <f>""</f>
        <v/>
      </c>
      <c r="BV358" t="str">
        <f>""</f>
        <v/>
      </c>
      <c r="BW358" t="str">
        <f>""</f>
        <v/>
      </c>
      <c r="BX358" t="str">
        <f>""</f>
        <v/>
      </c>
      <c r="BY358" t="str">
        <f>""</f>
        <v/>
      </c>
      <c r="BZ358" t="str">
        <f>""</f>
        <v/>
      </c>
      <c r="CA358" t="str">
        <f>""</f>
        <v/>
      </c>
      <c r="CB358" t="str">
        <f>""</f>
        <v/>
      </c>
      <c r="CC358" t="str">
        <f>""</f>
        <v/>
      </c>
      <c r="CD358" t="str">
        <f>""</f>
        <v/>
      </c>
      <c r="CE358" t="str">
        <f>""</f>
        <v/>
      </c>
      <c r="CF358" t="str">
        <f>""</f>
        <v/>
      </c>
      <c r="CG358" t="str">
        <f>""</f>
        <v/>
      </c>
      <c r="CH358" t="str">
        <f>""</f>
        <v/>
      </c>
      <c r="CI358" t="str">
        <f>""</f>
        <v/>
      </c>
      <c r="CJ358" t="str">
        <f>""</f>
        <v/>
      </c>
      <c r="CK358" t="str">
        <f>""</f>
        <v/>
      </c>
      <c r="CL358" t="str">
        <f>""</f>
        <v/>
      </c>
      <c r="CM358" t="str">
        <f>""</f>
        <v/>
      </c>
      <c r="CN358" t="str">
        <f>""</f>
        <v/>
      </c>
      <c r="CO358" t="str">
        <f>""</f>
        <v/>
      </c>
      <c r="CP358" t="str">
        <f>""</f>
        <v/>
      </c>
      <c r="CQ358" t="str">
        <f>""</f>
        <v/>
      </c>
      <c r="CR358" t="str">
        <f>""</f>
        <v/>
      </c>
      <c r="CS358" t="str">
        <f>""</f>
        <v/>
      </c>
      <c r="CT358" t="str">
        <f>""</f>
        <v/>
      </c>
      <c r="CU358" t="str">
        <f>""</f>
        <v/>
      </c>
      <c r="CV358" t="str">
        <f>""</f>
        <v/>
      </c>
      <c r="CW358" t="str">
        <f>""</f>
        <v/>
      </c>
      <c r="CX358" t="str">
        <f>""</f>
        <v/>
      </c>
      <c r="CY358" t="str">
        <f>""</f>
        <v/>
      </c>
      <c r="CZ358" t="str">
        <f>""</f>
        <v/>
      </c>
      <c r="DA358" t="str">
        <f>""</f>
        <v/>
      </c>
      <c r="DB358" t="str">
        <f>""</f>
        <v/>
      </c>
      <c r="DC358" t="str">
        <f>""</f>
        <v/>
      </c>
      <c r="DD358" t="str">
        <f>""</f>
        <v/>
      </c>
      <c r="DE358" t="str">
        <f>""</f>
        <v/>
      </c>
      <c r="DF358" t="str">
        <f>""</f>
        <v/>
      </c>
      <c r="DG358" t="str">
        <f>""</f>
        <v/>
      </c>
      <c r="DH358" t="str">
        <f>""</f>
        <v/>
      </c>
      <c r="DI358" t="str">
        <f>""</f>
        <v/>
      </c>
      <c r="DJ358" t="str">
        <f>""</f>
        <v/>
      </c>
      <c r="DK358" t="str">
        <f>""</f>
        <v/>
      </c>
      <c r="DL358" t="str">
        <f>""</f>
        <v/>
      </c>
      <c r="DM358" t="str">
        <f>""</f>
        <v/>
      </c>
      <c r="DN358" t="str">
        <f>""</f>
        <v/>
      </c>
      <c r="DO358" t="str">
        <f>""</f>
        <v/>
      </c>
      <c r="DP358" t="str">
        <f>""</f>
        <v/>
      </c>
      <c r="DQ358" t="str">
        <f>""</f>
        <v/>
      </c>
      <c r="DR358" t="str">
        <f>""</f>
        <v/>
      </c>
      <c r="DS358" t="str">
        <f>""</f>
        <v/>
      </c>
      <c r="DT358" t="str">
        <f>""</f>
        <v/>
      </c>
      <c r="DU358" t="str">
        <f>""</f>
        <v/>
      </c>
    </row>
    <row r="359" spans="1:125" x14ac:dyDescent="0.25">
      <c r="A359" t="str">
        <f>$A$157</f>
        <v xml:space="preserve">    AIB Group PLC</v>
      </c>
      <c r="B359" t="str">
        <f>$B$157</f>
        <v>AIBG ID Equity</v>
      </c>
      <c r="C359" t="str">
        <f>$C$157</f>
        <v>BS018</v>
      </c>
      <c r="D359" t="str">
        <f>$D$157</f>
        <v>BS_OTHER_LOAN</v>
      </c>
      <c r="E359" t="str">
        <f>$E$157</f>
        <v>Dynamic</v>
      </c>
      <c r="F359" t="str">
        <f ca="1">_xll.BDH($B$157,$C$157,$B$206,$B$207,CONCATENATE("Per=",$B$204),"Dts=H","Dir=H",CONCATENATE("Points=",$B$205),"Sort=R","Days=A","Fill=B",CONCATENATE("FX=", $B$203) )</f>
        <v/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  <c r="BT359" t="str">
        <f>""</f>
        <v/>
      </c>
      <c r="BU359" t="str">
        <f>""</f>
        <v/>
      </c>
      <c r="BV359" t="str">
        <f>""</f>
        <v/>
      </c>
      <c r="BW359" t="str">
        <f>""</f>
        <v/>
      </c>
      <c r="BX359" t="str">
        <f>""</f>
        <v/>
      </c>
      <c r="BY359" t="str">
        <f>""</f>
        <v/>
      </c>
      <c r="BZ359" t="str">
        <f>""</f>
        <v/>
      </c>
      <c r="CA359" t="str">
        <f>""</f>
        <v/>
      </c>
      <c r="CB359" t="str">
        <f>""</f>
        <v/>
      </c>
      <c r="CC359" t="str">
        <f>""</f>
        <v/>
      </c>
      <c r="CD359" t="str">
        <f>""</f>
        <v/>
      </c>
      <c r="CE359" t="str">
        <f>""</f>
        <v/>
      </c>
      <c r="CF359" t="str">
        <f>""</f>
        <v/>
      </c>
      <c r="CG359" t="str">
        <f>""</f>
        <v/>
      </c>
      <c r="CH359" t="str">
        <f>""</f>
        <v/>
      </c>
      <c r="CI359" t="str">
        <f>""</f>
        <v/>
      </c>
      <c r="CJ359" t="str">
        <f>""</f>
        <v/>
      </c>
      <c r="CK359" t="str">
        <f>""</f>
        <v/>
      </c>
      <c r="CL359" t="str">
        <f>""</f>
        <v/>
      </c>
      <c r="CM359" t="str">
        <f>""</f>
        <v/>
      </c>
      <c r="CN359" t="str">
        <f>""</f>
        <v/>
      </c>
      <c r="CO359" t="str">
        <f>""</f>
        <v/>
      </c>
      <c r="CP359" t="str">
        <f>""</f>
        <v/>
      </c>
      <c r="CQ359" t="str">
        <f>""</f>
        <v/>
      </c>
      <c r="CR359" t="str">
        <f>""</f>
        <v/>
      </c>
      <c r="CS359" t="str">
        <f>""</f>
        <v/>
      </c>
      <c r="CT359" t="str">
        <f>""</f>
        <v/>
      </c>
      <c r="CU359" t="str">
        <f>""</f>
        <v/>
      </c>
      <c r="CV359" t="str">
        <f>""</f>
        <v/>
      </c>
      <c r="CW359" t="str">
        <f>""</f>
        <v/>
      </c>
      <c r="CX359" t="str">
        <f>""</f>
        <v/>
      </c>
      <c r="CY359" t="str">
        <f>""</f>
        <v/>
      </c>
      <c r="CZ359" t="str">
        <f>""</f>
        <v/>
      </c>
      <c r="DA359" t="str">
        <f>""</f>
        <v/>
      </c>
      <c r="DB359" t="str">
        <f>""</f>
        <v/>
      </c>
      <c r="DC359" t="str">
        <f>""</f>
        <v/>
      </c>
      <c r="DD359" t="str">
        <f>""</f>
        <v/>
      </c>
      <c r="DE359" t="str">
        <f>""</f>
        <v/>
      </c>
      <c r="DF359" t="str">
        <f>""</f>
        <v/>
      </c>
      <c r="DG359" t="str">
        <f>""</f>
        <v/>
      </c>
      <c r="DH359" t="str">
        <f>""</f>
        <v/>
      </c>
      <c r="DI359" t="str">
        <f>""</f>
        <v/>
      </c>
      <c r="DJ359" t="str">
        <f>""</f>
        <v/>
      </c>
      <c r="DK359" t="str">
        <f>""</f>
        <v/>
      </c>
      <c r="DL359" t="str">
        <f>""</f>
        <v/>
      </c>
      <c r="DM359" t="str">
        <f>""</f>
        <v/>
      </c>
      <c r="DN359" t="str">
        <f>""</f>
        <v/>
      </c>
      <c r="DO359" t="str">
        <f>""</f>
        <v/>
      </c>
      <c r="DP359" t="str">
        <f>""</f>
        <v/>
      </c>
      <c r="DQ359" t="str">
        <f>""</f>
        <v/>
      </c>
      <c r="DR359" t="str">
        <f>""</f>
        <v/>
      </c>
      <c r="DS359" t="str">
        <f>""</f>
        <v/>
      </c>
      <c r="DT359" t="str">
        <f>""</f>
        <v/>
      </c>
      <c r="DU359" t="str">
        <f>""</f>
        <v/>
      </c>
    </row>
    <row r="360" spans="1:125" x14ac:dyDescent="0.25">
      <c r="A360" t="str">
        <f>$A$158</f>
        <v xml:space="preserve">    Banco de Sabadell SA</v>
      </c>
      <c r="B360" t="str">
        <f>$B$158</f>
        <v>SAB SM Equity</v>
      </c>
      <c r="C360" t="str">
        <f>$C$158</f>
        <v>BS018</v>
      </c>
      <c r="D360" t="str">
        <f>$D$158</f>
        <v>BS_OTHER_LOAN</v>
      </c>
      <c r="E360" t="str">
        <f>$E$158</f>
        <v>Dynamic</v>
      </c>
      <c r="F360">
        <f ca="1">_xll.BDH($B$158,$C$158,$B$206,$B$207,CONCATENATE("Per=",$B$204),"Dts=H","Dir=H",CONCATENATE("Points=",$B$205),"Sort=R","Days=A","Fill=B",CONCATENATE("FX=", $B$203),"cols=60;rows=1")</f>
        <v>55378.385000000002</v>
      </c>
      <c r="G360">
        <v>12682</v>
      </c>
      <c r="H360">
        <v>13246</v>
      </c>
      <c r="I360">
        <v>13184</v>
      </c>
      <c r="J360">
        <v>54033.925999999999</v>
      </c>
      <c r="K360">
        <v>13543</v>
      </c>
      <c r="L360">
        <v>57122.036999999997</v>
      </c>
      <c r="M360">
        <v>11305</v>
      </c>
      <c r="N360">
        <v>58139.504999999997</v>
      </c>
      <c r="O360">
        <v>11182</v>
      </c>
      <c r="P360">
        <v>59574.144</v>
      </c>
      <c r="Q360">
        <v>11194</v>
      </c>
      <c r="R360">
        <v>57429.576000000001</v>
      </c>
      <c r="S360">
        <v>11122</v>
      </c>
      <c r="T360">
        <v>57520.841999999997</v>
      </c>
      <c r="U360">
        <v>11540</v>
      </c>
      <c r="V360">
        <v>55169.928</v>
      </c>
      <c r="W360">
        <v>12033</v>
      </c>
      <c r="X360">
        <v>56523.55</v>
      </c>
      <c r="Y360">
        <v>11713</v>
      </c>
      <c r="Z360">
        <v>49879.256000000001</v>
      </c>
      <c r="AA360">
        <v>11959</v>
      </c>
      <c r="AB360">
        <v>50586.83</v>
      </c>
      <c r="AC360">
        <v>11724</v>
      </c>
      <c r="AD360">
        <v>48787.080999999998</v>
      </c>
      <c r="AE360">
        <v>12105</v>
      </c>
      <c r="AF360">
        <v>48255.614000000001</v>
      </c>
      <c r="AG360">
        <v>12321</v>
      </c>
      <c r="AH360">
        <v>47374.618999999999</v>
      </c>
      <c r="AI360">
        <v>12794</v>
      </c>
      <c r="AJ360">
        <v>45977.826999999997</v>
      </c>
      <c r="AK360">
        <v>13646</v>
      </c>
      <c r="AL360">
        <v>47070.207000000002</v>
      </c>
      <c r="AM360">
        <v>14387</v>
      </c>
      <c r="AN360">
        <v>47731.45</v>
      </c>
      <c r="AO360">
        <v>49612</v>
      </c>
      <c r="AP360">
        <v>47813.364000000001</v>
      </c>
      <c r="AQ360">
        <v>50312</v>
      </c>
      <c r="AR360">
        <v>51158.857000000004</v>
      </c>
      <c r="AS360">
        <v>48779.097000000002</v>
      </c>
      <c r="AT360">
        <v>56872.398000000001</v>
      </c>
      <c r="AU360">
        <v>47828</v>
      </c>
      <c r="AV360">
        <v>54960.099000000002</v>
      </c>
      <c r="AW360">
        <v>55175.343999999997</v>
      </c>
      <c r="AX360">
        <v>56883.413</v>
      </c>
      <c r="AY360">
        <v>53544.940999999999</v>
      </c>
      <c r="AZ360">
        <v>50121.328000000001</v>
      </c>
      <c r="BA360">
        <v>51237.762000000002</v>
      </c>
      <c r="BB360">
        <v>54412.425000000003</v>
      </c>
      <c r="BC360">
        <v>55085.375999999997</v>
      </c>
      <c r="BD360">
        <v>54877.201000000001</v>
      </c>
      <c r="BE360">
        <v>33144.196000000004</v>
      </c>
      <c r="BF360">
        <v>34954.622000000003</v>
      </c>
      <c r="BG360">
        <v>30956.63</v>
      </c>
      <c r="BH360">
        <v>29898.002</v>
      </c>
      <c r="BI360">
        <v>30566.821</v>
      </c>
      <c r="BJ360">
        <v>33194.777000000002</v>
      </c>
      <c r="BK360">
        <v>27355.512999999999</v>
      </c>
      <c r="BL360">
        <v>29946.882000000001</v>
      </c>
      <c r="BM360">
        <v>29559.567999999999</v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  <c r="BT360" t="str">
        <f>""</f>
        <v/>
      </c>
      <c r="BU360" t="str">
        <f>""</f>
        <v/>
      </c>
      <c r="BV360" t="str">
        <f>""</f>
        <v/>
      </c>
      <c r="BW360" t="str">
        <f>""</f>
        <v/>
      </c>
      <c r="BX360" t="str">
        <f>""</f>
        <v/>
      </c>
      <c r="BY360" t="str">
        <f>""</f>
        <v/>
      </c>
      <c r="BZ360" t="str">
        <f>""</f>
        <v/>
      </c>
      <c r="CA360" t="str">
        <f>""</f>
        <v/>
      </c>
      <c r="CB360" t="str">
        <f>""</f>
        <v/>
      </c>
      <c r="CC360" t="str">
        <f>""</f>
        <v/>
      </c>
      <c r="CD360" t="str">
        <f>""</f>
        <v/>
      </c>
      <c r="CE360" t="str">
        <f>""</f>
        <v/>
      </c>
      <c r="CF360" t="str">
        <f>""</f>
        <v/>
      </c>
      <c r="CG360" t="str">
        <f>""</f>
        <v/>
      </c>
      <c r="CH360" t="str">
        <f>""</f>
        <v/>
      </c>
      <c r="CI360" t="str">
        <f>""</f>
        <v/>
      </c>
      <c r="CJ360" t="str">
        <f>""</f>
        <v/>
      </c>
      <c r="CK360" t="str">
        <f>""</f>
        <v/>
      </c>
      <c r="CL360" t="str">
        <f>""</f>
        <v/>
      </c>
      <c r="CM360" t="str">
        <f>""</f>
        <v/>
      </c>
      <c r="CN360" t="str">
        <f>""</f>
        <v/>
      </c>
      <c r="CO360" t="str">
        <f>""</f>
        <v/>
      </c>
      <c r="CP360" t="str">
        <f>""</f>
        <v/>
      </c>
      <c r="CQ360" t="str">
        <f>""</f>
        <v/>
      </c>
      <c r="CR360" t="str">
        <f>""</f>
        <v/>
      </c>
      <c r="CS360" t="str">
        <f>""</f>
        <v/>
      </c>
      <c r="CT360" t="str">
        <f>""</f>
        <v/>
      </c>
      <c r="CU360" t="str">
        <f>""</f>
        <v/>
      </c>
      <c r="CV360" t="str">
        <f>""</f>
        <v/>
      </c>
      <c r="CW360" t="str">
        <f>""</f>
        <v/>
      </c>
      <c r="CX360" t="str">
        <f>""</f>
        <v/>
      </c>
      <c r="CY360" t="str">
        <f>""</f>
        <v/>
      </c>
      <c r="CZ360" t="str">
        <f>""</f>
        <v/>
      </c>
      <c r="DA360" t="str">
        <f>""</f>
        <v/>
      </c>
      <c r="DB360" t="str">
        <f>""</f>
        <v/>
      </c>
      <c r="DC360" t="str">
        <f>""</f>
        <v/>
      </c>
      <c r="DD360" t="str">
        <f>""</f>
        <v/>
      </c>
      <c r="DE360" t="str">
        <f>""</f>
        <v/>
      </c>
      <c r="DF360" t="str">
        <f>""</f>
        <v/>
      </c>
      <c r="DG360" t="str">
        <f>""</f>
        <v/>
      </c>
      <c r="DH360" t="str">
        <f>""</f>
        <v/>
      </c>
      <c r="DI360" t="str">
        <f>""</f>
        <v/>
      </c>
      <c r="DJ360" t="str">
        <f>""</f>
        <v/>
      </c>
      <c r="DK360" t="str">
        <f>""</f>
        <v/>
      </c>
      <c r="DL360" t="str">
        <f>""</f>
        <v/>
      </c>
      <c r="DM360" t="str">
        <f>""</f>
        <v/>
      </c>
      <c r="DN360" t="str">
        <f>""</f>
        <v/>
      </c>
      <c r="DO360" t="str">
        <f>""</f>
        <v/>
      </c>
      <c r="DP360" t="str">
        <f>""</f>
        <v/>
      </c>
      <c r="DQ360" t="str">
        <f>""</f>
        <v/>
      </c>
      <c r="DR360" t="str">
        <f>""</f>
        <v/>
      </c>
      <c r="DS360" t="str">
        <f>""</f>
        <v/>
      </c>
      <c r="DT360" t="str">
        <f>""</f>
        <v/>
      </c>
      <c r="DU360" t="str">
        <f>""</f>
        <v/>
      </c>
    </row>
    <row r="361" spans="1:125" x14ac:dyDescent="0.25">
      <c r="A361" t="str">
        <f>$A$159</f>
        <v xml:space="preserve">    Banco Santander SA</v>
      </c>
      <c r="B361" t="str">
        <f>$B$159</f>
        <v>SAN SM Equity</v>
      </c>
      <c r="C361" t="str">
        <f>$C$159</f>
        <v>BS018</v>
      </c>
      <c r="D361" t="str">
        <f>$D$159</f>
        <v>BS_OTHER_LOAN</v>
      </c>
      <c r="E361" t="str">
        <f>$E$159</f>
        <v>Dynamic</v>
      </c>
      <c r="F361">
        <f ca="1">_xll.BDH($B$159,$C$159,$B$206,$B$207,CONCATENATE("Per=",$B$204),"Dts=H","Dir=H",CONCATENATE("Points=",$B$205),"Sort=R","Days=A","Fill=B",CONCATENATE("FX=", $B$203),"cols=60;rows=1")</f>
        <v>44487</v>
      </c>
      <c r="G361">
        <v>44522</v>
      </c>
      <c r="H361">
        <v>11783</v>
      </c>
      <c r="I361">
        <v>14121</v>
      </c>
      <c r="J361">
        <v>20849</v>
      </c>
      <c r="K361">
        <v>18355</v>
      </c>
      <c r="L361">
        <v>20674</v>
      </c>
      <c r="M361">
        <v>18368</v>
      </c>
      <c r="N361">
        <v>19916</v>
      </c>
      <c r="O361">
        <v>16650</v>
      </c>
      <c r="P361">
        <v>15598</v>
      </c>
      <c r="Q361">
        <v>12802</v>
      </c>
      <c r="R361">
        <v>16631</v>
      </c>
      <c r="S361">
        <v>5733</v>
      </c>
      <c r="T361">
        <v>8308</v>
      </c>
      <c r="U361">
        <v>3791</v>
      </c>
      <c r="V361">
        <v>4482</v>
      </c>
      <c r="W361">
        <v>29596</v>
      </c>
      <c r="X361">
        <v>41659</v>
      </c>
      <c r="Y361">
        <v>1157</v>
      </c>
      <c r="Z361">
        <v>40257</v>
      </c>
      <c r="AA361">
        <v>40634</v>
      </c>
      <c r="AB361">
        <v>41734</v>
      </c>
      <c r="AC361">
        <v>42333</v>
      </c>
      <c r="AD361">
        <v>43012</v>
      </c>
      <c r="AE361">
        <v>43499</v>
      </c>
      <c r="AF361">
        <v>45086</v>
      </c>
      <c r="AG361">
        <v>44133</v>
      </c>
      <c r="AH361">
        <v>61865</v>
      </c>
      <c r="AI361">
        <v>110511</v>
      </c>
      <c r="AJ361">
        <v>118322</v>
      </c>
      <c r="AK361">
        <v>39159</v>
      </c>
      <c r="AL361">
        <v>43483</v>
      </c>
      <c r="AM361">
        <v>287604</v>
      </c>
      <c r="AN361">
        <v>300967</v>
      </c>
      <c r="AO361">
        <v>282066</v>
      </c>
      <c r="AP361">
        <v>256623</v>
      </c>
      <c r="AT361">
        <v>65327</v>
      </c>
      <c r="AX361">
        <v>59239</v>
      </c>
      <c r="BB361">
        <v>65298</v>
      </c>
      <c r="BF361">
        <v>55557</v>
      </c>
      <c r="BJ361">
        <v>53208.968999999997</v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  <c r="BT361" t="str">
        <f>""</f>
        <v/>
      </c>
      <c r="BU361" t="str">
        <f>""</f>
        <v/>
      </c>
      <c r="BV361" t="str">
        <f>""</f>
        <v/>
      </c>
      <c r="BW361" t="str">
        <f>""</f>
        <v/>
      </c>
      <c r="BX361" t="str">
        <f>""</f>
        <v/>
      </c>
      <c r="BY361" t="str">
        <f>""</f>
        <v/>
      </c>
      <c r="BZ361" t="str">
        <f>""</f>
        <v/>
      </c>
      <c r="CA361" t="str">
        <f>""</f>
        <v/>
      </c>
      <c r="CB361" t="str">
        <f>""</f>
        <v/>
      </c>
      <c r="CC361" t="str">
        <f>""</f>
        <v/>
      </c>
      <c r="CD361" t="str">
        <f>""</f>
        <v/>
      </c>
      <c r="CE361" t="str">
        <f>""</f>
        <v/>
      </c>
      <c r="CF361" t="str">
        <f>""</f>
        <v/>
      </c>
      <c r="CG361" t="str">
        <f>""</f>
        <v/>
      </c>
      <c r="CH361" t="str">
        <f>""</f>
        <v/>
      </c>
      <c r="CI361" t="str">
        <f>""</f>
        <v/>
      </c>
      <c r="CJ361" t="str">
        <f>""</f>
        <v/>
      </c>
      <c r="CK361" t="str">
        <f>""</f>
        <v/>
      </c>
      <c r="CL361" t="str">
        <f>""</f>
        <v/>
      </c>
      <c r="CM361" t="str">
        <f>""</f>
        <v/>
      </c>
      <c r="CN361" t="str">
        <f>""</f>
        <v/>
      </c>
      <c r="CO361" t="str">
        <f>""</f>
        <v/>
      </c>
      <c r="CP361" t="str">
        <f>""</f>
        <v/>
      </c>
      <c r="CQ361" t="str">
        <f>""</f>
        <v/>
      </c>
      <c r="CR361" t="str">
        <f>""</f>
        <v/>
      </c>
      <c r="CS361" t="str">
        <f>""</f>
        <v/>
      </c>
      <c r="CT361" t="str">
        <f>""</f>
        <v/>
      </c>
      <c r="CU361" t="str">
        <f>""</f>
        <v/>
      </c>
      <c r="CV361" t="str">
        <f>""</f>
        <v/>
      </c>
      <c r="CW361" t="str">
        <f>""</f>
        <v/>
      </c>
      <c r="CX361" t="str">
        <f>""</f>
        <v/>
      </c>
      <c r="CY361" t="str">
        <f>""</f>
        <v/>
      </c>
      <c r="CZ361" t="str">
        <f>""</f>
        <v/>
      </c>
      <c r="DA361" t="str">
        <f>""</f>
        <v/>
      </c>
      <c r="DB361" t="str">
        <f>""</f>
        <v/>
      </c>
      <c r="DC361" t="str">
        <f>""</f>
        <v/>
      </c>
      <c r="DD361" t="str">
        <f>""</f>
        <v/>
      </c>
      <c r="DE361" t="str">
        <f>""</f>
        <v/>
      </c>
      <c r="DF361" t="str">
        <f>""</f>
        <v/>
      </c>
      <c r="DG361" t="str">
        <f>""</f>
        <v/>
      </c>
      <c r="DH361" t="str">
        <f>""</f>
        <v/>
      </c>
      <c r="DI361" t="str">
        <f>""</f>
        <v/>
      </c>
      <c r="DJ361" t="str">
        <f>""</f>
        <v/>
      </c>
      <c r="DK361" t="str">
        <f>""</f>
        <v/>
      </c>
      <c r="DL361" t="str">
        <f>""</f>
        <v/>
      </c>
      <c r="DM361" t="str">
        <f>""</f>
        <v/>
      </c>
      <c r="DN361" t="str">
        <f>""</f>
        <v/>
      </c>
      <c r="DO361" t="str">
        <f>""</f>
        <v/>
      </c>
      <c r="DP361" t="str">
        <f>""</f>
        <v/>
      </c>
      <c r="DQ361" t="str">
        <f>""</f>
        <v/>
      </c>
      <c r="DR361" t="str">
        <f>""</f>
        <v/>
      </c>
      <c r="DS361" t="str">
        <f>""</f>
        <v/>
      </c>
      <c r="DT361" t="str">
        <f>""</f>
        <v/>
      </c>
      <c r="DU361" t="str">
        <f>""</f>
        <v/>
      </c>
    </row>
    <row r="362" spans="1:125" x14ac:dyDescent="0.25">
      <c r="A362" t="str">
        <f>$A$160</f>
        <v xml:space="preserve">    Barclays PLC</v>
      </c>
      <c r="B362" t="str">
        <f>$B$160</f>
        <v>BARC LN Equity</v>
      </c>
      <c r="C362" t="str">
        <f>$C$160</f>
        <v>BS018</v>
      </c>
      <c r="D362" t="str">
        <f>$D$160</f>
        <v>BS_OTHER_LOAN</v>
      </c>
      <c r="E362" t="str">
        <f>$E$160</f>
        <v>Dynamic</v>
      </c>
      <c r="F362">
        <f ca="1">_xll.BDH($B$160,$C$160,$B$206,$B$207,CONCATENATE("Per=",$B$204),"Dts=H","Dir=H",CONCATENATE("Points=",$B$205),"Sort=R","Days=A","Fill=B",CONCATENATE("FX=", $B$203),"cols=60;rows=1")</f>
        <v>42267.502099999998</v>
      </c>
      <c r="G362">
        <v>77731.119099999996</v>
      </c>
      <c r="H362">
        <v>84729.477599999998</v>
      </c>
      <c r="I362">
        <v>67146.616800000003</v>
      </c>
      <c r="J362">
        <v>45212.673699999999</v>
      </c>
      <c r="K362">
        <v>14100.7109</v>
      </c>
      <c r="L362">
        <v>82732.0337</v>
      </c>
      <c r="M362">
        <v>0</v>
      </c>
      <c r="N362">
        <v>57235.930500000002</v>
      </c>
      <c r="O362">
        <v>6591.5974999999999</v>
      </c>
      <c r="P362">
        <v>6386.4490999999998</v>
      </c>
      <c r="R362">
        <v>56587.616800000003</v>
      </c>
      <c r="S362">
        <v>7224.3375999999998</v>
      </c>
      <c r="T362">
        <v>7590.0582000000004</v>
      </c>
      <c r="V362">
        <v>54399.653700000003</v>
      </c>
      <c r="W362">
        <v>9575.8603000000003</v>
      </c>
      <c r="X362">
        <v>9866.4251999999997</v>
      </c>
      <c r="Z362">
        <v>48690.056900000003</v>
      </c>
      <c r="AB362">
        <v>0</v>
      </c>
      <c r="AD362">
        <v>33704.777999999998</v>
      </c>
      <c r="AF362">
        <v>0</v>
      </c>
      <c r="AH362">
        <v>24840.8724</v>
      </c>
      <c r="AJ362">
        <v>84448.852400000003</v>
      </c>
      <c r="AL362">
        <v>29696.121599999999</v>
      </c>
      <c r="AN362">
        <v>107532.7485</v>
      </c>
      <c r="AP362">
        <v>32905.390899999999</v>
      </c>
      <c r="AR362">
        <v>124222.28320000001</v>
      </c>
      <c r="AT362">
        <v>32462.5628</v>
      </c>
      <c r="AV362">
        <v>111588.98850000001</v>
      </c>
      <c r="AX362">
        <v>37716.513500000001</v>
      </c>
      <c r="AZ362">
        <v>40232.952299999997</v>
      </c>
      <c r="BB362">
        <v>44061.517200000002</v>
      </c>
      <c r="BD362">
        <v>44110.660799999998</v>
      </c>
      <c r="BF362">
        <v>47881.644099999998</v>
      </c>
      <c r="BH362">
        <v>53833.862099999998</v>
      </c>
      <c r="BJ362">
        <v>20403.843499999999</v>
      </c>
      <c r="BL362">
        <v>11997.7453</v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  <c r="BT362" t="str">
        <f>""</f>
        <v/>
      </c>
      <c r="BU362" t="str">
        <f>""</f>
        <v/>
      </c>
      <c r="BV362" t="str">
        <f>""</f>
        <v/>
      </c>
      <c r="BW362" t="str">
        <f>""</f>
        <v/>
      </c>
      <c r="BX362" t="str">
        <f>""</f>
        <v/>
      </c>
      <c r="BY362" t="str">
        <f>""</f>
        <v/>
      </c>
      <c r="BZ362" t="str">
        <f>""</f>
        <v/>
      </c>
      <c r="CA362" t="str">
        <f>""</f>
        <v/>
      </c>
      <c r="CB362" t="str">
        <f>""</f>
        <v/>
      </c>
      <c r="CC362" t="str">
        <f>""</f>
        <v/>
      </c>
      <c r="CD362" t="str">
        <f>""</f>
        <v/>
      </c>
      <c r="CE362" t="str">
        <f>""</f>
        <v/>
      </c>
      <c r="CF362" t="str">
        <f>""</f>
        <v/>
      </c>
      <c r="CG362" t="str">
        <f>""</f>
        <v/>
      </c>
      <c r="CH362" t="str">
        <f>""</f>
        <v/>
      </c>
      <c r="CI362" t="str">
        <f>""</f>
        <v/>
      </c>
      <c r="CJ362" t="str">
        <f>""</f>
        <v/>
      </c>
      <c r="CK362" t="str">
        <f>""</f>
        <v/>
      </c>
      <c r="CL362" t="str">
        <f>""</f>
        <v/>
      </c>
      <c r="CM362" t="str">
        <f>""</f>
        <v/>
      </c>
      <c r="CN362" t="str">
        <f>""</f>
        <v/>
      </c>
      <c r="CO362" t="str">
        <f>""</f>
        <v/>
      </c>
      <c r="CP362" t="str">
        <f>""</f>
        <v/>
      </c>
      <c r="CQ362" t="str">
        <f>""</f>
        <v/>
      </c>
      <c r="CR362" t="str">
        <f>""</f>
        <v/>
      </c>
      <c r="CS362" t="str">
        <f>""</f>
        <v/>
      </c>
      <c r="CT362" t="str">
        <f>""</f>
        <v/>
      </c>
      <c r="CU362" t="str">
        <f>""</f>
        <v/>
      </c>
      <c r="CV362" t="str">
        <f>""</f>
        <v/>
      </c>
      <c r="CW362" t="str">
        <f>""</f>
        <v/>
      </c>
      <c r="CX362" t="str">
        <f>""</f>
        <v/>
      </c>
      <c r="CY362" t="str">
        <f>""</f>
        <v/>
      </c>
      <c r="CZ362" t="str">
        <f>""</f>
        <v/>
      </c>
      <c r="DA362" t="str">
        <f>""</f>
        <v/>
      </c>
      <c r="DB362" t="str">
        <f>""</f>
        <v/>
      </c>
      <c r="DC362" t="str">
        <f>""</f>
        <v/>
      </c>
      <c r="DD362" t="str">
        <f>""</f>
        <v/>
      </c>
      <c r="DE362" t="str">
        <f>""</f>
        <v/>
      </c>
      <c r="DF362" t="str">
        <f>""</f>
        <v/>
      </c>
      <c r="DG362" t="str">
        <f>""</f>
        <v/>
      </c>
      <c r="DH362" t="str">
        <f>""</f>
        <v/>
      </c>
      <c r="DI362" t="str">
        <f>""</f>
        <v/>
      </c>
      <c r="DJ362" t="str">
        <f>""</f>
        <v/>
      </c>
      <c r="DK362" t="str">
        <f>""</f>
        <v/>
      </c>
      <c r="DL362" t="str">
        <f>""</f>
        <v/>
      </c>
      <c r="DM362" t="str">
        <f>""</f>
        <v/>
      </c>
      <c r="DN362" t="str">
        <f>""</f>
        <v/>
      </c>
      <c r="DO362" t="str">
        <f>""</f>
        <v/>
      </c>
      <c r="DP362" t="str">
        <f>""</f>
        <v/>
      </c>
      <c r="DQ362" t="str">
        <f>""</f>
        <v/>
      </c>
      <c r="DR362" t="str">
        <f>""</f>
        <v/>
      </c>
      <c r="DS362" t="str">
        <f>""</f>
        <v/>
      </c>
      <c r="DT362" t="str">
        <f>""</f>
        <v/>
      </c>
      <c r="DU362" t="str">
        <f>""</f>
        <v/>
      </c>
    </row>
    <row r="363" spans="1:125" x14ac:dyDescent="0.25">
      <c r="A363" t="str">
        <f>$A$161</f>
        <v xml:space="preserve">    BAWAG Group AG</v>
      </c>
      <c r="B363" t="str">
        <f>$B$161</f>
        <v>BG AV Equity</v>
      </c>
      <c r="C363" t="str">
        <f>$C$161</f>
        <v>BS018</v>
      </c>
      <c r="D363" t="str">
        <f>$D$161</f>
        <v>BS_OTHER_LOAN</v>
      </c>
      <c r="E363" t="str">
        <f>$E$161</f>
        <v>Dynamic</v>
      </c>
      <c r="F363">
        <f ca="1">_xll.BDH($B$161,$C$161,$B$206,$B$207,CONCATENATE("Per=",$B$204),"Dts=H","Dir=H",CONCATENATE("Points=",$B$205),"Sort=R","Days=A","Fill=B",CONCATENATE("FX=", $B$203),"cols=60;rows=1")</f>
        <v>2084</v>
      </c>
      <c r="H363">
        <v>2107</v>
      </c>
      <c r="J363">
        <v>1494</v>
      </c>
      <c r="L363">
        <v>1527</v>
      </c>
      <c r="N363">
        <v>1574</v>
      </c>
      <c r="P363">
        <v>1601</v>
      </c>
      <c r="R363">
        <v>1636</v>
      </c>
      <c r="V363">
        <v>1741</v>
      </c>
      <c r="AN363">
        <v>22535</v>
      </c>
      <c r="AO363">
        <v>23419</v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  <c r="BT363" t="str">
        <f>""</f>
        <v/>
      </c>
      <c r="BU363" t="str">
        <f>""</f>
        <v/>
      </c>
      <c r="BV363" t="str">
        <f>""</f>
        <v/>
      </c>
      <c r="BW363" t="str">
        <f>""</f>
        <v/>
      </c>
      <c r="BX363" t="str">
        <f>""</f>
        <v/>
      </c>
      <c r="BY363" t="str">
        <f>""</f>
        <v/>
      </c>
      <c r="BZ363" t="str">
        <f>""</f>
        <v/>
      </c>
      <c r="CA363" t="str">
        <f>""</f>
        <v/>
      </c>
      <c r="CB363" t="str">
        <f>""</f>
        <v/>
      </c>
      <c r="CC363" t="str">
        <f>""</f>
        <v/>
      </c>
      <c r="CD363" t="str">
        <f>""</f>
        <v/>
      </c>
      <c r="CE363" t="str">
        <f>""</f>
        <v/>
      </c>
      <c r="CF363" t="str">
        <f>""</f>
        <v/>
      </c>
      <c r="CG363" t="str">
        <f>""</f>
        <v/>
      </c>
      <c r="CH363" t="str">
        <f>""</f>
        <v/>
      </c>
      <c r="CI363" t="str">
        <f>""</f>
        <v/>
      </c>
      <c r="CJ363" t="str">
        <f>""</f>
        <v/>
      </c>
      <c r="CK363" t="str">
        <f>""</f>
        <v/>
      </c>
      <c r="CL363" t="str">
        <f>""</f>
        <v/>
      </c>
      <c r="CM363" t="str">
        <f>""</f>
        <v/>
      </c>
      <c r="CN363" t="str">
        <f>""</f>
        <v/>
      </c>
      <c r="CO363" t="str">
        <f>""</f>
        <v/>
      </c>
      <c r="CP363" t="str">
        <f>""</f>
        <v/>
      </c>
      <c r="CQ363" t="str">
        <f>""</f>
        <v/>
      </c>
      <c r="CR363" t="str">
        <f>""</f>
        <v/>
      </c>
      <c r="CS363" t="str">
        <f>""</f>
        <v/>
      </c>
      <c r="CT363" t="str">
        <f>""</f>
        <v/>
      </c>
      <c r="CU363" t="str">
        <f>""</f>
        <v/>
      </c>
      <c r="CV363" t="str">
        <f>""</f>
        <v/>
      </c>
      <c r="CW363" t="str">
        <f>""</f>
        <v/>
      </c>
      <c r="CX363" t="str">
        <f>""</f>
        <v/>
      </c>
      <c r="CY363" t="str">
        <f>""</f>
        <v/>
      </c>
      <c r="CZ363" t="str">
        <f>""</f>
        <v/>
      </c>
      <c r="DA363" t="str">
        <f>""</f>
        <v/>
      </c>
      <c r="DB363" t="str">
        <f>""</f>
        <v/>
      </c>
      <c r="DC363" t="str">
        <f>""</f>
        <v/>
      </c>
      <c r="DD363" t="str">
        <f>""</f>
        <v/>
      </c>
      <c r="DE363" t="str">
        <f>""</f>
        <v/>
      </c>
      <c r="DF363" t="str">
        <f>""</f>
        <v/>
      </c>
      <c r="DG363" t="str">
        <f>""</f>
        <v/>
      </c>
      <c r="DH363" t="str">
        <f>""</f>
        <v/>
      </c>
      <c r="DI363" t="str">
        <f>""</f>
        <v/>
      </c>
      <c r="DJ363" t="str">
        <f>""</f>
        <v/>
      </c>
      <c r="DK363" t="str">
        <f>""</f>
        <v/>
      </c>
      <c r="DL363" t="str">
        <f>""</f>
        <v/>
      </c>
      <c r="DM363" t="str">
        <f>""</f>
        <v/>
      </c>
      <c r="DN363" t="str">
        <f>""</f>
        <v/>
      </c>
      <c r="DO363" t="str">
        <f>""</f>
        <v/>
      </c>
      <c r="DP363" t="str">
        <f>""</f>
        <v/>
      </c>
      <c r="DQ363" t="str">
        <f>""</f>
        <v/>
      </c>
      <c r="DR363" t="str">
        <f>""</f>
        <v/>
      </c>
      <c r="DS363" t="str">
        <f>""</f>
        <v/>
      </c>
      <c r="DT363" t="str">
        <f>""</f>
        <v/>
      </c>
      <c r="DU363" t="str">
        <f>""</f>
        <v/>
      </c>
    </row>
    <row r="364" spans="1:125" x14ac:dyDescent="0.25">
      <c r="A364" t="str">
        <f>$A$162</f>
        <v xml:space="preserve">    BNP Paribas SA</v>
      </c>
      <c r="B364" t="str">
        <f>$B$162</f>
        <v>BNP FP Equity</v>
      </c>
      <c r="C364" t="str">
        <f>$C$162</f>
        <v>BS018</v>
      </c>
      <c r="D364" t="str">
        <f>$D$162</f>
        <v>BS_OTHER_LOAN</v>
      </c>
      <c r="E364" t="str">
        <f>$E$162</f>
        <v>Dynamic</v>
      </c>
      <c r="F364">
        <f ca="1">_xll.BDH($B$162,$C$162,$B$206,$B$207,CONCATENATE("Per=",$B$204),"Dts=H","Dir=H",CONCATENATE("Points=",$B$205),"Sort=R","Days=A","Fill=B",CONCATENATE("FX=", $B$203),"cols=60;rows=1")</f>
        <v>14366</v>
      </c>
      <c r="H364">
        <v>19899</v>
      </c>
      <c r="J364">
        <v>12174</v>
      </c>
      <c r="L364">
        <v>14316</v>
      </c>
      <c r="N364">
        <v>15675</v>
      </c>
      <c r="P364">
        <v>20943</v>
      </c>
      <c r="R364">
        <v>10550</v>
      </c>
      <c r="T364">
        <v>19508</v>
      </c>
      <c r="V364">
        <v>9921</v>
      </c>
      <c r="X364">
        <v>16641</v>
      </c>
      <c r="Z364">
        <v>12609</v>
      </c>
      <c r="AB364">
        <v>15112</v>
      </c>
      <c r="AD364">
        <v>11494</v>
      </c>
      <c r="AF364">
        <v>11772</v>
      </c>
      <c r="AH364">
        <v>11488</v>
      </c>
      <c r="AJ364">
        <v>36810</v>
      </c>
      <c r="AN364">
        <v>31596</v>
      </c>
      <c r="AP364">
        <v>31780</v>
      </c>
      <c r="AT364">
        <v>33010</v>
      </c>
      <c r="AV364">
        <v>41340</v>
      </c>
      <c r="BN364" t="str">
        <f>""</f>
        <v/>
      </c>
      <c r="BO364" t="str">
        <f>""</f>
        <v/>
      </c>
      <c r="BP364" t="str">
        <f>""</f>
        <v/>
      </c>
      <c r="BQ364" t="str">
        <f>""</f>
        <v/>
      </c>
      <c r="BR364" t="str">
        <f>""</f>
        <v/>
      </c>
      <c r="BS364" t="str">
        <f>""</f>
        <v/>
      </c>
      <c r="BT364" t="str">
        <f>""</f>
        <v/>
      </c>
      <c r="BU364" t="str">
        <f>""</f>
        <v/>
      </c>
      <c r="BV364" t="str">
        <f>""</f>
        <v/>
      </c>
      <c r="BW364" t="str">
        <f>""</f>
        <v/>
      </c>
      <c r="BX364" t="str">
        <f>""</f>
        <v/>
      </c>
      <c r="BY364" t="str">
        <f>""</f>
        <v/>
      </c>
      <c r="BZ364" t="str">
        <f>""</f>
        <v/>
      </c>
      <c r="CA364" t="str">
        <f>""</f>
        <v/>
      </c>
      <c r="CB364" t="str">
        <f>""</f>
        <v/>
      </c>
      <c r="CC364" t="str">
        <f>""</f>
        <v/>
      </c>
      <c r="CD364" t="str">
        <f>""</f>
        <v/>
      </c>
      <c r="CE364" t="str">
        <f>""</f>
        <v/>
      </c>
      <c r="CF364" t="str">
        <f>""</f>
        <v/>
      </c>
      <c r="CG364" t="str">
        <f>""</f>
        <v/>
      </c>
      <c r="CH364" t="str">
        <f>""</f>
        <v/>
      </c>
      <c r="CI364" t="str">
        <f>""</f>
        <v/>
      </c>
      <c r="CJ364" t="str">
        <f>""</f>
        <v/>
      </c>
      <c r="CK364" t="str">
        <f>""</f>
        <v/>
      </c>
      <c r="CL364" t="str">
        <f>""</f>
        <v/>
      </c>
      <c r="CM364" t="str">
        <f>""</f>
        <v/>
      </c>
      <c r="CN364" t="str">
        <f>""</f>
        <v/>
      </c>
      <c r="CO364" t="str">
        <f>""</f>
        <v/>
      </c>
      <c r="CP364" t="str">
        <f>""</f>
        <v/>
      </c>
      <c r="CQ364" t="str">
        <f>""</f>
        <v/>
      </c>
      <c r="CR364" t="str">
        <f>""</f>
        <v/>
      </c>
      <c r="CS364" t="str">
        <f>""</f>
        <v/>
      </c>
      <c r="CT364" t="str">
        <f>""</f>
        <v/>
      </c>
      <c r="CU364" t="str">
        <f>""</f>
        <v/>
      </c>
      <c r="CV364" t="str">
        <f>""</f>
        <v/>
      </c>
      <c r="CW364" t="str">
        <f>""</f>
        <v/>
      </c>
      <c r="CX364" t="str">
        <f>""</f>
        <v/>
      </c>
      <c r="CY364" t="str">
        <f>""</f>
        <v/>
      </c>
      <c r="CZ364" t="str">
        <f>""</f>
        <v/>
      </c>
      <c r="DA364" t="str">
        <f>""</f>
        <v/>
      </c>
      <c r="DB364" t="str">
        <f>""</f>
        <v/>
      </c>
      <c r="DC364" t="str">
        <f>""</f>
        <v/>
      </c>
      <c r="DD364" t="str">
        <f>""</f>
        <v/>
      </c>
      <c r="DE364" t="str">
        <f>""</f>
        <v/>
      </c>
      <c r="DF364" t="str">
        <f>""</f>
        <v/>
      </c>
      <c r="DG364" t="str">
        <f>""</f>
        <v/>
      </c>
      <c r="DH364" t="str">
        <f>""</f>
        <v/>
      </c>
      <c r="DI364" t="str">
        <f>""</f>
        <v/>
      </c>
      <c r="DJ364" t="str">
        <f>""</f>
        <v/>
      </c>
      <c r="DK364" t="str">
        <f>""</f>
        <v/>
      </c>
      <c r="DL364" t="str">
        <f>""</f>
        <v/>
      </c>
      <c r="DM364" t="str">
        <f>""</f>
        <v/>
      </c>
      <c r="DN364" t="str">
        <f>""</f>
        <v/>
      </c>
      <c r="DO364" t="str">
        <f>""</f>
        <v/>
      </c>
      <c r="DP364" t="str">
        <f>""</f>
        <v/>
      </c>
      <c r="DQ364" t="str">
        <f>""</f>
        <v/>
      </c>
      <c r="DR364" t="str">
        <f>""</f>
        <v/>
      </c>
      <c r="DS364" t="str">
        <f>""</f>
        <v/>
      </c>
      <c r="DT364" t="str">
        <f>""</f>
        <v/>
      </c>
      <c r="DU364" t="str">
        <f>""</f>
        <v/>
      </c>
    </row>
    <row r="365" spans="1:125" x14ac:dyDescent="0.25">
      <c r="A365" t="str">
        <f>$A$163</f>
        <v xml:space="preserve">    Banco BPM SpA</v>
      </c>
      <c r="B365" t="str">
        <f>$B$163</f>
        <v>BAMI IM Equity</v>
      </c>
      <c r="C365" t="str">
        <f>$C$163</f>
        <v>BS018</v>
      </c>
      <c r="D365" t="str">
        <f>$D$163</f>
        <v>BS_OTHER_LOAN</v>
      </c>
      <c r="E365" t="str">
        <f>$E$163</f>
        <v>Dynamic</v>
      </c>
      <c r="F365" t="str">
        <f ca="1">_xll.BDH($B$163,$C$163,$B$206,$B$207,CONCATENATE("Per=",$B$204),"Dts=H","Dir=H",CONCATENATE("Points=",$B$205),"Sort=R","Days=A","Fill=B",CONCATENATE("FX=", $B$203),"cols=60;rows=1")</f>
        <v/>
      </c>
      <c r="H365">
        <v>19092.124</v>
      </c>
      <c r="J365">
        <v>16300.950999999999</v>
      </c>
      <c r="L365">
        <v>15220.128000000001</v>
      </c>
      <c r="N365">
        <v>18846.761999999999</v>
      </c>
      <c r="P365">
        <v>14107.249</v>
      </c>
      <c r="R365">
        <v>20115.412</v>
      </c>
      <c r="T365">
        <v>18460.830999999998</v>
      </c>
      <c r="V365">
        <v>23790.03</v>
      </c>
      <c r="X365">
        <v>24135.084999999999</v>
      </c>
      <c r="Z365">
        <v>32009.825000000001</v>
      </c>
      <c r="AB365">
        <v>25419.402999999998</v>
      </c>
      <c r="AD365">
        <v>27419.675999999999</v>
      </c>
      <c r="AF365">
        <v>34840.567999999999</v>
      </c>
      <c r="AH365">
        <v>36459.199000000001</v>
      </c>
      <c r="AJ365">
        <v>43839.904000000002</v>
      </c>
      <c r="AN365">
        <v>31036.118999999999</v>
      </c>
      <c r="AP365">
        <v>28844.682000000001</v>
      </c>
      <c r="AQ365">
        <v>29799.355</v>
      </c>
      <c r="AR365">
        <v>29965.151999999998</v>
      </c>
      <c r="AS365">
        <v>30630.348000000002</v>
      </c>
      <c r="AT365">
        <v>30251.94</v>
      </c>
      <c r="AU365">
        <v>32548.993999999999</v>
      </c>
      <c r="AV365">
        <v>29704.428</v>
      </c>
      <c r="AW365">
        <v>27519.758999999998</v>
      </c>
      <c r="AX365">
        <v>29140.774000000001</v>
      </c>
      <c r="AY365">
        <v>31035.276000000002</v>
      </c>
      <c r="AZ365">
        <v>30380.311000000002</v>
      </c>
      <c r="BA365">
        <v>29617.489000000001</v>
      </c>
      <c r="BB365">
        <v>29502.17</v>
      </c>
      <c r="BC365">
        <v>29517.200000000001</v>
      </c>
      <c r="BD365">
        <v>29773.52</v>
      </c>
      <c r="BE365">
        <v>31970.042000000001</v>
      </c>
      <c r="BF365">
        <v>31781.929</v>
      </c>
      <c r="BG365">
        <v>32568.824000000001</v>
      </c>
      <c r="BH365">
        <v>33026.324999999997</v>
      </c>
      <c r="BI365">
        <v>33416.822999999997</v>
      </c>
      <c r="BJ365">
        <v>34400.307000000001</v>
      </c>
      <c r="BK365">
        <v>35567.277000000002</v>
      </c>
      <c r="BL365">
        <v>36203.887000000002</v>
      </c>
      <c r="BM365">
        <v>36898.485000000001</v>
      </c>
      <c r="BN365" t="str">
        <f>""</f>
        <v/>
      </c>
      <c r="BO365" t="str">
        <f>""</f>
        <v/>
      </c>
      <c r="BP365" t="str">
        <f>""</f>
        <v/>
      </c>
      <c r="BQ365" t="str">
        <f>""</f>
        <v/>
      </c>
      <c r="BR365" t="str">
        <f>""</f>
        <v/>
      </c>
      <c r="BS365" t="str">
        <f>""</f>
        <v/>
      </c>
      <c r="BT365" t="str">
        <f>""</f>
        <v/>
      </c>
      <c r="BU365" t="str">
        <f>""</f>
        <v/>
      </c>
      <c r="BV365" t="str">
        <f>""</f>
        <v/>
      </c>
      <c r="BW365" t="str">
        <f>""</f>
        <v/>
      </c>
      <c r="BX365" t="str">
        <f>""</f>
        <v/>
      </c>
      <c r="BY365" t="str">
        <f>""</f>
        <v/>
      </c>
      <c r="BZ365" t="str">
        <f>""</f>
        <v/>
      </c>
      <c r="CA365" t="str">
        <f>""</f>
        <v/>
      </c>
      <c r="CB365" t="str">
        <f>""</f>
        <v/>
      </c>
      <c r="CC365" t="str">
        <f>""</f>
        <v/>
      </c>
      <c r="CD365" t="str">
        <f>""</f>
        <v/>
      </c>
      <c r="CE365" t="str">
        <f>""</f>
        <v/>
      </c>
      <c r="CF365" t="str">
        <f>""</f>
        <v/>
      </c>
      <c r="CG365" t="str">
        <f>""</f>
        <v/>
      </c>
      <c r="CH365" t="str">
        <f>""</f>
        <v/>
      </c>
      <c r="CI365" t="str">
        <f>""</f>
        <v/>
      </c>
      <c r="CJ365" t="str">
        <f>""</f>
        <v/>
      </c>
      <c r="CK365" t="str">
        <f>""</f>
        <v/>
      </c>
      <c r="CL365" t="str">
        <f>""</f>
        <v/>
      </c>
      <c r="CM365" t="str">
        <f>""</f>
        <v/>
      </c>
      <c r="CN365" t="str">
        <f>""</f>
        <v/>
      </c>
      <c r="CO365" t="str">
        <f>""</f>
        <v/>
      </c>
      <c r="CP365" t="str">
        <f>""</f>
        <v/>
      </c>
      <c r="CQ365" t="str">
        <f>""</f>
        <v/>
      </c>
      <c r="CR365" t="str">
        <f>""</f>
        <v/>
      </c>
      <c r="CS365" t="str">
        <f>""</f>
        <v/>
      </c>
      <c r="CT365" t="str">
        <f>""</f>
        <v/>
      </c>
      <c r="CU365" t="str">
        <f>""</f>
        <v/>
      </c>
      <c r="CV365" t="str">
        <f>""</f>
        <v/>
      </c>
      <c r="CW365" t="str">
        <f>""</f>
        <v/>
      </c>
      <c r="CX365" t="str">
        <f>""</f>
        <v/>
      </c>
      <c r="CY365" t="str">
        <f>""</f>
        <v/>
      </c>
      <c r="CZ365" t="str">
        <f>""</f>
        <v/>
      </c>
      <c r="DA365" t="str">
        <f>""</f>
        <v/>
      </c>
      <c r="DB365" t="str">
        <f>""</f>
        <v/>
      </c>
      <c r="DC365" t="str">
        <f>""</f>
        <v/>
      </c>
      <c r="DD365" t="str">
        <f>""</f>
        <v/>
      </c>
      <c r="DE365" t="str">
        <f>""</f>
        <v/>
      </c>
      <c r="DF365" t="str">
        <f>""</f>
        <v/>
      </c>
      <c r="DG365" t="str">
        <f>""</f>
        <v/>
      </c>
      <c r="DH365" t="str">
        <f>""</f>
        <v/>
      </c>
      <c r="DI365" t="str">
        <f>""</f>
        <v/>
      </c>
      <c r="DJ365" t="str">
        <f>""</f>
        <v/>
      </c>
      <c r="DK365" t="str">
        <f>""</f>
        <v/>
      </c>
      <c r="DL365" t="str">
        <f>""</f>
        <v/>
      </c>
      <c r="DM365" t="str">
        <f>""</f>
        <v/>
      </c>
      <c r="DN365" t="str">
        <f>""</f>
        <v/>
      </c>
      <c r="DO365" t="str">
        <f>""</f>
        <v/>
      </c>
      <c r="DP365" t="str">
        <f>""</f>
        <v/>
      </c>
      <c r="DQ365" t="str">
        <f>""</f>
        <v/>
      </c>
      <c r="DR365" t="str">
        <f>""</f>
        <v/>
      </c>
      <c r="DS365" t="str">
        <f>""</f>
        <v/>
      </c>
      <c r="DT365" t="str">
        <f>""</f>
        <v/>
      </c>
      <c r="DU365" t="str">
        <f>""</f>
        <v/>
      </c>
    </row>
    <row r="366" spans="1:125" x14ac:dyDescent="0.25">
      <c r="A366" t="str">
        <f>$A$164</f>
        <v xml:space="preserve">    Banco Bilbao Vizcaya Argentaria SA</v>
      </c>
      <c r="B366" t="str">
        <f>$B$164</f>
        <v>BBVA SM Equity</v>
      </c>
      <c r="C366" t="str">
        <f>$C$164</f>
        <v>BS018</v>
      </c>
      <c r="D366" t="str">
        <f>$D$164</f>
        <v>BS_OTHER_LOAN</v>
      </c>
      <c r="E366" t="str">
        <f>$E$164</f>
        <v>Dynamic</v>
      </c>
      <c r="F366">
        <f ca="1">_xll.BDH($B$164,$C$164,$B$206,$B$207,CONCATENATE("Per=",$B$204),"Dts=H","Dir=H",CONCATENATE("Points=",$B$205),"Sort=R","Days=A","Fill=B",CONCATENATE("FX=", $B$203),"cols=60;rows=1")</f>
        <v>39395</v>
      </c>
      <c r="G366">
        <v>47682</v>
      </c>
      <c r="H366">
        <v>50782</v>
      </c>
      <c r="I366">
        <v>49675</v>
      </c>
      <c r="J366">
        <v>35079</v>
      </c>
      <c r="K366">
        <v>51472</v>
      </c>
      <c r="L366">
        <v>51821</v>
      </c>
      <c r="M366">
        <v>47654</v>
      </c>
      <c r="N366">
        <v>33168</v>
      </c>
      <c r="O366">
        <v>46648</v>
      </c>
      <c r="P366">
        <v>48984</v>
      </c>
      <c r="Q366">
        <v>46416</v>
      </c>
      <c r="R366">
        <v>30148</v>
      </c>
      <c r="S366">
        <v>45514</v>
      </c>
      <c r="T366">
        <v>47276</v>
      </c>
      <c r="U366">
        <v>45110</v>
      </c>
      <c r="V366">
        <v>29750</v>
      </c>
      <c r="W366">
        <v>52911</v>
      </c>
      <c r="X366">
        <v>56488</v>
      </c>
      <c r="Y366">
        <v>47354</v>
      </c>
      <c r="Z366">
        <v>35726</v>
      </c>
      <c r="AA366">
        <v>57293</v>
      </c>
      <c r="AB366">
        <v>57004</v>
      </c>
      <c r="AC366">
        <v>56068</v>
      </c>
      <c r="AD366">
        <v>55086</v>
      </c>
      <c r="AE366">
        <v>45746</v>
      </c>
      <c r="AF366">
        <v>65742</v>
      </c>
      <c r="AG366">
        <v>78904</v>
      </c>
      <c r="AH366">
        <v>53867</v>
      </c>
      <c r="AI366">
        <v>62795</v>
      </c>
      <c r="AJ366">
        <v>68253</v>
      </c>
      <c r="AK366">
        <v>69033</v>
      </c>
      <c r="AL366">
        <v>181769</v>
      </c>
      <c r="AM366">
        <v>23588</v>
      </c>
      <c r="AN366">
        <v>24212</v>
      </c>
      <c r="AO366">
        <v>24826</v>
      </c>
      <c r="AP366">
        <v>188750</v>
      </c>
      <c r="AQ366">
        <v>25747</v>
      </c>
      <c r="AR366">
        <v>25766</v>
      </c>
      <c r="AS366">
        <v>22787</v>
      </c>
      <c r="AT366">
        <v>70226</v>
      </c>
      <c r="AU366">
        <v>23983</v>
      </c>
      <c r="AV366">
        <v>24555</v>
      </c>
      <c r="AW366">
        <v>25033</v>
      </c>
      <c r="AX366">
        <v>62901</v>
      </c>
      <c r="AZ366">
        <v>21811</v>
      </c>
      <c r="BA366">
        <v>21448</v>
      </c>
      <c r="BB366">
        <v>67312</v>
      </c>
      <c r="BF366">
        <v>68625</v>
      </c>
      <c r="BJ366">
        <v>62146</v>
      </c>
      <c r="BN366" t="str">
        <f>""</f>
        <v/>
      </c>
      <c r="BO366" t="str">
        <f>""</f>
        <v/>
      </c>
      <c r="BP366" t="str">
        <f>""</f>
        <v/>
      </c>
      <c r="BQ366" t="str">
        <f>""</f>
        <v/>
      </c>
      <c r="BR366" t="str">
        <f>""</f>
        <v/>
      </c>
      <c r="BS366" t="str">
        <f>""</f>
        <v/>
      </c>
      <c r="BT366" t="str">
        <f>""</f>
        <v/>
      </c>
      <c r="BU366" t="str">
        <f>""</f>
        <v/>
      </c>
      <c r="BV366" t="str">
        <f>""</f>
        <v/>
      </c>
      <c r="BW366" t="str">
        <f>""</f>
        <v/>
      </c>
      <c r="BX366" t="str">
        <f>""</f>
        <v/>
      </c>
      <c r="BY366" t="str">
        <f>""</f>
        <v/>
      </c>
      <c r="BZ366" t="str">
        <f>""</f>
        <v/>
      </c>
      <c r="CA366" t="str">
        <f>""</f>
        <v/>
      </c>
      <c r="CB366" t="str">
        <f>""</f>
        <v/>
      </c>
      <c r="CC366" t="str">
        <f>""</f>
        <v/>
      </c>
      <c r="CD366" t="str">
        <f>""</f>
        <v/>
      </c>
      <c r="CE366" t="str">
        <f>""</f>
        <v/>
      </c>
      <c r="CF366" t="str">
        <f>""</f>
        <v/>
      </c>
      <c r="CG366" t="str">
        <f>""</f>
        <v/>
      </c>
      <c r="CH366" t="str">
        <f>""</f>
        <v/>
      </c>
      <c r="CI366" t="str">
        <f>""</f>
        <v/>
      </c>
      <c r="CJ366" t="str">
        <f>""</f>
        <v/>
      </c>
      <c r="CK366" t="str">
        <f>""</f>
        <v/>
      </c>
      <c r="CL366" t="str">
        <f>""</f>
        <v/>
      </c>
      <c r="CM366" t="str">
        <f>""</f>
        <v/>
      </c>
      <c r="CN366" t="str">
        <f>""</f>
        <v/>
      </c>
      <c r="CO366" t="str">
        <f>""</f>
        <v/>
      </c>
      <c r="CP366" t="str">
        <f>""</f>
        <v/>
      </c>
      <c r="CQ366" t="str">
        <f>""</f>
        <v/>
      </c>
      <c r="CR366" t="str">
        <f>""</f>
        <v/>
      </c>
      <c r="CS366" t="str">
        <f>""</f>
        <v/>
      </c>
      <c r="CT366" t="str">
        <f>""</f>
        <v/>
      </c>
      <c r="CU366" t="str">
        <f>""</f>
        <v/>
      </c>
      <c r="CV366" t="str">
        <f>""</f>
        <v/>
      </c>
      <c r="CW366" t="str">
        <f>""</f>
        <v/>
      </c>
      <c r="CX366" t="str">
        <f>""</f>
        <v/>
      </c>
      <c r="CY366" t="str">
        <f>""</f>
        <v/>
      </c>
      <c r="CZ366" t="str">
        <f>""</f>
        <v/>
      </c>
      <c r="DA366" t="str">
        <f>""</f>
        <v/>
      </c>
      <c r="DB366" t="str">
        <f>""</f>
        <v/>
      </c>
      <c r="DC366" t="str">
        <f>""</f>
        <v/>
      </c>
      <c r="DD366" t="str">
        <f>""</f>
        <v/>
      </c>
      <c r="DE366" t="str">
        <f>""</f>
        <v/>
      </c>
      <c r="DF366" t="str">
        <f>""</f>
        <v/>
      </c>
      <c r="DG366" t="str">
        <f>""</f>
        <v/>
      </c>
      <c r="DH366" t="str">
        <f>""</f>
        <v/>
      </c>
      <c r="DI366" t="str">
        <f>""</f>
        <v/>
      </c>
      <c r="DJ366" t="str">
        <f>""</f>
        <v/>
      </c>
      <c r="DK366" t="str">
        <f>""</f>
        <v/>
      </c>
      <c r="DL366" t="str">
        <f>""</f>
        <v/>
      </c>
      <c r="DM366" t="str">
        <f>""</f>
        <v/>
      </c>
      <c r="DN366" t="str">
        <f>""</f>
        <v/>
      </c>
      <c r="DO366" t="str">
        <f>""</f>
        <v/>
      </c>
      <c r="DP366" t="str">
        <f>""</f>
        <v/>
      </c>
      <c r="DQ366" t="str">
        <f>""</f>
        <v/>
      </c>
      <c r="DR366" t="str">
        <f>""</f>
        <v/>
      </c>
      <c r="DS366" t="str">
        <f>""</f>
        <v/>
      </c>
      <c r="DT366" t="str">
        <f>""</f>
        <v/>
      </c>
      <c r="DU366" t="str">
        <f>""</f>
        <v/>
      </c>
    </row>
    <row r="367" spans="1:125" x14ac:dyDescent="0.25">
      <c r="A367" t="str">
        <f>$A$165</f>
        <v xml:space="preserve">    Bank of Ireland Group PLC</v>
      </c>
      <c r="B367" t="str">
        <f>$B$165</f>
        <v>BIRG ID Equity</v>
      </c>
      <c r="C367" t="str">
        <f>$C$165</f>
        <v>BS018</v>
      </c>
      <c r="D367" t="str">
        <f>$D$165</f>
        <v>BS_OTHER_LOAN</v>
      </c>
      <c r="E367" t="str">
        <f>$E$165</f>
        <v>Dynamic</v>
      </c>
      <c r="F367" t="str">
        <f ca="1">_xll.BDH($B$165,$C$165,$B$206,$B$207,CONCATENATE("Per=",$B$204),"Dts=H","Dir=H",CONCATENATE("Points=",$B$205),"Sort=R","Days=A","Fill=B",CONCATENATE("FX=", $B$203) )</f>
        <v/>
      </c>
      <c r="BN367" t="str">
        <f>""</f>
        <v/>
      </c>
      <c r="BO367" t="str">
        <f>""</f>
        <v/>
      </c>
      <c r="BP367" t="str">
        <f>""</f>
        <v/>
      </c>
      <c r="BQ367" t="str">
        <f>""</f>
        <v/>
      </c>
      <c r="BR367" t="str">
        <f>""</f>
        <v/>
      </c>
      <c r="BS367" t="str">
        <f>""</f>
        <v/>
      </c>
      <c r="BT367" t="str">
        <f>""</f>
        <v/>
      </c>
      <c r="BU367" t="str">
        <f>""</f>
        <v/>
      </c>
      <c r="BV367" t="str">
        <f>""</f>
        <v/>
      </c>
      <c r="BW367" t="str">
        <f>""</f>
        <v/>
      </c>
      <c r="BX367" t="str">
        <f>""</f>
        <v/>
      </c>
      <c r="BY367" t="str">
        <f>""</f>
        <v/>
      </c>
      <c r="BZ367" t="str">
        <f>""</f>
        <v/>
      </c>
      <c r="CA367" t="str">
        <f>""</f>
        <v/>
      </c>
      <c r="CB367" t="str">
        <f>""</f>
        <v/>
      </c>
      <c r="CC367" t="str">
        <f>""</f>
        <v/>
      </c>
      <c r="CD367" t="str">
        <f>""</f>
        <v/>
      </c>
      <c r="CE367" t="str">
        <f>""</f>
        <v/>
      </c>
      <c r="CF367" t="str">
        <f>""</f>
        <v/>
      </c>
      <c r="CG367" t="str">
        <f>""</f>
        <v/>
      </c>
      <c r="CH367" t="str">
        <f>""</f>
        <v/>
      </c>
      <c r="CI367" t="str">
        <f>""</f>
        <v/>
      </c>
      <c r="CJ367" t="str">
        <f>""</f>
        <v/>
      </c>
      <c r="CK367" t="str">
        <f>""</f>
        <v/>
      </c>
      <c r="CL367" t="str">
        <f>""</f>
        <v/>
      </c>
      <c r="CM367" t="str">
        <f>""</f>
        <v/>
      </c>
      <c r="CN367" t="str">
        <f>""</f>
        <v/>
      </c>
      <c r="CO367" t="str">
        <f>""</f>
        <v/>
      </c>
      <c r="CP367" t="str">
        <f>""</f>
        <v/>
      </c>
      <c r="CQ367" t="str">
        <f>""</f>
        <v/>
      </c>
      <c r="CR367" t="str">
        <f>""</f>
        <v/>
      </c>
      <c r="CS367" t="str">
        <f>""</f>
        <v/>
      </c>
      <c r="CT367" t="str">
        <f>""</f>
        <v/>
      </c>
      <c r="CU367" t="str">
        <f>""</f>
        <v/>
      </c>
      <c r="CV367" t="str">
        <f>""</f>
        <v/>
      </c>
      <c r="CW367" t="str">
        <f>""</f>
        <v/>
      </c>
      <c r="CX367" t="str">
        <f>""</f>
        <v/>
      </c>
      <c r="CY367" t="str">
        <f>""</f>
        <v/>
      </c>
      <c r="CZ367" t="str">
        <f>""</f>
        <v/>
      </c>
      <c r="DA367" t="str">
        <f>""</f>
        <v/>
      </c>
      <c r="DB367" t="str">
        <f>""</f>
        <v/>
      </c>
      <c r="DC367" t="str">
        <f>""</f>
        <v/>
      </c>
      <c r="DD367" t="str">
        <f>""</f>
        <v/>
      </c>
      <c r="DE367" t="str">
        <f>""</f>
        <v/>
      </c>
      <c r="DF367" t="str">
        <f>""</f>
        <v/>
      </c>
      <c r="DG367" t="str">
        <f>""</f>
        <v/>
      </c>
      <c r="DH367" t="str">
        <f>""</f>
        <v/>
      </c>
      <c r="DI367" t="str">
        <f>""</f>
        <v/>
      </c>
      <c r="DJ367" t="str">
        <f>""</f>
        <v/>
      </c>
      <c r="DK367" t="str">
        <f>""</f>
        <v/>
      </c>
      <c r="DL367" t="str">
        <f>""</f>
        <v/>
      </c>
      <c r="DM367" t="str">
        <f>""</f>
        <v/>
      </c>
      <c r="DN367" t="str">
        <f>""</f>
        <v/>
      </c>
      <c r="DO367" t="str">
        <f>""</f>
        <v/>
      </c>
      <c r="DP367" t="str">
        <f>""</f>
        <v/>
      </c>
      <c r="DQ367" t="str">
        <f>""</f>
        <v/>
      </c>
      <c r="DR367" t="str">
        <f>""</f>
        <v/>
      </c>
      <c r="DS367" t="str">
        <f>""</f>
        <v/>
      </c>
      <c r="DT367" t="str">
        <f>""</f>
        <v/>
      </c>
      <c r="DU367" t="str">
        <f>""</f>
        <v/>
      </c>
    </row>
    <row r="368" spans="1:125" x14ac:dyDescent="0.25">
      <c r="A368" t="str">
        <f>$A$166</f>
        <v xml:space="preserve">    Bankinter SA</v>
      </c>
      <c r="B368" t="str">
        <f>$B$166</f>
        <v>BKT SM Equity</v>
      </c>
      <c r="C368" t="str">
        <f>$C$166</f>
        <v>BS018</v>
      </c>
      <c r="D368" t="str">
        <f>$D$166</f>
        <v>BS_OTHER_LOAN</v>
      </c>
      <c r="E368" t="str">
        <f>$E$166</f>
        <v>Dynamic</v>
      </c>
      <c r="F368">
        <f ca="1">_xll.BDH($B$166,$C$166,$B$206,$B$207,CONCATENATE("Per=",$B$204),"Dts=H","Dir=H",CONCATENATE("Points=",$B$205),"Sort=R","Days=A","Fill=B",CONCATENATE("FX=", $B$203),"cols=60;rows=1")</f>
        <v>29205.447</v>
      </c>
      <c r="G368">
        <v>15356.777</v>
      </c>
      <c r="H368">
        <v>15538.855</v>
      </c>
      <c r="I368">
        <v>15746.549000000001</v>
      </c>
      <c r="J368">
        <v>28234.502</v>
      </c>
      <c r="K368">
        <v>15139.251</v>
      </c>
      <c r="L368">
        <v>15340.207</v>
      </c>
      <c r="M368">
        <v>14710.794</v>
      </c>
      <c r="N368">
        <v>26623.866000000002</v>
      </c>
      <c r="O368">
        <v>15254.674000000001</v>
      </c>
      <c r="P368">
        <v>14732.416999999999</v>
      </c>
      <c r="Q368">
        <v>13973.739</v>
      </c>
      <c r="R368">
        <v>25193.050999999999</v>
      </c>
      <c r="S368">
        <v>13327.748</v>
      </c>
      <c r="T368">
        <v>13891.468999999999</v>
      </c>
      <c r="U368">
        <v>12920.614</v>
      </c>
      <c r="V368">
        <v>25416.191999999999</v>
      </c>
      <c r="W368">
        <v>13214.198</v>
      </c>
      <c r="X368">
        <v>13468.472</v>
      </c>
      <c r="Y368">
        <v>13837.761</v>
      </c>
      <c r="Z368">
        <v>21375.017</v>
      </c>
      <c r="AA368">
        <v>14048.550999999999</v>
      </c>
      <c r="AB368">
        <v>14696.593000000001</v>
      </c>
      <c r="AC368">
        <v>13923.561</v>
      </c>
      <c r="AD368">
        <v>11929.655000000001</v>
      </c>
      <c r="AE368">
        <v>14329.361000000001</v>
      </c>
      <c r="AF368">
        <v>14249.24</v>
      </c>
      <c r="AG368">
        <v>13410.459000000001</v>
      </c>
      <c r="AH368">
        <v>11900.112999999999</v>
      </c>
      <c r="AI368">
        <v>13361.205</v>
      </c>
      <c r="AJ368">
        <v>13225.343999999999</v>
      </c>
      <c r="AK368">
        <v>12798.333000000001</v>
      </c>
      <c r="AL368">
        <v>11461.427</v>
      </c>
      <c r="AM368">
        <v>12604.56</v>
      </c>
      <c r="AN368">
        <v>12348.18</v>
      </c>
      <c r="AO368">
        <v>11143.929</v>
      </c>
      <c r="AP368">
        <v>17000.984</v>
      </c>
      <c r="AQ368">
        <v>9790.8709999999992</v>
      </c>
      <c r="AR368">
        <v>11057.519</v>
      </c>
      <c r="AS368">
        <v>9065.1869999999999</v>
      </c>
      <c r="AT368">
        <v>16733.527999999998</v>
      </c>
      <c r="AU368">
        <v>9220.0130000000008</v>
      </c>
      <c r="AV368">
        <v>11235.540999999999</v>
      </c>
      <c r="AW368">
        <v>9575.0660000000007</v>
      </c>
      <c r="AX368">
        <v>14800.434999999999</v>
      </c>
      <c r="AY368">
        <v>10256.58</v>
      </c>
      <c r="AZ368">
        <v>12560.866</v>
      </c>
      <c r="BA368">
        <v>12169.17</v>
      </c>
      <c r="BB368">
        <v>12340.125</v>
      </c>
      <c r="BC368">
        <v>13534.875</v>
      </c>
      <c r="BD368">
        <v>13232.153</v>
      </c>
      <c r="BE368">
        <v>11783.695</v>
      </c>
      <c r="BF368">
        <v>11120.075999999999</v>
      </c>
      <c r="BG368">
        <v>11093.960999999999</v>
      </c>
      <c r="BH368">
        <v>10701.957</v>
      </c>
      <c r="BI368">
        <v>10130.166999999999</v>
      </c>
      <c r="BJ368">
        <v>9435.3430000000008</v>
      </c>
      <c r="BK368">
        <v>10117.337</v>
      </c>
      <c r="BL368">
        <v>10128.369000000001</v>
      </c>
      <c r="BM368">
        <v>10285.472</v>
      </c>
      <c r="BN368" t="str">
        <f>""</f>
        <v/>
      </c>
      <c r="BO368" t="str">
        <f>""</f>
        <v/>
      </c>
      <c r="BP368" t="str">
        <f>""</f>
        <v/>
      </c>
      <c r="BQ368" t="str">
        <f>""</f>
        <v/>
      </c>
      <c r="BR368" t="str">
        <f>""</f>
        <v/>
      </c>
      <c r="BS368" t="str">
        <f>""</f>
        <v/>
      </c>
      <c r="BT368" t="str">
        <f>""</f>
        <v/>
      </c>
      <c r="BU368" t="str">
        <f>""</f>
        <v/>
      </c>
      <c r="BV368" t="str">
        <f>""</f>
        <v/>
      </c>
      <c r="BW368" t="str">
        <f>""</f>
        <v/>
      </c>
      <c r="BX368" t="str">
        <f>""</f>
        <v/>
      </c>
      <c r="BY368" t="str">
        <f>""</f>
        <v/>
      </c>
      <c r="BZ368" t="str">
        <f>""</f>
        <v/>
      </c>
      <c r="CA368" t="str">
        <f>""</f>
        <v/>
      </c>
      <c r="CB368" t="str">
        <f>""</f>
        <v/>
      </c>
      <c r="CC368" t="str">
        <f>""</f>
        <v/>
      </c>
      <c r="CD368" t="str">
        <f>""</f>
        <v/>
      </c>
      <c r="CE368" t="str">
        <f>""</f>
        <v/>
      </c>
      <c r="CF368" t="str">
        <f>""</f>
        <v/>
      </c>
      <c r="CG368" t="str">
        <f>""</f>
        <v/>
      </c>
      <c r="CH368" t="str">
        <f>""</f>
        <v/>
      </c>
      <c r="CI368" t="str">
        <f>""</f>
        <v/>
      </c>
      <c r="CJ368" t="str">
        <f>""</f>
        <v/>
      </c>
      <c r="CK368" t="str">
        <f>""</f>
        <v/>
      </c>
      <c r="CL368" t="str">
        <f>""</f>
        <v/>
      </c>
      <c r="CM368" t="str">
        <f>""</f>
        <v/>
      </c>
      <c r="CN368" t="str">
        <f>""</f>
        <v/>
      </c>
      <c r="CO368" t="str">
        <f>""</f>
        <v/>
      </c>
      <c r="CP368" t="str">
        <f>""</f>
        <v/>
      </c>
      <c r="CQ368" t="str">
        <f>""</f>
        <v/>
      </c>
      <c r="CR368" t="str">
        <f>""</f>
        <v/>
      </c>
      <c r="CS368" t="str">
        <f>""</f>
        <v/>
      </c>
      <c r="CT368" t="str">
        <f>""</f>
        <v/>
      </c>
      <c r="CU368" t="str">
        <f>""</f>
        <v/>
      </c>
      <c r="CV368" t="str">
        <f>""</f>
        <v/>
      </c>
      <c r="CW368" t="str">
        <f>""</f>
        <v/>
      </c>
      <c r="CX368" t="str">
        <f>""</f>
        <v/>
      </c>
      <c r="CY368" t="str">
        <f>""</f>
        <v/>
      </c>
      <c r="CZ368" t="str">
        <f>""</f>
        <v/>
      </c>
      <c r="DA368" t="str">
        <f>""</f>
        <v/>
      </c>
      <c r="DB368" t="str">
        <f>""</f>
        <v/>
      </c>
      <c r="DC368" t="str">
        <f>""</f>
        <v/>
      </c>
      <c r="DD368" t="str">
        <f>""</f>
        <v/>
      </c>
      <c r="DE368" t="str">
        <f>""</f>
        <v/>
      </c>
      <c r="DF368" t="str">
        <f>""</f>
        <v/>
      </c>
      <c r="DG368" t="str">
        <f>""</f>
        <v/>
      </c>
      <c r="DH368" t="str">
        <f>""</f>
        <v/>
      </c>
      <c r="DI368" t="str">
        <f>""</f>
        <v/>
      </c>
      <c r="DJ368" t="str">
        <f>""</f>
        <v/>
      </c>
      <c r="DK368" t="str">
        <f>""</f>
        <v/>
      </c>
      <c r="DL368" t="str">
        <f>""</f>
        <v/>
      </c>
      <c r="DM368" t="str">
        <f>""</f>
        <v/>
      </c>
      <c r="DN368" t="str">
        <f>""</f>
        <v/>
      </c>
      <c r="DO368" t="str">
        <f>""</f>
        <v/>
      </c>
      <c r="DP368" t="str">
        <f>""</f>
        <v/>
      </c>
      <c r="DQ368" t="str">
        <f>""</f>
        <v/>
      </c>
      <c r="DR368" t="str">
        <f>""</f>
        <v/>
      </c>
      <c r="DS368" t="str">
        <f>""</f>
        <v/>
      </c>
      <c r="DT368" t="str">
        <f>""</f>
        <v/>
      </c>
      <c r="DU368" t="str">
        <f>""</f>
        <v/>
      </c>
    </row>
    <row r="369" spans="1:125" x14ac:dyDescent="0.25">
      <c r="A369" t="str">
        <f>$A$167</f>
        <v xml:space="preserve">    CaixaBank SA</v>
      </c>
      <c r="B369" t="str">
        <f>$B$167</f>
        <v>CABK SM Equity</v>
      </c>
      <c r="C369" t="str">
        <f>$C$167</f>
        <v>BS018</v>
      </c>
      <c r="D369" t="str">
        <f>$D$167</f>
        <v>BS_OTHER_LOAN</v>
      </c>
      <c r="E369" t="str">
        <f>$E$167</f>
        <v>Dynamic</v>
      </c>
      <c r="F369">
        <f ca="1">_xll.BDH($B$167,$C$167,$B$206,$B$207,CONCATENATE("Per=",$B$204),"Dts=H","Dir=H",CONCATENATE("Points=",$B$205),"Sort=R","Days=A","Fill=B",CONCATENATE("FX=", $B$203),"cols=60;rows=1")</f>
        <v>14252</v>
      </c>
      <c r="G369">
        <v>35367</v>
      </c>
      <c r="H369">
        <v>41599</v>
      </c>
      <c r="I369">
        <v>37474</v>
      </c>
      <c r="J369">
        <v>15896</v>
      </c>
      <c r="K369">
        <v>40656</v>
      </c>
      <c r="L369">
        <v>46638</v>
      </c>
      <c r="M369">
        <v>43788</v>
      </c>
      <c r="N369">
        <v>19682</v>
      </c>
      <c r="O369">
        <v>46844</v>
      </c>
      <c r="P369">
        <v>22570</v>
      </c>
      <c r="Q369">
        <v>49300</v>
      </c>
      <c r="R369">
        <v>20619</v>
      </c>
      <c r="S369">
        <v>24772</v>
      </c>
      <c r="T369">
        <v>24813</v>
      </c>
      <c r="U369">
        <v>49820</v>
      </c>
      <c r="V369">
        <v>15534</v>
      </c>
      <c r="W369">
        <v>12158</v>
      </c>
      <c r="X369">
        <v>11924</v>
      </c>
      <c r="Y369">
        <v>34160</v>
      </c>
      <c r="Z369">
        <v>11216</v>
      </c>
      <c r="AA369">
        <v>16125</v>
      </c>
      <c r="AB369">
        <v>39510.436000000002</v>
      </c>
      <c r="AC369">
        <v>33709</v>
      </c>
      <c r="AD369">
        <v>10832</v>
      </c>
      <c r="AE369">
        <v>45940</v>
      </c>
      <c r="AF369">
        <v>37327.082999999999</v>
      </c>
      <c r="AG369">
        <v>35277</v>
      </c>
      <c r="AH369">
        <v>11196.861000000001</v>
      </c>
      <c r="AI369">
        <v>12514</v>
      </c>
      <c r="AJ369">
        <v>12112.803</v>
      </c>
      <c r="AK369">
        <v>47824</v>
      </c>
      <c r="AL369">
        <v>45615</v>
      </c>
      <c r="AM369">
        <v>45793</v>
      </c>
      <c r="AN369">
        <v>49030</v>
      </c>
      <c r="AO369">
        <v>47538</v>
      </c>
      <c r="AP369">
        <v>47378</v>
      </c>
      <c r="AQ369">
        <v>51094</v>
      </c>
      <c r="AR369">
        <v>53710</v>
      </c>
      <c r="AS369">
        <v>48713</v>
      </c>
      <c r="AT369">
        <v>48066</v>
      </c>
      <c r="AU369">
        <v>43772</v>
      </c>
      <c r="AV369">
        <v>46401</v>
      </c>
      <c r="AW369">
        <v>43652</v>
      </c>
      <c r="AX369">
        <v>49996</v>
      </c>
      <c r="AY369">
        <v>47304</v>
      </c>
      <c r="AZ369">
        <v>49600</v>
      </c>
      <c r="BA369">
        <v>52938</v>
      </c>
      <c r="BB369">
        <v>48703</v>
      </c>
      <c r="BC369">
        <v>47504</v>
      </c>
      <c r="BD369">
        <v>41080</v>
      </c>
      <c r="BE369">
        <v>39334</v>
      </c>
      <c r="BF369">
        <v>38425</v>
      </c>
      <c r="BG369">
        <v>39190</v>
      </c>
      <c r="BH369">
        <v>38076</v>
      </c>
      <c r="BI369">
        <v>93157</v>
      </c>
      <c r="BJ369">
        <v>38211</v>
      </c>
      <c r="BK369">
        <v>36323</v>
      </c>
      <c r="BL369">
        <v>36344</v>
      </c>
      <c r="BM369">
        <v>84220</v>
      </c>
      <c r="BN369" t="str">
        <f>""</f>
        <v/>
      </c>
      <c r="BO369" t="str">
        <f>""</f>
        <v/>
      </c>
      <c r="BP369" t="str">
        <f>""</f>
        <v/>
      </c>
      <c r="BQ369" t="str">
        <f>""</f>
        <v/>
      </c>
      <c r="BR369" t="str">
        <f>""</f>
        <v/>
      </c>
      <c r="BS369" t="str">
        <f>""</f>
        <v/>
      </c>
      <c r="BT369" t="str">
        <f>""</f>
        <v/>
      </c>
      <c r="BU369" t="str">
        <f>""</f>
        <v/>
      </c>
      <c r="BV369" t="str">
        <f>""</f>
        <v/>
      </c>
      <c r="BW369" t="str">
        <f>""</f>
        <v/>
      </c>
      <c r="BX369" t="str">
        <f>""</f>
        <v/>
      </c>
      <c r="BY369" t="str">
        <f>""</f>
        <v/>
      </c>
      <c r="BZ369" t="str">
        <f>""</f>
        <v/>
      </c>
      <c r="CA369" t="str">
        <f>""</f>
        <v/>
      </c>
      <c r="CB369" t="str">
        <f>""</f>
        <v/>
      </c>
      <c r="CC369" t="str">
        <f>""</f>
        <v/>
      </c>
      <c r="CD369" t="str">
        <f>""</f>
        <v/>
      </c>
      <c r="CE369" t="str">
        <f>""</f>
        <v/>
      </c>
      <c r="CF369" t="str">
        <f>""</f>
        <v/>
      </c>
      <c r="CG369" t="str">
        <f>""</f>
        <v/>
      </c>
      <c r="CH369" t="str">
        <f>""</f>
        <v/>
      </c>
      <c r="CI369" t="str">
        <f>""</f>
        <v/>
      </c>
      <c r="CJ369" t="str">
        <f>""</f>
        <v/>
      </c>
      <c r="CK369" t="str">
        <f>""</f>
        <v/>
      </c>
      <c r="CL369" t="str">
        <f>""</f>
        <v/>
      </c>
      <c r="CM369" t="str">
        <f>""</f>
        <v/>
      </c>
      <c r="CN369" t="str">
        <f>""</f>
        <v/>
      </c>
      <c r="CO369" t="str">
        <f>""</f>
        <v/>
      </c>
      <c r="CP369" t="str">
        <f>""</f>
        <v/>
      </c>
      <c r="CQ369" t="str">
        <f>""</f>
        <v/>
      </c>
      <c r="CR369" t="str">
        <f>""</f>
        <v/>
      </c>
      <c r="CS369" t="str">
        <f>""</f>
        <v/>
      </c>
      <c r="CT369" t="str">
        <f>""</f>
        <v/>
      </c>
      <c r="CU369" t="str">
        <f>""</f>
        <v/>
      </c>
      <c r="CV369" t="str">
        <f>""</f>
        <v/>
      </c>
      <c r="CW369" t="str">
        <f>""</f>
        <v/>
      </c>
      <c r="CX369" t="str">
        <f>""</f>
        <v/>
      </c>
      <c r="CY369" t="str">
        <f>""</f>
        <v/>
      </c>
      <c r="CZ369" t="str">
        <f>""</f>
        <v/>
      </c>
      <c r="DA369" t="str">
        <f>""</f>
        <v/>
      </c>
      <c r="DB369" t="str">
        <f>""</f>
        <v/>
      </c>
      <c r="DC369" t="str">
        <f>""</f>
        <v/>
      </c>
      <c r="DD369" t="str">
        <f>""</f>
        <v/>
      </c>
      <c r="DE369" t="str">
        <f>""</f>
        <v/>
      </c>
      <c r="DF369" t="str">
        <f>""</f>
        <v/>
      </c>
      <c r="DG369" t="str">
        <f>""</f>
        <v/>
      </c>
      <c r="DH369" t="str">
        <f>""</f>
        <v/>
      </c>
      <c r="DI369" t="str">
        <f>""</f>
        <v/>
      </c>
      <c r="DJ369" t="str">
        <f>""</f>
        <v/>
      </c>
      <c r="DK369" t="str">
        <f>""</f>
        <v/>
      </c>
      <c r="DL369" t="str">
        <f>""</f>
        <v/>
      </c>
      <c r="DM369" t="str">
        <f>""</f>
        <v/>
      </c>
      <c r="DN369" t="str">
        <f>""</f>
        <v/>
      </c>
      <c r="DO369" t="str">
        <f>""</f>
        <v/>
      </c>
      <c r="DP369" t="str">
        <f>""</f>
        <v/>
      </c>
      <c r="DQ369" t="str">
        <f>""</f>
        <v/>
      </c>
      <c r="DR369" t="str">
        <f>""</f>
        <v/>
      </c>
      <c r="DS369" t="str">
        <f>""</f>
        <v/>
      </c>
      <c r="DT369" t="str">
        <f>""</f>
        <v/>
      </c>
      <c r="DU369" t="str">
        <f>""</f>
        <v/>
      </c>
    </row>
    <row r="370" spans="1:125" x14ac:dyDescent="0.25">
      <c r="A370" t="str">
        <f>$A$168</f>
        <v xml:space="preserve">    Commerzbank AG</v>
      </c>
      <c r="B370" t="str">
        <f>$B$168</f>
        <v>CBK GR Equity</v>
      </c>
      <c r="C370" t="str">
        <f>$C$168</f>
        <v>BS018</v>
      </c>
      <c r="D370" t="str">
        <f>$D$168</f>
        <v>BS_OTHER_LOAN</v>
      </c>
      <c r="E370" t="str">
        <f>$E$168</f>
        <v>Dynamic</v>
      </c>
      <c r="F370" t="str">
        <f ca="1">_xll.BDH($B$168,$C$168,$B$206,$B$207,CONCATENATE("Per=",$B$204),"Dts=H","Dir=H",CONCATENATE("Points=",$B$205),"Sort=R","Days=A","Fill=B",CONCATENATE("FX=", $B$203),"cols=60;rows=1")</f>
        <v/>
      </c>
      <c r="J370">
        <v>32388</v>
      </c>
      <c r="N370">
        <v>30022</v>
      </c>
      <c r="R370">
        <v>29525</v>
      </c>
      <c r="T370">
        <v>32650</v>
      </c>
      <c r="V370">
        <v>32325</v>
      </c>
      <c r="W370">
        <v>20109</v>
      </c>
      <c r="X370">
        <v>33401</v>
      </c>
      <c r="Y370">
        <v>17336</v>
      </c>
      <c r="Z370">
        <v>30053</v>
      </c>
      <c r="AA370">
        <v>16694</v>
      </c>
      <c r="AB370">
        <v>28894</v>
      </c>
      <c r="AC370">
        <v>30301</v>
      </c>
      <c r="AD370">
        <v>24618</v>
      </c>
      <c r="AE370">
        <v>25553</v>
      </c>
      <c r="AF370">
        <v>26360</v>
      </c>
      <c r="AG370">
        <v>26419</v>
      </c>
      <c r="AH370">
        <v>29482</v>
      </c>
      <c r="AL370">
        <v>53882</v>
      </c>
      <c r="AO370">
        <v>184107</v>
      </c>
      <c r="AP370">
        <v>79297</v>
      </c>
      <c r="AQ370">
        <v>182819</v>
      </c>
      <c r="AR370">
        <v>186362</v>
      </c>
      <c r="AS370">
        <v>189899</v>
      </c>
      <c r="AT370">
        <v>84620</v>
      </c>
      <c r="AU370">
        <v>191604</v>
      </c>
      <c r="AV370">
        <v>189076</v>
      </c>
      <c r="AW370">
        <v>191771</v>
      </c>
      <c r="AX370">
        <v>91150</v>
      </c>
      <c r="AY370">
        <v>201179</v>
      </c>
      <c r="AZ370">
        <v>195765</v>
      </c>
      <c r="BA370">
        <v>213093</v>
      </c>
      <c r="BB370">
        <v>100837</v>
      </c>
      <c r="BC370">
        <v>228000</v>
      </c>
      <c r="BD370">
        <v>239359</v>
      </c>
      <c r="BE370">
        <v>244694</v>
      </c>
      <c r="BF370">
        <v>8460</v>
      </c>
      <c r="BG370">
        <v>257571</v>
      </c>
      <c r="BH370">
        <v>258784</v>
      </c>
      <c r="BI370">
        <v>273077</v>
      </c>
      <c r="BK370">
        <v>288455</v>
      </c>
      <c r="BL370">
        <v>298030</v>
      </c>
      <c r="BM370">
        <v>304947</v>
      </c>
      <c r="BN370" t="str">
        <f>""</f>
        <v/>
      </c>
      <c r="BO370" t="str">
        <f>""</f>
        <v/>
      </c>
      <c r="BP370" t="str">
        <f>""</f>
        <v/>
      </c>
      <c r="BQ370" t="str">
        <f>""</f>
        <v/>
      </c>
      <c r="BR370" t="str">
        <f>""</f>
        <v/>
      </c>
      <c r="BS370" t="str">
        <f>""</f>
        <v/>
      </c>
      <c r="BT370" t="str">
        <f>""</f>
        <v/>
      </c>
      <c r="BU370" t="str">
        <f>""</f>
        <v/>
      </c>
      <c r="BV370" t="str">
        <f>""</f>
        <v/>
      </c>
      <c r="BW370" t="str">
        <f>""</f>
        <v/>
      </c>
      <c r="BX370" t="str">
        <f>""</f>
        <v/>
      </c>
      <c r="BY370" t="str">
        <f>""</f>
        <v/>
      </c>
      <c r="BZ370" t="str">
        <f>""</f>
        <v/>
      </c>
      <c r="CA370" t="str">
        <f>""</f>
        <v/>
      </c>
      <c r="CB370" t="str">
        <f>""</f>
        <v/>
      </c>
      <c r="CC370" t="str">
        <f>""</f>
        <v/>
      </c>
      <c r="CD370" t="str">
        <f>""</f>
        <v/>
      </c>
      <c r="CE370" t="str">
        <f>""</f>
        <v/>
      </c>
      <c r="CF370" t="str">
        <f>""</f>
        <v/>
      </c>
      <c r="CG370" t="str">
        <f>""</f>
        <v/>
      </c>
      <c r="CH370" t="str">
        <f>""</f>
        <v/>
      </c>
      <c r="CI370" t="str">
        <f>""</f>
        <v/>
      </c>
      <c r="CJ370" t="str">
        <f>""</f>
        <v/>
      </c>
      <c r="CK370" t="str">
        <f>""</f>
        <v/>
      </c>
      <c r="CL370" t="str">
        <f>""</f>
        <v/>
      </c>
      <c r="CM370" t="str">
        <f>""</f>
        <v/>
      </c>
      <c r="CN370" t="str">
        <f>""</f>
        <v/>
      </c>
      <c r="CO370" t="str">
        <f>""</f>
        <v/>
      </c>
      <c r="CP370" t="str">
        <f>""</f>
        <v/>
      </c>
      <c r="CQ370" t="str">
        <f>""</f>
        <v/>
      </c>
      <c r="CR370" t="str">
        <f>""</f>
        <v/>
      </c>
      <c r="CS370" t="str">
        <f>""</f>
        <v/>
      </c>
      <c r="CT370" t="str">
        <f>""</f>
        <v/>
      </c>
      <c r="CU370" t="str">
        <f>""</f>
        <v/>
      </c>
      <c r="CV370" t="str">
        <f>""</f>
        <v/>
      </c>
      <c r="CW370" t="str">
        <f>""</f>
        <v/>
      </c>
      <c r="CX370" t="str">
        <f>""</f>
        <v/>
      </c>
      <c r="CY370" t="str">
        <f>""</f>
        <v/>
      </c>
      <c r="CZ370" t="str">
        <f>""</f>
        <v/>
      </c>
      <c r="DA370" t="str">
        <f>""</f>
        <v/>
      </c>
      <c r="DB370" t="str">
        <f>""</f>
        <v/>
      </c>
      <c r="DC370" t="str">
        <f>""</f>
        <v/>
      </c>
      <c r="DD370" t="str">
        <f>""</f>
        <v/>
      </c>
      <c r="DE370" t="str">
        <f>""</f>
        <v/>
      </c>
      <c r="DF370" t="str">
        <f>""</f>
        <v/>
      </c>
      <c r="DG370" t="str">
        <f>""</f>
        <v/>
      </c>
      <c r="DH370" t="str">
        <f>""</f>
        <v/>
      </c>
      <c r="DI370" t="str">
        <f>""</f>
        <v/>
      </c>
      <c r="DJ370" t="str">
        <f>""</f>
        <v/>
      </c>
      <c r="DK370" t="str">
        <f>""</f>
        <v/>
      </c>
      <c r="DL370" t="str">
        <f>""</f>
        <v/>
      </c>
      <c r="DM370" t="str">
        <f>""</f>
        <v/>
      </c>
      <c r="DN370" t="str">
        <f>""</f>
        <v/>
      </c>
      <c r="DO370" t="str">
        <f>""</f>
        <v/>
      </c>
      <c r="DP370" t="str">
        <f>""</f>
        <v/>
      </c>
      <c r="DQ370" t="str">
        <f>""</f>
        <v/>
      </c>
      <c r="DR370" t="str">
        <f>""</f>
        <v/>
      </c>
      <c r="DS370" t="str">
        <f>""</f>
        <v/>
      </c>
      <c r="DT370" t="str">
        <f>""</f>
        <v/>
      </c>
      <c r="DU370" t="str">
        <f>""</f>
        <v/>
      </c>
    </row>
    <row r="371" spans="1:125" x14ac:dyDescent="0.25">
      <c r="A371" t="str">
        <f>$A$169</f>
        <v xml:space="preserve">    Credit Agricole SA</v>
      </c>
      <c r="B371" t="str">
        <f>$B$169</f>
        <v>ACA FP Equity</v>
      </c>
      <c r="C371" t="str">
        <f>$C$169</f>
        <v>BS018</v>
      </c>
      <c r="D371" t="str">
        <f>$D$169</f>
        <v>BS_OTHER_LOAN</v>
      </c>
      <c r="E371" t="str">
        <f>$E$169</f>
        <v>Dynamic</v>
      </c>
      <c r="F371">
        <f ca="1">_xll.BDH($B$169,$C$169,$B$206,$B$207,CONCATENATE("Per=",$B$204),"Dts=H","Dir=H",CONCATENATE("Points=",$B$205),"Sort=R","Days=A","Fill=B",CONCATENATE("FX=", $B$203),"cols=60;rows=1")</f>
        <v>45243</v>
      </c>
      <c r="H371">
        <v>46721</v>
      </c>
      <c r="J371">
        <v>43603</v>
      </c>
      <c r="L371">
        <v>42293</v>
      </c>
      <c r="N371">
        <v>34838</v>
      </c>
      <c r="P371">
        <v>35288</v>
      </c>
      <c r="R371">
        <v>31083</v>
      </c>
      <c r="T371">
        <v>32149</v>
      </c>
      <c r="V371">
        <v>31227</v>
      </c>
      <c r="X371">
        <v>33178</v>
      </c>
      <c r="Z371">
        <v>32458</v>
      </c>
      <c r="AB371">
        <v>31473</v>
      </c>
      <c r="BN371" t="str">
        <f>""</f>
        <v/>
      </c>
      <c r="BO371" t="str">
        <f>""</f>
        <v/>
      </c>
      <c r="BP371" t="str">
        <f>""</f>
        <v/>
      </c>
      <c r="BQ371" t="str">
        <f>""</f>
        <v/>
      </c>
      <c r="BR371" t="str">
        <f>""</f>
        <v/>
      </c>
      <c r="BS371" t="str">
        <f>""</f>
        <v/>
      </c>
      <c r="BT371" t="str">
        <f>""</f>
        <v/>
      </c>
      <c r="BU371" t="str">
        <f>""</f>
        <v/>
      </c>
      <c r="BV371" t="str">
        <f>""</f>
        <v/>
      </c>
      <c r="BW371" t="str">
        <f>""</f>
        <v/>
      </c>
      <c r="BX371" t="str">
        <f>""</f>
        <v/>
      </c>
      <c r="BY371" t="str">
        <f>""</f>
        <v/>
      </c>
      <c r="BZ371" t="str">
        <f>""</f>
        <v/>
      </c>
      <c r="CA371" t="str">
        <f>""</f>
        <v/>
      </c>
      <c r="CB371" t="str">
        <f>""</f>
        <v/>
      </c>
      <c r="CC371" t="str">
        <f>""</f>
        <v/>
      </c>
      <c r="CD371" t="str">
        <f>""</f>
        <v/>
      </c>
      <c r="CE371" t="str">
        <f>""</f>
        <v/>
      </c>
      <c r="CF371" t="str">
        <f>""</f>
        <v/>
      </c>
      <c r="CG371" t="str">
        <f>""</f>
        <v/>
      </c>
      <c r="CH371" t="str">
        <f>""</f>
        <v/>
      </c>
      <c r="CI371" t="str">
        <f>""</f>
        <v/>
      </c>
      <c r="CJ371" t="str">
        <f>""</f>
        <v/>
      </c>
      <c r="CK371" t="str">
        <f>""</f>
        <v/>
      </c>
      <c r="CL371" t="str">
        <f>""</f>
        <v/>
      </c>
      <c r="CM371" t="str">
        <f>""</f>
        <v/>
      </c>
      <c r="CN371" t="str">
        <f>""</f>
        <v/>
      </c>
      <c r="CO371" t="str">
        <f>""</f>
        <v/>
      </c>
      <c r="CP371" t="str">
        <f>""</f>
        <v/>
      </c>
      <c r="CQ371" t="str">
        <f>""</f>
        <v/>
      </c>
      <c r="CR371" t="str">
        <f>""</f>
        <v/>
      </c>
      <c r="CS371" t="str">
        <f>""</f>
        <v/>
      </c>
      <c r="CT371" t="str">
        <f>""</f>
        <v/>
      </c>
      <c r="CU371" t="str">
        <f>""</f>
        <v/>
      </c>
      <c r="CV371" t="str">
        <f>""</f>
        <v/>
      </c>
      <c r="CW371" t="str">
        <f>""</f>
        <v/>
      </c>
      <c r="CX371" t="str">
        <f>""</f>
        <v/>
      </c>
      <c r="CY371" t="str">
        <f>""</f>
        <v/>
      </c>
      <c r="CZ371" t="str">
        <f>""</f>
        <v/>
      </c>
      <c r="DA371" t="str">
        <f>""</f>
        <v/>
      </c>
      <c r="DB371" t="str">
        <f>""</f>
        <v/>
      </c>
      <c r="DC371" t="str">
        <f>""</f>
        <v/>
      </c>
      <c r="DD371" t="str">
        <f>""</f>
        <v/>
      </c>
      <c r="DE371" t="str">
        <f>""</f>
        <v/>
      </c>
      <c r="DF371" t="str">
        <f>""</f>
        <v/>
      </c>
      <c r="DG371" t="str">
        <f>""</f>
        <v/>
      </c>
      <c r="DH371" t="str">
        <f>""</f>
        <v/>
      </c>
      <c r="DI371" t="str">
        <f>""</f>
        <v/>
      </c>
      <c r="DJ371" t="str">
        <f>""</f>
        <v/>
      </c>
      <c r="DK371" t="str">
        <f>""</f>
        <v/>
      </c>
      <c r="DL371" t="str">
        <f>""</f>
        <v/>
      </c>
      <c r="DM371" t="str">
        <f>""</f>
        <v/>
      </c>
      <c r="DN371" t="str">
        <f>""</f>
        <v/>
      </c>
      <c r="DO371" t="str">
        <f>""</f>
        <v/>
      </c>
      <c r="DP371" t="str">
        <f>""</f>
        <v/>
      </c>
      <c r="DQ371" t="str">
        <f>""</f>
        <v/>
      </c>
      <c r="DR371" t="str">
        <f>""</f>
        <v/>
      </c>
      <c r="DS371" t="str">
        <f>""</f>
        <v/>
      </c>
      <c r="DT371" t="str">
        <f>""</f>
        <v/>
      </c>
      <c r="DU371" t="str">
        <f>""</f>
        <v/>
      </c>
    </row>
    <row r="372" spans="1:125" x14ac:dyDescent="0.25">
      <c r="A372" t="str">
        <f>$A$170</f>
        <v xml:space="preserve">    Deutsche Bank AG</v>
      </c>
      <c r="B372" t="str">
        <f>$B$170</f>
        <v>DBK GR Equity</v>
      </c>
      <c r="C372" t="str">
        <f>$C$170</f>
        <v>BS018</v>
      </c>
      <c r="D372" t="str">
        <f>$D$170</f>
        <v>BS_OTHER_LOAN</v>
      </c>
      <c r="E372" t="str">
        <f>$E$170</f>
        <v>Dynamic</v>
      </c>
      <c r="F372">
        <f ca="1">_xll.BDH($B$170,$C$170,$B$206,$B$207,CONCATENATE("Per=",$B$204),"Dts=H","Dir=H",CONCATENATE("Points=",$B$205),"Sort=R","Days=A","Fill=B",CONCATENATE("FX=", $B$203),"cols=60;rows=1")</f>
        <v>5483</v>
      </c>
      <c r="J372">
        <v>3375</v>
      </c>
      <c r="N372">
        <v>4475</v>
      </c>
      <c r="R372">
        <v>5034</v>
      </c>
      <c r="V372">
        <v>5771</v>
      </c>
      <c r="Z372">
        <v>5426</v>
      </c>
      <c r="AD372">
        <v>5074</v>
      </c>
      <c r="AH372">
        <v>77000</v>
      </c>
      <c r="AL372">
        <v>86825</v>
      </c>
      <c r="AP372">
        <v>71620</v>
      </c>
      <c r="AT372">
        <v>94728</v>
      </c>
      <c r="AX372">
        <v>77697</v>
      </c>
      <c r="BB372">
        <v>92333</v>
      </c>
      <c r="BF372">
        <v>106826</v>
      </c>
      <c r="BJ372">
        <v>102259</v>
      </c>
      <c r="BN372" t="str">
        <f>""</f>
        <v/>
      </c>
      <c r="BO372" t="str">
        <f>""</f>
        <v/>
      </c>
      <c r="BP372" t="str">
        <f>""</f>
        <v/>
      </c>
      <c r="BQ372" t="str">
        <f>""</f>
        <v/>
      </c>
      <c r="BR372" t="str">
        <f>""</f>
        <v/>
      </c>
      <c r="BS372" t="str">
        <f>""</f>
        <v/>
      </c>
      <c r="BT372" t="str">
        <f>""</f>
        <v/>
      </c>
      <c r="BU372" t="str">
        <f>""</f>
        <v/>
      </c>
      <c r="BV372" t="str">
        <f>""</f>
        <v/>
      </c>
      <c r="BW372" t="str">
        <f>""</f>
        <v/>
      </c>
      <c r="BX372" t="str">
        <f>""</f>
        <v/>
      </c>
      <c r="BY372" t="str">
        <f>""</f>
        <v/>
      </c>
      <c r="BZ372" t="str">
        <f>""</f>
        <v/>
      </c>
      <c r="CA372" t="str">
        <f>""</f>
        <v/>
      </c>
      <c r="CB372" t="str">
        <f>""</f>
        <v/>
      </c>
      <c r="CC372" t="str">
        <f>""</f>
        <v/>
      </c>
      <c r="CD372" t="str">
        <f>""</f>
        <v/>
      </c>
      <c r="CE372" t="str">
        <f>""</f>
        <v/>
      </c>
      <c r="CF372" t="str">
        <f>""</f>
        <v/>
      </c>
      <c r="CG372" t="str">
        <f>""</f>
        <v/>
      </c>
      <c r="CH372" t="str">
        <f>""</f>
        <v/>
      </c>
      <c r="CI372" t="str">
        <f>""</f>
        <v/>
      </c>
      <c r="CJ372" t="str">
        <f>""</f>
        <v/>
      </c>
      <c r="CK372" t="str">
        <f>""</f>
        <v/>
      </c>
      <c r="CL372" t="str">
        <f>""</f>
        <v/>
      </c>
      <c r="CM372" t="str">
        <f>""</f>
        <v/>
      </c>
      <c r="CN372" t="str">
        <f>""</f>
        <v/>
      </c>
      <c r="CO372" t="str">
        <f>""</f>
        <v/>
      </c>
      <c r="CP372" t="str">
        <f>""</f>
        <v/>
      </c>
      <c r="CQ372" t="str">
        <f>""</f>
        <v/>
      </c>
      <c r="CR372" t="str">
        <f>""</f>
        <v/>
      </c>
      <c r="CS372" t="str">
        <f>""</f>
        <v/>
      </c>
      <c r="CT372" t="str">
        <f>""</f>
        <v/>
      </c>
      <c r="CU372" t="str">
        <f>""</f>
        <v/>
      </c>
      <c r="CV372" t="str">
        <f>""</f>
        <v/>
      </c>
      <c r="CW372" t="str">
        <f>""</f>
        <v/>
      </c>
      <c r="CX372" t="str">
        <f>""</f>
        <v/>
      </c>
      <c r="CY372" t="str">
        <f>""</f>
        <v/>
      </c>
      <c r="CZ372" t="str">
        <f>""</f>
        <v/>
      </c>
      <c r="DA372" t="str">
        <f>""</f>
        <v/>
      </c>
      <c r="DB372" t="str">
        <f>""</f>
        <v/>
      </c>
      <c r="DC372" t="str">
        <f>""</f>
        <v/>
      </c>
      <c r="DD372" t="str">
        <f>""</f>
        <v/>
      </c>
      <c r="DE372" t="str">
        <f>""</f>
        <v/>
      </c>
      <c r="DF372" t="str">
        <f>""</f>
        <v/>
      </c>
      <c r="DG372" t="str">
        <f>""</f>
        <v/>
      </c>
      <c r="DH372" t="str">
        <f>""</f>
        <v/>
      </c>
      <c r="DI372" t="str">
        <f>""</f>
        <v/>
      </c>
      <c r="DJ372" t="str">
        <f>""</f>
        <v/>
      </c>
      <c r="DK372" t="str">
        <f>""</f>
        <v/>
      </c>
      <c r="DL372" t="str">
        <f>""</f>
        <v/>
      </c>
      <c r="DM372" t="str">
        <f>""</f>
        <v/>
      </c>
      <c r="DN372" t="str">
        <f>""</f>
        <v/>
      </c>
      <c r="DO372" t="str">
        <f>""</f>
        <v/>
      </c>
      <c r="DP372" t="str">
        <f>""</f>
        <v/>
      </c>
      <c r="DQ372" t="str">
        <f>""</f>
        <v/>
      </c>
      <c r="DR372" t="str">
        <f>""</f>
        <v/>
      </c>
      <c r="DS372" t="str">
        <f>""</f>
        <v/>
      </c>
      <c r="DT372" t="str">
        <f>""</f>
        <v/>
      </c>
      <c r="DU372" t="str">
        <f>""</f>
        <v/>
      </c>
    </row>
    <row r="373" spans="1:125" x14ac:dyDescent="0.25">
      <c r="A373" t="str">
        <f>$A$171</f>
        <v xml:space="preserve">    DNB Bank ASA</v>
      </c>
      <c r="B373" t="str">
        <f>$B$171</f>
        <v>DNB NO Equity</v>
      </c>
      <c r="C373" t="str">
        <f>$C$171</f>
        <v>BS018</v>
      </c>
      <c r="D373" t="str">
        <f>$D$171</f>
        <v>BS_OTHER_LOAN</v>
      </c>
      <c r="E373" t="str">
        <f>$E$171</f>
        <v>Dynamic</v>
      </c>
      <c r="F373">
        <f ca="1">_xll.BDH($B$171,$C$171,$B$206,$B$207,CONCATENATE("Per=",$B$204),"Dts=H","Dir=H",CONCATENATE("Points=",$B$205),"Sort=R","Days=A","Fill=B",CONCATENATE("FX=", $B$203),"cols=60;rows=1")</f>
        <v>6967.4748</v>
      </c>
      <c r="G373">
        <v>-738.13639999999998</v>
      </c>
      <c r="H373">
        <v>6728.9892</v>
      </c>
      <c r="I373">
        <v>1119.0248999999999</v>
      </c>
      <c r="J373">
        <v>4611.6406999999999</v>
      </c>
      <c r="K373">
        <v>872.20349999999996</v>
      </c>
      <c r="L373">
        <v>1444.4951000000001</v>
      </c>
      <c r="M373">
        <v>1378.2888</v>
      </c>
      <c r="N373">
        <v>5758.4481999999998</v>
      </c>
      <c r="O373">
        <v>7500.4663</v>
      </c>
      <c r="P373">
        <v>573.83270000000005</v>
      </c>
      <c r="Q373">
        <v>2411.0954999999999</v>
      </c>
      <c r="R373">
        <v>112.59139999999999</v>
      </c>
      <c r="S373">
        <v>747.74860000000001</v>
      </c>
      <c r="T373">
        <v>1198.3144</v>
      </c>
      <c r="U373">
        <v>947.60069999999996</v>
      </c>
      <c r="V373">
        <v>1233.9566</v>
      </c>
      <c r="W373">
        <v>2445.5373</v>
      </c>
      <c r="X373">
        <v>2000.5694000000001</v>
      </c>
      <c r="Y373">
        <v>1202.0473999999999</v>
      </c>
      <c r="Z373">
        <v>8644.8078000000005</v>
      </c>
      <c r="AA373">
        <v>8533.0805999999993</v>
      </c>
      <c r="AB373">
        <v>2850.6437000000001</v>
      </c>
      <c r="AC373">
        <v>2678.7707999999998</v>
      </c>
      <c r="AD373">
        <v>8489.4531000000006</v>
      </c>
      <c r="AE373">
        <v>15341.685299999999</v>
      </c>
      <c r="AF373">
        <v>8066.0725000000002</v>
      </c>
      <c r="AG373">
        <v>11093.472599999999</v>
      </c>
      <c r="AH373">
        <v>4711.7213000000002</v>
      </c>
      <c r="AL373">
        <v>4392.6198000000004</v>
      </c>
      <c r="AP373">
        <v>3101.8148999999999</v>
      </c>
      <c r="AT373">
        <v>2666.2359999999999</v>
      </c>
      <c r="BN373" t="str">
        <f>""</f>
        <v/>
      </c>
      <c r="BO373" t="str">
        <f>""</f>
        <v/>
      </c>
      <c r="BP373" t="str">
        <f>""</f>
        <v/>
      </c>
      <c r="BQ373" t="str">
        <f>""</f>
        <v/>
      </c>
      <c r="BR373" t="str">
        <f>""</f>
        <v/>
      </c>
      <c r="BS373" t="str">
        <f>""</f>
        <v/>
      </c>
      <c r="BT373" t="str">
        <f>""</f>
        <v/>
      </c>
      <c r="BU373" t="str">
        <f>""</f>
        <v/>
      </c>
      <c r="BV373" t="str">
        <f>""</f>
        <v/>
      </c>
      <c r="BW373" t="str">
        <f>""</f>
        <v/>
      </c>
      <c r="BX373" t="str">
        <f>""</f>
        <v/>
      </c>
      <c r="BY373" t="str">
        <f>""</f>
        <v/>
      </c>
      <c r="BZ373" t="str">
        <f>""</f>
        <v/>
      </c>
      <c r="CA373" t="str">
        <f>""</f>
        <v/>
      </c>
      <c r="CB373" t="str">
        <f>""</f>
        <v/>
      </c>
      <c r="CC373" t="str">
        <f>""</f>
        <v/>
      </c>
      <c r="CD373" t="str">
        <f>""</f>
        <v/>
      </c>
      <c r="CE373" t="str">
        <f>""</f>
        <v/>
      </c>
      <c r="CF373" t="str">
        <f>""</f>
        <v/>
      </c>
      <c r="CG373" t="str">
        <f>""</f>
        <v/>
      </c>
      <c r="CH373" t="str">
        <f>""</f>
        <v/>
      </c>
      <c r="CI373" t="str">
        <f>""</f>
        <v/>
      </c>
      <c r="CJ373" t="str">
        <f>""</f>
        <v/>
      </c>
      <c r="CK373" t="str">
        <f>""</f>
        <v/>
      </c>
      <c r="CL373" t="str">
        <f>""</f>
        <v/>
      </c>
      <c r="CM373" t="str">
        <f>""</f>
        <v/>
      </c>
      <c r="CN373" t="str">
        <f>""</f>
        <v/>
      </c>
      <c r="CO373" t="str">
        <f>""</f>
        <v/>
      </c>
      <c r="CP373" t="str">
        <f>""</f>
        <v/>
      </c>
      <c r="CQ373" t="str">
        <f>""</f>
        <v/>
      </c>
      <c r="CR373" t="str">
        <f>""</f>
        <v/>
      </c>
      <c r="CS373" t="str">
        <f>""</f>
        <v/>
      </c>
      <c r="CT373" t="str">
        <f>""</f>
        <v/>
      </c>
      <c r="CU373" t="str">
        <f>""</f>
        <v/>
      </c>
      <c r="CV373" t="str">
        <f>""</f>
        <v/>
      </c>
      <c r="CW373" t="str">
        <f>""</f>
        <v/>
      </c>
      <c r="CX373" t="str">
        <f>""</f>
        <v/>
      </c>
      <c r="CY373" t="str">
        <f>""</f>
        <v/>
      </c>
      <c r="CZ373" t="str">
        <f>""</f>
        <v/>
      </c>
      <c r="DA373" t="str">
        <f>""</f>
        <v/>
      </c>
      <c r="DB373" t="str">
        <f>""</f>
        <v/>
      </c>
      <c r="DC373" t="str">
        <f>""</f>
        <v/>
      </c>
      <c r="DD373" t="str">
        <f>""</f>
        <v/>
      </c>
      <c r="DE373" t="str">
        <f>""</f>
        <v/>
      </c>
      <c r="DF373" t="str">
        <f>""</f>
        <v/>
      </c>
      <c r="DG373" t="str">
        <f>""</f>
        <v/>
      </c>
      <c r="DH373" t="str">
        <f>""</f>
        <v/>
      </c>
      <c r="DI373" t="str">
        <f>""</f>
        <v/>
      </c>
      <c r="DJ373" t="str">
        <f>""</f>
        <v/>
      </c>
      <c r="DK373" t="str">
        <f>""</f>
        <v/>
      </c>
      <c r="DL373" t="str">
        <f>""</f>
        <v/>
      </c>
      <c r="DM373" t="str">
        <f>""</f>
        <v/>
      </c>
      <c r="DN373" t="str">
        <f>""</f>
        <v/>
      </c>
      <c r="DO373" t="str">
        <f>""</f>
        <v/>
      </c>
      <c r="DP373" t="str">
        <f>""</f>
        <v/>
      </c>
      <c r="DQ373" t="str">
        <f>""</f>
        <v/>
      </c>
      <c r="DR373" t="str">
        <f>""</f>
        <v/>
      </c>
      <c r="DS373" t="str">
        <f>""</f>
        <v/>
      </c>
      <c r="DT373" t="str">
        <f>""</f>
        <v/>
      </c>
      <c r="DU373" t="str">
        <f>""</f>
        <v/>
      </c>
    </row>
    <row r="374" spans="1:125" x14ac:dyDescent="0.25">
      <c r="A374" t="str">
        <f>$A$172</f>
        <v xml:space="preserve">    Danske Bank A/S</v>
      </c>
      <c r="B374" t="str">
        <f>$B$172</f>
        <v>DANSKE DC Equity</v>
      </c>
      <c r="C374" t="str">
        <f>$C$172</f>
        <v>BS018</v>
      </c>
      <c r="D374" t="str">
        <f>$D$172</f>
        <v>BS_OTHER_LOAN</v>
      </c>
      <c r="E374" t="str">
        <f>$E$172</f>
        <v>Dynamic</v>
      </c>
      <c r="F374" t="str">
        <f ca="1">_xll.BDH($B$172,$C$172,$B$206,$B$207,CONCATENATE("Per=",$B$204),"Dts=H","Dir=H",CONCATENATE("Points=",$B$205),"Sort=R","Days=A","Fill=B",CONCATENATE("FX=", $B$203) )</f>
        <v/>
      </c>
      <c r="BN374" t="str">
        <f>""</f>
        <v/>
      </c>
      <c r="BO374" t="str">
        <f>""</f>
        <v/>
      </c>
      <c r="BP374" t="str">
        <f>""</f>
        <v/>
      </c>
      <c r="BQ374" t="str">
        <f>""</f>
        <v/>
      </c>
      <c r="BR374" t="str">
        <f>""</f>
        <v/>
      </c>
      <c r="BS374" t="str">
        <f>""</f>
        <v/>
      </c>
      <c r="BT374" t="str">
        <f>""</f>
        <v/>
      </c>
      <c r="BU374" t="str">
        <f>""</f>
        <v/>
      </c>
      <c r="BV374" t="str">
        <f>""</f>
        <v/>
      </c>
      <c r="BW374" t="str">
        <f>""</f>
        <v/>
      </c>
      <c r="BX374" t="str">
        <f>""</f>
        <v/>
      </c>
      <c r="BY374" t="str">
        <f>""</f>
        <v/>
      </c>
      <c r="BZ374" t="str">
        <f>""</f>
        <v/>
      </c>
      <c r="CA374" t="str">
        <f>""</f>
        <v/>
      </c>
      <c r="CB374" t="str">
        <f>""</f>
        <v/>
      </c>
      <c r="CC374" t="str">
        <f>""</f>
        <v/>
      </c>
      <c r="CD374" t="str">
        <f>""</f>
        <v/>
      </c>
      <c r="CE374" t="str">
        <f>""</f>
        <v/>
      </c>
      <c r="CF374" t="str">
        <f>""</f>
        <v/>
      </c>
      <c r="CG374" t="str">
        <f>""</f>
        <v/>
      </c>
      <c r="CH374" t="str">
        <f>""</f>
        <v/>
      </c>
      <c r="CI374" t="str">
        <f>""</f>
        <v/>
      </c>
      <c r="CJ374" t="str">
        <f>""</f>
        <v/>
      </c>
      <c r="CK374" t="str">
        <f>""</f>
        <v/>
      </c>
      <c r="CL374" t="str">
        <f>""</f>
        <v/>
      </c>
      <c r="CM374" t="str">
        <f>""</f>
        <v/>
      </c>
      <c r="CN374" t="str">
        <f>""</f>
        <v/>
      </c>
      <c r="CO374" t="str">
        <f>""</f>
        <v/>
      </c>
      <c r="CP374" t="str">
        <f>""</f>
        <v/>
      </c>
      <c r="CQ374" t="str">
        <f>""</f>
        <v/>
      </c>
      <c r="CR374" t="str">
        <f>""</f>
        <v/>
      </c>
      <c r="CS374" t="str">
        <f>""</f>
        <v/>
      </c>
      <c r="CT374" t="str">
        <f>""</f>
        <v/>
      </c>
      <c r="CU374" t="str">
        <f>""</f>
        <v/>
      </c>
      <c r="CV374" t="str">
        <f>""</f>
        <v/>
      </c>
      <c r="CW374" t="str">
        <f>""</f>
        <v/>
      </c>
      <c r="CX374" t="str">
        <f>""</f>
        <v/>
      </c>
      <c r="CY374" t="str">
        <f>""</f>
        <v/>
      </c>
      <c r="CZ374" t="str">
        <f>""</f>
        <v/>
      </c>
      <c r="DA374" t="str">
        <f>""</f>
        <v/>
      </c>
      <c r="DB374" t="str">
        <f>""</f>
        <v/>
      </c>
      <c r="DC374" t="str">
        <f>""</f>
        <v/>
      </c>
      <c r="DD374" t="str">
        <f>""</f>
        <v/>
      </c>
      <c r="DE374" t="str">
        <f>""</f>
        <v/>
      </c>
      <c r="DF374" t="str">
        <f>""</f>
        <v/>
      </c>
      <c r="DG374" t="str">
        <f>""</f>
        <v/>
      </c>
      <c r="DH374" t="str">
        <f>""</f>
        <v/>
      </c>
      <c r="DI374" t="str">
        <f>""</f>
        <v/>
      </c>
      <c r="DJ374" t="str">
        <f>""</f>
        <v/>
      </c>
      <c r="DK374" t="str">
        <f>""</f>
        <v/>
      </c>
      <c r="DL374" t="str">
        <f>""</f>
        <v/>
      </c>
      <c r="DM374" t="str">
        <f>""</f>
        <v/>
      </c>
      <c r="DN374" t="str">
        <f>""</f>
        <v/>
      </c>
      <c r="DO374" t="str">
        <f>""</f>
        <v/>
      </c>
      <c r="DP374" t="str">
        <f>""</f>
        <v/>
      </c>
      <c r="DQ374" t="str">
        <f>""</f>
        <v/>
      </c>
      <c r="DR374" t="str">
        <f>""</f>
        <v/>
      </c>
      <c r="DS374" t="str">
        <f>""</f>
        <v/>
      </c>
      <c r="DT374" t="str">
        <f>""</f>
        <v/>
      </c>
      <c r="DU374" t="str">
        <f>""</f>
        <v/>
      </c>
    </row>
    <row r="375" spans="1:125" x14ac:dyDescent="0.25">
      <c r="A375" t="str">
        <f>$A$173</f>
        <v xml:space="preserve">    Erste Group Bank AG</v>
      </c>
      <c r="B375" t="str">
        <f>$B$173</f>
        <v>EBS AV Equity</v>
      </c>
      <c r="C375" t="str">
        <f>$C$173</f>
        <v>BS018</v>
      </c>
      <c r="D375" t="str">
        <f>$D$173</f>
        <v>BS_OTHER_LOAN</v>
      </c>
      <c r="E375" t="str">
        <f>$E$173</f>
        <v>Dynamic</v>
      </c>
      <c r="F375">
        <f ca="1">_xll.BDH($B$173,$C$173,$B$206,$B$207,CONCATENATE("Per=",$B$204),"Dts=H","Dir=H",CONCATENATE("Points=",$B$205),"Sort=R","Days=A","Fill=B",CONCATENATE("FX=", $B$203),"cols=60;rows=1")</f>
        <v>4118</v>
      </c>
      <c r="G375">
        <v>4138</v>
      </c>
      <c r="H375">
        <v>4129</v>
      </c>
      <c r="I375">
        <v>4126</v>
      </c>
      <c r="J375">
        <v>4068</v>
      </c>
      <c r="K375">
        <v>4104</v>
      </c>
      <c r="L375">
        <v>8511.19</v>
      </c>
      <c r="M375">
        <v>4010</v>
      </c>
      <c r="N375">
        <v>3981</v>
      </c>
      <c r="O375">
        <v>9314.6080000000002</v>
      </c>
      <c r="P375">
        <v>8187.8649999999998</v>
      </c>
      <c r="Q375">
        <v>6726</v>
      </c>
      <c r="R375">
        <v>3936</v>
      </c>
      <c r="S375">
        <v>7653.2669999999998</v>
      </c>
      <c r="T375">
        <v>7871.6009999999997</v>
      </c>
      <c r="U375">
        <v>7424.2460000000001</v>
      </c>
      <c r="V375">
        <v>4002</v>
      </c>
      <c r="W375">
        <v>7677.1779999999999</v>
      </c>
      <c r="X375">
        <v>11456.790999999999</v>
      </c>
      <c r="Y375">
        <v>7268.3469999999998</v>
      </c>
      <c r="Z375">
        <v>7469.1310000000003</v>
      </c>
      <c r="AA375">
        <v>6945.3270000000002</v>
      </c>
      <c r="AB375">
        <v>7297.1469999999999</v>
      </c>
      <c r="AC375">
        <v>7163.6260000000002</v>
      </c>
      <c r="AD375">
        <v>7618.0339999999997</v>
      </c>
      <c r="AE375">
        <v>7387.5219999999999</v>
      </c>
      <c r="AF375">
        <v>7354.3909999999996</v>
      </c>
      <c r="AG375">
        <v>7198.3810000000003</v>
      </c>
      <c r="AH375">
        <v>7048.277</v>
      </c>
      <c r="AI375">
        <v>7347.4560000000001</v>
      </c>
      <c r="AJ375">
        <v>7285.07</v>
      </c>
      <c r="AK375">
        <v>7390.9539999999997</v>
      </c>
      <c r="AL375">
        <v>7442.451</v>
      </c>
      <c r="AM375">
        <v>7481.6769999999997</v>
      </c>
      <c r="AN375">
        <v>7565.3639999999996</v>
      </c>
      <c r="AP375">
        <v>7615.65</v>
      </c>
      <c r="AY375">
        <v>7052.24</v>
      </c>
      <c r="AZ375">
        <v>7226.8280000000004</v>
      </c>
      <c r="BA375">
        <v>6896</v>
      </c>
      <c r="BB375">
        <v>7849.5280000000002</v>
      </c>
      <c r="BC375">
        <v>7804</v>
      </c>
      <c r="BD375">
        <v>7718</v>
      </c>
      <c r="BE375">
        <v>7934</v>
      </c>
      <c r="BF375">
        <v>8019.509</v>
      </c>
      <c r="BG375">
        <v>7710</v>
      </c>
      <c r="BH375">
        <v>7890</v>
      </c>
      <c r="BI375">
        <v>7869</v>
      </c>
      <c r="BJ375">
        <v>7839.1139999999996</v>
      </c>
      <c r="BK375">
        <v>7505</v>
      </c>
      <c r="BL375">
        <v>7406</v>
      </c>
      <c r="BM375">
        <v>7239</v>
      </c>
      <c r="BN375" t="str">
        <f>""</f>
        <v/>
      </c>
      <c r="BO375" t="str">
        <f>""</f>
        <v/>
      </c>
      <c r="BP375" t="str">
        <f>""</f>
        <v/>
      </c>
      <c r="BQ375" t="str">
        <f>""</f>
        <v/>
      </c>
      <c r="BR375" t="str">
        <f>""</f>
        <v/>
      </c>
      <c r="BS375" t="str">
        <f>""</f>
        <v/>
      </c>
      <c r="BT375" t="str">
        <f>""</f>
        <v/>
      </c>
      <c r="BU375" t="str">
        <f>""</f>
        <v/>
      </c>
      <c r="BV375" t="str">
        <f>""</f>
        <v/>
      </c>
      <c r="BW375" t="str">
        <f>""</f>
        <v/>
      </c>
      <c r="BX375" t="str">
        <f>""</f>
        <v/>
      </c>
      <c r="BY375" t="str">
        <f>""</f>
        <v/>
      </c>
      <c r="BZ375" t="str">
        <f>""</f>
        <v/>
      </c>
      <c r="CA375" t="str">
        <f>""</f>
        <v/>
      </c>
      <c r="CB375" t="str">
        <f>""</f>
        <v/>
      </c>
      <c r="CC375" t="str">
        <f>""</f>
        <v/>
      </c>
      <c r="CD375" t="str">
        <f>""</f>
        <v/>
      </c>
      <c r="CE375" t="str">
        <f>""</f>
        <v/>
      </c>
      <c r="CF375" t="str">
        <f>""</f>
        <v/>
      </c>
      <c r="CG375" t="str">
        <f>""</f>
        <v/>
      </c>
      <c r="CH375" t="str">
        <f>""</f>
        <v/>
      </c>
      <c r="CI375" t="str">
        <f>""</f>
        <v/>
      </c>
      <c r="CJ375" t="str">
        <f>""</f>
        <v/>
      </c>
      <c r="CK375" t="str">
        <f>""</f>
        <v/>
      </c>
      <c r="CL375" t="str">
        <f>""</f>
        <v/>
      </c>
      <c r="CM375" t="str">
        <f>""</f>
        <v/>
      </c>
      <c r="CN375" t="str">
        <f>""</f>
        <v/>
      </c>
      <c r="CO375" t="str">
        <f>""</f>
        <v/>
      </c>
      <c r="CP375" t="str">
        <f>""</f>
        <v/>
      </c>
      <c r="CQ375" t="str">
        <f>""</f>
        <v/>
      </c>
      <c r="CR375" t="str">
        <f>""</f>
        <v/>
      </c>
      <c r="CS375" t="str">
        <f>""</f>
        <v/>
      </c>
      <c r="CT375" t="str">
        <f>""</f>
        <v/>
      </c>
      <c r="CU375" t="str">
        <f>""</f>
        <v/>
      </c>
      <c r="CV375" t="str">
        <f>""</f>
        <v/>
      </c>
      <c r="CW375" t="str">
        <f>""</f>
        <v/>
      </c>
      <c r="CX375" t="str">
        <f>""</f>
        <v/>
      </c>
      <c r="CY375" t="str">
        <f>""</f>
        <v/>
      </c>
      <c r="CZ375" t="str">
        <f>""</f>
        <v/>
      </c>
      <c r="DA375" t="str">
        <f>""</f>
        <v/>
      </c>
      <c r="DB375" t="str">
        <f>""</f>
        <v/>
      </c>
      <c r="DC375" t="str">
        <f>""</f>
        <v/>
      </c>
      <c r="DD375" t="str">
        <f>""</f>
        <v/>
      </c>
      <c r="DE375" t="str">
        <f>""</f>
        <v/>
      </c>
      <c r="DF375" t="str">
        <f>""</f>
        <v/>
      </c>
      <c r="DG375" t="str">
        <f>""</f>
        <v/>
      </c>
      <c r="DH375" t="str">
        <f>""</f>
        <v/>
      </c>
      <c r="DI375" t="str">
        <f>""</f>
        <v/>
      </c>
      <c r="DJ375" t="str">
        <f>""</f>
        <v/>
      </c>
      <c r="DK375" t="str">
        <f>""</f>
        <v/>
      </c>
      <c r="DL375" t="str">
        <f>""</f>
        <v/>
      </c>
      <c r="DM375" t="str">
        <f>""</f>
        <v/>
      </c>
      <c r="DN375" t="str">
        <f>""</f>
        <v/>
      </c>
      <c r="DO375" t="str">
        <f>""</f>
        <v/>
      </c>
      <c r="DP375" t="str">
        <f>""</f>
        <v/>
      </c>
      <c r="DQ375" t="str">
        <f>""</f>
        <v/>
      </c>
      <c r="DR375" t="str">
        <f>""</f>
        <v/>
      </c>
      <c r="DS375" t="str">
        <f>""</f>
        <v/>
      </c>
      <c r="DT375" t="str">
        <f>""</f>
        <v/>
      </c>
      <c r="DU375" t="str">
        <f>""</f>
        <v/>
      </c>
    </row>
    <row r="376" spans="1:125" x14ac:dyDescent="0.25">
      <c r="A376" t="str">
        <f>$A$174</f>
        <v xml:space="preserve">    FinecoBank Banca Fineco SpA</v>
      </c>
      <c r="B376" t="str">
        <f>$B$174</f>
        <v>FBK IM Equity</v>
      </c>
      <c r="C376" t="str">
        <f>$C$174</f>
        <v>BS018</v>
      </c>
      <c r="D376" t="str">
        <f>$D$174</f>
        <v>BS_OTHER_LOAN</v>
      </c>
      <c r="E376" t="str">
        <f>$E$174</f>
        <v>Dynamic</v>
      </c>
      <c r="F376" t="str">
        <f ca="1">_xll.BDH($B$174,$C$174,$B$206,$B$207,CONCATENATE("Per=",$B$204),"Dts=H","Dir=H",CONCATENATE("Points=",$B$205),"Sort=R","Days=A","Fill=B",CONCATENATE("FX=", $B$203),"cols=60;rows=1")</f>
        <v/>
      </c>
      <c r="H376">
        <v>757.88900000000001</v>
      </c>
      <c r="J376">
        <v>574.88699999999994</v>
      </c>
      <c r="L376">
        <v>317.30700000000002</v>
      </c>
      <c r="N376">
        <v>435.25299999999999</v>
      </c>
      <c r="P376">
        <v>475.16</v>
      </c>
      <c r="R376">
        <v>433.61099999999999</v>
      </c>
      <c r="T376">
        <v>432.42700000000002</v>
      </c>
      <c r="V376">
        <v>410.45299999999997</v>
      </c>
      <c r="X376">
        <v>333.14299999999997</v>
      </c>
      <c r="Z376">
        <v>298.67</v>
      </c>
      <c r="AB376">
        <v>397.97800000000001</v>
      </c>
      <c r="AD376">
        <v>226.80199999999999</v>
      </c>
      <c r="AF376">
        <v>227.71100000000001</v>
      </c>
      <c r="AH376">
        <v>168.19829999999999</v>
      </c>
      <c r="AJ376">
        <v>177.1799</v>
      </c>
      <c r="AL376">
        <v>152.702</v>
      </c>
      <c r="AN376">
        <v>161.32480000000001</v>
      </c>
      <c r="AP376">
        <v>140.804</v>
      </c>
      <c r="AR376">
        <v>159.72970000000001</v>
      </c>
      <c r="AT376">
        <v>126.1412</v>
      </c>
      <c r="AU376">
        <v>113.54640000000001</v>
      </c>
      <c r="AV376">
        <v>147.16669999999999</v>
      </c>
      <c r="AW376">
        <v>162.18719999999999</v>
      </c>
      <c r="BN376" t="str">
        <f>""</f>
        <v/>
      </c>
      <c r="BO376" t="str">
        <f>""</f>
        <v/>
      </c>
      <c r="BP376" t="str">
        <f>""</f>
        <v/>
      </c>
      <c r="BQ376" t="str">
        <f>""</f>
        <v/>
      </c>
      <c r="BR376" t="str">
        <f>""</f>
        <v/>
      </c>
      <c r="BS376" t="str">
        <f>""</f>
        <v/>
      </c>
      <c r="BT376" t="str">
        <f>""</f>
        <v/>
      </c>
      <c r="BU376" t="str">
        <f>""</f>
        <v/>
      </c>
      <c r="BV376" t="str">
        <f>""</f>
        <v/>
      </c>
      <c r="BW376" t="str">
        <f>""</f>
        <v/>
      </c>
      <c r="BX376" t="str">
        <f>""</f>
        <v/>
      </c>
      <c r="BY376" t="str">
        <f>""</f>
        <v/>
      </c>
      <c r="BZ376" t="str">
        <f>""</f>
        <v/>
      </c>
      <c r="CA376" t="str">
        <f>""</f>
        <v/>
      </c>
      <c r="CB376" t="str">
        <f>""</f>
        <v/>
      </c>
      <c r="CC376" t="str">
        <f>""</f>
        <v/>
      </c>
      <c r="CD376" t="str">
        <f>""</f>
        <v/>
      </c>
      <c r="CE376" t="str">
        <f>""</f>
        <v/>
      </c>
      <c r="CF376" t="str">
        <f>""</f>
        <v/>
      </c>
      <c r="CG376" t="str">
        <f>""</f>
        <v/>
      </c>
      <c r="CH376" t="str">
        <f>""</f>
        <v/>
      </c>
      <c r="CI376" t="str">
        <f>""</f>
        <v/>
      </c>
      <c r="CJ376" t="str">
        <f>""</f>
        <v/>
      </c>
      <c r="CK376" t="str">
        <f>""</f>
        <v/>
      </c>
      <c r="CL376" t="str">
        <f>""</f>
        <v/>
      </c>
      <c r="CM376" t="str">
        <f>""</f>
        <v/>
      </c>
      <c r="CN376" t="str">
        <f>""</f>
        <v/>
      </c>
      <c r="CO376" t="str">
        <f>""</f>
        <v/>
      </c>
      <c r="CP376" t="str">
        <f>""</f>
        <v/>
      </c>
      <c r="CQ376" t="str">
        <f>""</f>
        <v/>
      </c>
      <c r="CR376" t="str">
        <f>""</f>
        <v/>
      </c>
      <c r="CS376" t="str">
        <f>""</f>
        <v/>
      </c>
      <c r="CT376" t="str">
        <f>""</f>
        <v/>
      </c>
      <c r="CU376" t="str">
        <f>""</f>
        <v/>
      </c>
      <c r="CV376" t="str">
        <f>""</f>
        <v/>
      </c>
      <c r="CW376" t="str">
        <f>""</f>
        <v/>
      </c>
      <c r="CX376" t="str">
        <f>""</f>
        <v/>
      </c>
      <c r="CY376" t="str">
        <f>""</f>
        <v/>
      </c>
      <c r="CZ376" t="str">
        <f>""</f>
        <v/>
      </c>
      <c r="DA376" t="str">
        <f>""</f>
        <v/>
      </c>
      <c r="DB376" t="str">
        <f>""</f>
        <v/>
      </c>
      <c r="DC376" t="str">
        <f>""</f>
        <v/>
      </c>
      <c r="DD376" t="str">
        <f>""</f>
        <v/>
      </c>
      <c r="DE376" t="str">
        <f>""</f>
        <v/>
      </c>
      <c r="DF376" t="str">
        <f>""</f>
        <v/>
      </c>
      <c r="DG376" t="str">
        <f>""</f>
        <v/>
      </c>
      <c r="DH376" t="str">
        <f>""</f>
        <v/>
      </c>
      <c r="DI376" t="str">
        <f>""</f>
        <v/>
      </c>
      <c r="DJ376" t="str">
        <f>""</f>
        <v/>
      </c>
      <c r="DK376" t="str">
        <f>""</f>
        <v/>
      </c>
      <c r="DL376" t="str">
        <f>""</f>
        <v/>
      </c>
      <c r="DM376" t="str">
        <f>""</f>
        <v/>
      </c>
      <c r="DN376" t="str">
        <f>""</f>
        <v/>
      </c>
      <c r="DO376" t="str">
        <f>""</f>
        <v/>
      </c>
      <c r="DP376" t="str">
        <f>""</f>
        <v/>
      </c>
      <c r="DQ376" t="str">
        <f>""</f>
        <v/>
      </c>
      <c r="DR376" t="str">
        <f>""</f>
        <v/>
      </c>
      <c r="DS376" t="str">
        <f>""</f>
        <v/>
      </c>
      <c r="DT376" t="str">
        <f>""</f>
        <v/>
      </c>
      <c r="DU376" t="str">
        <f>""</f>
        <v/>
      </c>
    </row>
    <row r="377" spans="1:125" x14ac:dyDescent="0.25">
      <c r="A377" t="str">
        <f>$A$175</f>
        <v xml:space="preserve">    HSBC Holdings PLC</v>
      </c>
      <c r="B377" t="str">
        <f>$B$175</f>
        <v>HSBA LN Equity</v>
      </c>
      <c r="C377" t="str">
        <f>$C$175</f>
        <v>BS018</v>
      </c>
      <c r="D377" t="str">
        <f>$D$175</f>
        <v>BS_OTHER_LOAN</v>
      </c>
      <c r="E377" t="str">
        <f>$E$175</f>
        <v>Dynamic</v>
      </c>
      <c r="F377">
        <f ca="1">_xll.BDH($B$175,$C$175,$B$206,$B$207,CONCATENATE("Per=",$B$204),"Dts=H","Dir=H",CONCATENATE("Points=",$B$205),"Sort=R","Days=A","Fill=B",CONCATENATE("FX=", $B$203),"cols=60;rows=1")</f>
        <v>79683.061199999996</v>
      </c>
      <c r="H377">
        <v>73953.900699999998</v>
      </c>
      <c r="J377">
        <v>67274.041899999997</v>
      </c>
      <c r="L377">
        <v>70151.126600000003</v>
      </c>
      <c r="N377">
        <v>62481.561000000002</v>
      </c>
      <c r="P377">
        <v>62904.702899999997</v>
      </c>
      <c r="R377">
        <v>57399.437899999997</v>
      </c>
      <c r="S377">
        <v>56395.298600000002</v>
      </c>
      <c r="T377">
        <v>58846.316099999996</v>
      </c>
      <c r="U377">
        <v>54822.9787</v>
      </c>
      <c r="V377">
        <v>52826.175900000002</v>
      </c>
      <c r="W377">
        <v>59801.228499999997</v>
      </c>
      <c r="X377">
        <v>61741.528100000003</v>
      </c>
      <c r="Y377">
        <v>0</v>
      </c>
      <c r="Z377">
        <v>62966.426200000002</v>
      </c>
      <c r="AA377">
        <v>67044.850000000006</v>
      </c>
      <c r="AB377">
        <v>61074.038200000003</v>
      </c>
      <c r="AC377">
        <v>58937.706100000003</v>
      </c>
      <c r="AD377">
        <v>53621.201500000003</v>
      </c>
      <c r="AE377">
        <v>55762.8724</v>
      </c>
      <c r="AF377">
        <v>51613.428099999997</v>
      </c>
      <c r="AG377">
        <v>48965.91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1537.0992000000001</v>
      </c>
      <c r="AT377">
        <v>1709.9174</v>
      </c>
      <c r="AU377">
        <v>1792.6993</v>
      </c>
      <c r="AV377">
        <v>1840.7597000000001</v>
      </c>
      <c r="AW377">
        <v>1895.8757000000001</v>
      </c>
      <c r="AX377">
        <v>1969.6859999999999</v>
      </c>
      <c r="AY377">
        <v>2284.384</v>
      </c>
      <c r="AZ377">
        <v>2665.1288</v>
      </c>
      <c r="BA377">
        <v>2802.2148999999999</v>
      </c>
      <c r="BB377">
        <v>2948.3973999999998</v>
      </c>
      <c r="BC377">
        <v>3261.8825999999999</v>
      </c>
      <c r="BD377">
        <v>3670.8561</v>
      </c>
      <c r="BE377">
        <v>3703.1203</v>
      </c>
      <c r="BF377">
        <v>4074.0740999999998</v>
      </c>
      <c r="BG377">
        <v>3932.6343999999999</v>
      </c>
      <c r="BH377">
        <v>3903.5147999999999</v>
      </c>
      <c r="BI377">
        <v>4106.4129999999996</v>
      </c>
      <c r="BJ377">
        <v>4408.1998999999996</v>
      </c>
      <c r="BL377">
        <v>5035.4898999999996</v>
      </c>
      <c r="BN377" t="str">
        <f>""</f>
        <v/>
      </c>
      <c r="BO377" t="str">
        <f>""</f>
        <v/>
      </c>
      <c r="BP377" t="str">
        <f>""</f>
        <v/>
      </c>
      <c r="BQ377" t="str">
        <f>""</f>
        <v/>
      </c>
      <c r="BR377" t="str">
        <f>""</f>
        <v/>
      </c>
      <c r="BS377" t="str">
        <f>""</f>
        <v/>
      </c>
      <c r="BT377" t="str">
        <f>""</f>
        <v/>
      </c>
      <c r="BU377" t="str">
        <f>""</f>
        <v/>
      </c>
      <c r="BV377" t="str">
        <f>""</f>
        <v/>
      </c>
      <c r="BW377" t="str">
        <f>""</f>
        <v/>
      </c>
      <c r="BX377" t="str">
        <f>""</f>
        <v/>
      </c>
      <c r="BY377" t="str">
        <f>""</f>
        <v/>
      </c>
      <c r="BZ377" t="str">
        <f>""</f>
        <v/>
      </c>
      <c r="CA377" t="str">
        <f>""</f>
        <v/>
      </c>
      <c r="CB377" t="str">
        <f>""</f>
        <v/>
      </c>
      <c r="CC377" t="str">
        <f>""</f>
        <v/>
      </c>
      <c r="CD377" t="str">
        <f>""</f>
        <v/>
      </c>
      <c r="CE377" t="str">
        <f>""</f>
        <v/>
      </c>
      <c r="CF377" t="str">
        <f>""</f>
        <v/>
      </c>
      <c r="CG377" t="str">
        <f>""</f>
        <v/>
      </c>
      <c r="CH377" t="str">
        <f>""</f>
        <v/>
      </c>
      <c r="CI377" t="str">
        <f>""</f>
        <v/>
      </c>
      <c r="CJ377" t="str">
        <f>""</f>
        <v/>
      </c>
      <c r="CK377" t="str">
        <f>""</f>
        <v/>
      </c>
      <c r="CL377" t="str">
        <f>""</f>
        <v/>
      </c>
      <c r="CM377" t="str">
        <f>""</f>
        <v/>
      </c>
      <c r="CN377" t="str">
        <f>""</f>
        <v/>
      </c>
      <c r="CO377" t="str">
        <f>""</f>
        <v/>
      </c>
      <c r="CP377" t="str">
        <f>""</f>
        <v/>
      </c>
      <c r="CQ377" t="str">
        <f>""</f>
        <v/>
      </c>
      <c r="CR377" t="str">
        <f>""</f>
        <v/>
      </c>
      <c r="CS377" t="str">
        <f>""</f>
        <v/>
      </c>
      <c r="CT377" t="str">
        <f>""</f>
        <v/>
      </c>
      <c r="CU377" t="str">
        <f>""</f>
        <v/>
      </c>
      <c r="CV377" t="str">
        <f>""</f>
        <v/>
      </c>
      <c r="CW377" t="str">
        <f>""</f>
        <v/>
      </c>
      <c r="CX377" t="str">
        <f>""</f>
        <v/>
      </c>
      <c r="CY377" t="str">
        <f>""</f>
        <v/>
      </c>
      <c r="CZ377" t="str">
        <f>""</f>
        <v/>
      </c>
      <c r="DA377" t="str">
        <f>""</f>
        <v/>
      </c>
      <c r="DB377" t="str">
        <f>""</f>
        <v/>
      </c>
      <c r="DC377" t="str">
        <f>""</f>
        <v/>
      </c>
      <c r="DD377" t="str">
        <f>""</f>
        <v/>
      </c>
      <c r="DE377" t="str">
        <f>""</f>
        <v/>
      </c>
      <c r="DF377" t="str">
        <f>""</f>
        <v/>
      </c>
      <c r="DG377" t="str">
        <f>""</f>
        <v/>
      </c>
      <c r="DH377" t="str">
        <f>""</f>
        <v/>
      </c>
      <c r="DI377" t="str">
        <f>""</f>
        <v/>
      </c>
      <c r="DJ377" t="str">
        <f>""</f>
        <v/>
      </c>
      <c r="DK377" t="str">
        <f>""</f>
        <v/>
      </c>
      <c r="DL377" t="str">
        <f>""</f>
        <v/>
      </c>
      <c r="DM377" t="str">
        <f>""</f>
        <v/>
      </c>
      <c r="DN377" t="str">
        <f>""</f>
        <v/>
      </c>
      <c r="DO377" t="str">
        <f>""</f>
        <v/>
      </c>
      <c r="DP377" t="str">
        <f>""</f>
        <v/>
      </c>
      <c r="DQ377" t="str">
        <f>""</f>
        <v/>
      </c>
      <c r="DR377" t="str">
        <f>""</f>
        <v/>
      </c>
      <c r="DS377" t="str">
        <f>""</f>
        <v/>
      </c>
      <c r="DT377" t="str">
        <f>""</f>
        <v/>
      </c>
      <c r="DU377" t="str">
        <f>""</f>
        <v/>
      </c>
    </row>
    <row r="378" spans="1:125" x14ac:dyDescent="0.25">
      <c r="A378" t="str">
        <f>$A$176</f>
        <v xml:space="preserve">    ING Groep NV</v>
      </c>
      <c r="B378" t="str">
        <f>$B$176</f>
        <v>INGA NA Equity</v>
      </c>
      <c r="C378" t="str">
        <f>$C$176</f>
        <v>BS018</v>
      </c>
      <c r="D378" t="str">
        <f>$D$176</f>
        <v>BS_OTHER_LOAN</v>
      </c>
      <c r="E378" t="str">
        <f>$E$176</f>
        <v>Dynamic</v>
      </c>
      <c r="F378">
        <f ca="1">_xll.BDH($B$176,$C$176,$B$206,$B$207,CONCATENATE("Per=",$B$204),"Dts=H","Dir=H",CONCATENATE("Points=",$B$205),"Sort=R","Days=A","Fill=B",CONCATENATE("FX=", $B$203),"cols=60;rows=1")</f>
        <v>15190</v>
      </c>
      <c r="H378">
        <v>14975</v>
      </c>
      <c r="J378">
        <v>13885</v>
      </c>
      <c r="L378">
        <v>14878</v>
      </c>
      <c r="N378">
        <v>11371</v>
      </c>
      <c r="P378">
        <v>13295</v>
      </c>
      <c r="R378">
        <v>47543</v>
      </c>
      <c r="T378">
        <v>47746</v>
      </c>
      <c r="V378">
        <v>46079</v>
      </c>
      <c r="X378">
        <v>46322</v>
      </c>
      <c r="Z378">
        <v>45785</v>
      </c>
      <c r="AB378">
        <v>47076</v>
      </c>
      <c r="AD378">
        <v>44632</v>
      </c>
      <c r="AF378">
        <v>45368</v>
      </c>
      <c r="AH378">
        <v>50139</v>
      </c>
      <c r="AJ378">
        <v>51231</v>
      </c>
      <c r="AL378">
        <v>50858</v>
      </c>
      <c r="AN378">
        <v>55310</v>
      </c>
      <c r="AP378">
        <v>59048</v>
      </c>
      <c r="AQ378">
        <v>57605</v>
      </c>
      <c r="AR378">
        <v>58232</v>
      </c>
      <c r="AS378">
        <v>58325</v>
      </c>
      <c r="AT378">
        <v>52043</v>
      </c>
      <c r="AU378">
        <v>51613</v>
      </c>
      <c r="AV378">
        <v>77232</v>
      </c>
      <c r="AW378">
        <v>74526</v>
      </c>
      <c r="AX378">
        <v>60055</v>
      </c>
      <c r="AY378">
        <v>75849</v>
      </c>
      <c r="AZ378">
        <v>82702</v>
      </c>
      <c r="BA378">
        <v>85471</v>
      </c>
      <c r="BC378">
        <v>85954</v>
      </c>
      <c r="BE378">
        <v>107000</v>
      </c>
      <c r="BF378">
        <v>96069</v>
      </c>
      <c r="BG378">
        <v>101844</v>
      </c>
      <c r="BH378">
        <v>102449</v>
      </c>
      <c r="BI378">
        <v>85370</v>
      </c>
      <c r="BJ378">
        <v>100641</v>
      </c>
      <c r="BK378">
        <v>85924</v>
      </c>
      <c r="BL378">
        <v>88757</v>
      </c>
      <c r="BM378">
        <v>87618</v>
      </c>
      <c r="BN378" t="str">
        <f>""</f>
        <v/>
      </c>
      <c r="BO378" t="str">
        <f>""</f>
        <v/>
      </c>
      <c r="BP378" t="str">
        <f>""</f>
        <v/>
      </c>
      <c r="BQ378" t="str">
        <f>""</f>
        <v/>
      </c>
      <c r="BR378" t="str">
        <f>""</f>
        <v/>
      </c>
      <c r="BS378" t="str">
        <f>""</f>
        <v/>
      </c>
      <c r="BT378" t="str">
        <f>""</f>
        <v/>
      </c>
      <c r="BU378" t="str">
        <f>""</f>
        <v/>
      </c>
      <c r="BV378" t="str">
        <f>""</f>
        <v/>
      </c>
      <c r="BW378" t="str">
        <f>""</f>
        <v/>
      </c>
      <c r="BX378" t="str">
        <f>""</f>
        <v/>
      </c>
      <c r="BY378" t="str">
        <f>""</f>
        <v/>
      </c>
      <c r="BZ378" t="str">
        <f>""</f>
        <v/>
      </c>
      <c r="CA378" t="str">
        <f>""</f>
        <v/>
      </c>
      <c r="CB378" t="str">
        <f>""</f>
        <v/>
      </c>
      <c r="CC378" t="str">
        <f>""</f>
        <v/>
      </c>
      <c r="CD378" t="str">
        <f>""</f>
        <v/>
      </c>
      <c r="CE378" t="str">
        <f>""</f>
        <v/>
      </c>
      <c r="CF378" t="str">
        <f>""</f>
        <v/>
      </c>
      <c r="CG378" t="str">
        <f>""</f>
        <v/>
      </c>
      <c r="CH378" t="str">
        <f>""</f>
        <v/>
      </c>
      <c r="CI378" t="str">
        <f>""</f>
        <v/>
      </c>
      <c r="CJ378" t="str">
        <f>""</f>
        <v/>
      </c>
      <c r="CK378" t="str">
        <f>""</f>
        <v/>
      </c>
      <c r="CL378" t="str">
        <f>""</f>
        <v/>
      </c>
      <c r="CM378" t="str">
        <f>""</f>
        <v/>
      </c>
      <c r="CN378" t="str">
        <f>""</f>
        <v/>
      </c>
      <c r="CO378" t="str">
        <f>""</f>
        <v/>
      </c>
      <c r="CP378" t="str">
        <f>""</f>
        <v/>
      </c>
      <c r="CQ378" t="str">
        <f>""</f>
        <v/>
      </c>
      <c r="CR378" t="str">
        <f>""</f>
        <v/>
      </c>
      <c r="CS378" t="str">
        <f>""</f>
        <v/>
      </c>
      <c r="CT378" t="str">
        <f>""</f>
        <v/>
      </c>
      <c r="CU378" t="str">
        <f>""</f>
        <v/>
      </c>
      <c r="CV378" t="str">
        <f>""</f>
        <v/>
      </c>
      <c r="CW378" t="str">
        <f>""</f>
        <v/>
      </c>
      <c r="CX378" t="str">
        <f>""</f>
        <v/>
      </c>
      <c r="CY378" t="str">
        <f>""</f>
        <v/>
      </c>
      <c r="CZ378" t="str">
        <f>""</f>
        <v/>
      </c>
      <c r="DA378" t="str">
        <f>""</f>
        <v/>
      </c>
      <c r="DB378" t="str">
        <f>""</f>
        <v/>
      </c>
      <c r="DC378" t="str">
        <f>""</f>
        <v/>
      </c>
      <c r="DD378" t="str">
        <f>""</f>
        <v/>
      </c>
      <c r="DE378" t="str">
        <f>""</f>
        <v/>
      </c>
      <c r="DF378" t="str">
        <f>""</f>
        <v/>
      </c>
      <c r="DG378" t="str">
        <f>""</f>
        <v/>
      </c>
      <c r="DH378" t="str">
        <f>""</f>
        <v/>
      </c>
      <c r="DI378" t="str">
        <f>""</f>
        <v/>
      </c>
      <c r="DJ378" t="str">
        <f>""</f>
        <v/>
      </c>
      <c r="DK378" t="str">
        <f>""</f>
        <v/>
      </c>
      <c r="DL378" t="str">
        <f>""</f>
        <v/>
      </c>
      <c r="DM378" t="str">
        <f>""</f>
        <v/>
      </c>
      <c r="DN378" t="str">
        <f>""</f>
        <v/>
      </c>
      <c r="DO378" t="str">
        <f>""</f>
        <v/>
      </c>
      <c r="DP378" t="str">
        <f>""</f>
        <v/>
      </c>
      <c r="DQ378" t="str">
        <f>""</f>
        <v/>
      </c>
      <c r="DR378" t="str">
        <f>""</f>
        <v/>
      </c>
      <c r="DS378" t="str">
        <f>""</f>
        <v/>
      </c>
      <c r="DT378" t="str">
        <f>""</f>
        <v/>
      </c>
      <c r="DU378" t="str">
        <f>""</f>
        <v/>
      </c>
    </row>
    <row r="379" spans="1:125" x14ac:dyDescent="0.25">
      <c r="A379" t="str">
        <f>$A$177</f>
        <v xml:space="preserve">    Intesa Sanpaolo SpA</v>
      </c>
      <c r="B379" t="str">
        <f>$B$177</f>
        <v>ISP IM Equity</v>
      </c>
      <c r="C379" t="str">
        <f>$C$177</f>
        <v>BS018</v>
      </c>
      <c r="D379" t="str">
        <f>$D$177</f>
        <v>BS_OTHER_LOAN</v>
      </c>
      <c r="E379" t="str">
        <f>$E$177</f>
        <v>Dynamic</v>
      </c>
      <c r="F379" t="str">
        <f ca="1">_xll.BDH($B$177,$C$177,$B$206,$B$207,CONCATENATE("Per=",$B$204),"Dts=H","Dir=H",CONCATENATE("Points=",$B$205),"Sort=R","Days=A","Fill=B",CONCATENATE("FX=", $B$203),"cols=60;rows=1")</f>
        <v/>
      </c>
      <c r="G379">
        <v>170132</v>
      </c>
      <c r="H379">
        <v>104068</v>
      </c>
      <c r="I379">
        <v>171255</v>
      </c>
      <c r="J379">
        <v>162547</v>
      </c>
      <c r="K379">
        <v>174456</v>
      </c>
      <c r="L379">
        <v>109042</v>
      </c>
      <c r="M379">
        <v>174318</v>
      </c>
      <c r="N379">
        <v>161623</v>
      </c>
      <c r="O379">
        <v>189974</v>
      </c>
      <c r="P379">
        <v>138729</v>
      </c>
      <c r="Q379">
        <v>187328</v>
      </c>
      <c r="R379">
        <v>137101</v>
      </c>
      <c r="S379">
        <v>182888</v>
      </c>
      <c r="T379">
        <v>184678</v>
      </c>
      <c r="U379">
        <v>185352</v>
      </c>
      <c r="V379">
        <v>136187</v>
      </c>
      <c r="W379">
        <v>207761</v>
      </c>
      <c r="X379">
        <v>191789</v>
      </c>
      <c r="Y379">
        <v>197480</v>
      </c>
      <c r="Z379">
        <v>157504</v>
      </c>
      <c r="AA379">
        <v>185580</v>
      </c>
      <c r="AB379">
        <v>185126</v>
      </c>
      <c r="AC379">
        <v>183493</v>
      </c>
      <c r="AD379">
        <v>164421</v>
      </c>
      <c r="AE379">
        <v>188579</v>
      </c>
      <c r="AF379">
        <v>195462</v>
      </c>
      <c r="AG379">
        <v>203889</v>
      </c>
      <c r="AH379">
        <v>204811</v>
      </c>
      <c r="AI379">
        <v>199520</v>
      </c>
      <c r="AJ379">
        <v>205227</v>
      </c>
      <c r="AL379">
        <v>160402</v>
      </c>
      <c r="AP379">
        <v>157822</v>
      </c>
      <c r="BN379" t="str">
        <f>""</f>
        <v/>
      </c>
      <c r="BO379" t="str">
        <f>""</f>
        <v/>
      </c>
      <c r="BP379" t="str">
        <f>""</f>
        <v/>
      </c>
      <c r="BQ379" t="str">
        <f>""</f>
        <v/>
      </c>
      <c r="BR379" t="str">
        <f>""</f>
        <v/>
      </c>
      <c r="BS379" t="str">
        <f>""</f>
        <v/>
      </c>
      <c r="BT379" t="str">
        <f>""</f>
        <v/>
      </c>
      <c r="BU379" t="str">
        <f>""</f>
        <v/>
      </c>
      <c r="BV379" t="str">
        <f>""</f>
        <v/>
      </c>
      <c r="BW379" t="str">
        <f>""</f>
        <v/>
      </c>
      <c r="BX379" t="str">
        <f>""</f>
        <v/>
      </c>
      <c r="BY379" t="str">
        <f>""</f>
        <v/>
      </c>
      <c r="BZ379" t="str">
        <f>""</f>
        <v/>
      </c>
      <c r="CA379" t="str">
        <f>""</f>
        <v/>
      </c>
      <c r="CB379" t="str">
        <f>""</f>
        <v/>
      </c>
      <c r="CC379" t="str">
        <f>""</f>
        <v/>
      </c>
      <c r="CD379" t="str">
        <f>""</f>
        <v/>
      </c>
      <c r="CE379" t="str">
        <f>""</f>
        <v/>
      </c>
      <c r="CF379" t="str">
        <f>""</f>
        <v/>
      </c>
      <c r="CG379" t="str">
        <f>""</f>
        <v/>
      </c>
      <c r="CH379" t="str">
        <f>""</f>
        <v/>
      </c>
      <c r="CI379" t="str">
        <f>""</f>
        <v/>
      </c>
      <c r="CJ379" t="str">
        <f>""</f>
        <v/>
      </c>
      <c r="CK379" t="str">
        <f>""</f>
        <v/>
      </c>
      <c r="CL379" t="str">
        <f>""</f>
        <v/>
      </c>
      <c r="CM379" t="str">
        <f>""</f>
        <v/>
      </c>
      <c r="CN379" t="str">
        <f>""</f>
        <v/>
      </c>
      <c r="CO379" t="str">
        <f>""</f>
        <v/>
      </c>
      <c r="CP379" t="str">
        <f>""</f>
        <v/>
      </c>
      <c r="CQ379" t="str">
        <f>""</f>
        <v/>
      </c>
      <c r="CR379" t="str">
        <f>""</f>
        <v/>
      </c>
      <c r="CS379" t="str">
        <f>""</f>
        <v/>
      </c>
      <c r="CT379" t="str">
        <f>""</f>
        <v/>
      </c>
      <c r="CU379" t="str">
        <f>""</f>
        <v/>
      </c>
      <c r="CV379" t="str">
        <f>""</f>
        <v/>
      </c>
      <c r="CW379" t="str">
        <f>""</f>
        <v/>
      </c>
      <c r="CX379" t="str">
        <f>""</f>
        <v/>
      </c>
      <c r="CY379" t="str">
        <f>""</f>
        <v/>
      </c>
      <c r="CZ379" t="str">
        <f>""</f>
        <v/>
      </c>
      <c r="DA379" t="str">
        <f>""</f>
        <v/>
      </c>
      <c r="DB379" t="str">
        <f>""</f>
        <v/>
      </c>
      <c r="DC379" t="str">
        <f>""</f>
        <v/>
      </c>
      <c r="DD379" t="str">
        <f>""</f>
        <v/>
      </c>
      <c r="DE379" t="str">
        <f>""</f>
        <v/>
      </c>
      <c r="DF379" t="str">
        <f>""</f>
        <v/>
      </c>
      <c r="DG379" t="str">
        <f>""</f>
        <v/>
      </c>
      <c r="DH379" t="str">
        <f>""</f>
        <v/>
      </c>
      <c r="DI379" t="str">
        <f>""</f>
        <v/>
      </c>
      <c r="DJ379" t="str">
        <f>""</f>
        <v/>
      </c>
      <c r="DK379" t="str">
        <f>""</f>
        <v/>
      </c>
      <c r="DL379" t="str">
        <f>""</f>
        <v/>
      </c>
      <c r="DM379" t="str">
        <f>""</f>
        <v/>
      </c>
      <c r="DN379" t="str">
        <f>""</f>
        <v/>
      </c>
      <c r="DO379" t="str">
        <f>""</f>
        <v/>
      </c>
      <c r="DP379" t="str">
        <f>""</f>
        <v/>
      </c>
      <c r="DQ379" t="str">
        <f>""</f>
        <v/>
      </c>
      <c r="DR379" t="str">
        <f>""</f>
        <v/>
      </c>
      <c r="DS379" t="str">
        <f>""</f>
        <v/>
      </c>
      <c r="DT379" t="str">
        <f>""</f>
        <v/>
      </c>
      <c r="DU379" t="str">
        <f>""</f>
        <v/>
      </c>
    </row>
    <row r="380" spans="1:125" x14ac:dyDescent="0.25">
      <c r="A380" t="str">
        <f>$A$178</f>
        <v xml:space="preserve">    Jyske Bank A/S</v>
      </c>
      <c r="B380" t="str">
        <f>$B$178</f>
        <v>JYSK DC Equity</v>
      </c>
      <c r="C380" t="str">
        <f>$C$178</f>
        <v>BS018</v>
      </c>
      <c r="D380" t="str">
        <f>$D$178</f>
        <v>BS_OTHER_LOAN</v>
      </c>
      <c r="E380" t="str">
        <f>$E$178</f>
        <v>Dynamic</v>
      </c>
      <c r="F380">
        <f ca="1">_xll.BDH($B$178,$C$178,$B$206,$B$207,CONCATENATE("Per=",$B$204),"Dts=H","Dir=H",CONCATENATE("Points=",$B$205),"Sort=R","Days=A","Fill=B",CONCATENATE("FX=", $B$203),"cols=60;rows=1")</f>
        <v>251.42169999999999</v>
      </c>
      <c r="G380">
        <v>273.28019999999998</v>
      </c>
      <c r="H380">
        <v>286.43209999999999</v>
      </c>
      <c r="K380">
        <v>264.149</v>
      </c>
      <c r="L380">
        <v>263.50990000000002</v>
      </c>
      <c r="BN380" t="str">
        <f>""</f>
        <v/>
      </c>
      <c r="BO380" t="str">
        <f>""</f>
        <v/>
      </c>
      <c r="BP380" t="str">
        <f>""</f>
        <v/>
      </c>
      <c r="BQ380" t="str">
        <f>""</f>
        <v/>
      </c>
      <c r="BR380" t="str">
        <f>""</f>
        <v/>
      </c>
      <c r="BS380" t="str">
        <f>""</f>
        <v/>
      </c>
      <c r="BT380" t="str">
        <f>""</f>
        <v/>
      </c>
      <c r="BU380" t="str">
        <f>""</f>
        <v/>
      </c>
      <c r="BV380" t="str">
        <f>""</f>
        <v/>
      </c>
      <c r="BW380" t="str">
        <f>""</f>
        <v/>
      </c>
      <c r="BX380" t="str">
        <f>""</f>
        <v/>
      </c>
      <c r="BY380" t="str">
        <f>""</f>
        <v/>
      </c>
      <c r="BZ380" t="str">
        <f>""</f>
        <v/>
      </c>
      <c r="CA380" t="str">
        <f>""</f>
        <v/>
      </c>
      <c r="CB380" t="str">
        <f>""</f>
        <v/>
      </c>
      <c r="CC380" t="str">
        <f>""</f>
        <v/>
      </c>
      <c r="CD380" t="str">
        <f>""</f>
        <v/>
      </c>
      <c r="CE380" t="str">
        <f>""</f>
        <v/>
      </c>
      <c r="CF380" t="str">
        <f>""</f>
        <v/>
      </c>
      <c r="CG380" t="str">
        <f>""</f>
        <v/>
      </c>
      <c r="CH380" t="str">
        <f>""</f>
        <v/>
      </c>
      <c r="CI380" t="str">
        <f>""</f>
        <v/>
      </c>
      <c r="CJ380" t="str">
        <f>""</f>
        <v/>
      </c>
      <c r="CK380" t="str">
        <f>""</f>
        <v/>
      </c>
      <c r="CL380" t="str">
        <f>""</f>
        <v/>
      </c>
      <c r="CM380" t="str">
        <f>""</f>
        <v/>
      </c>
      <c r="CN380" t="str">
        <f>""</f>
        <v/>
      </c>
      <c r="CO380" t="str">
        <f>""</f>
        <v/>
      </c>
      <c r="CP380" t="str">
        <f>""</f>
        <v/>
      </c>
      <c r="CQ380" t="str">
        <f>""</f>
        <v/>
      </c>
      <c r="CR380" t="str">
        <f>""</f>
        <v/>
      </c>
      <c r="CS380" t="str">
        <f>""</f>
        <v/>
      </c>
      <c r="CT380" t="str">
        <f>""</f>
        <v/>
      </c>
      <c r="CU380" t="str">
        <f>""</f>
        <v/>
      </c>
      <c r="CV380" t="str">
        <f>""</f>
        <v/>
      </c>
      <c r="CW380" t="str">
        <f>""</f>
        <v/>
      </c>
      <c r="CX380" t="str">
        <f>""</f>
        <v/>
      </c>
      <c r="CY380" t="str">
        <f>""</f>
        <v/>
      </c>
      <c r="CZ380" t="str">
        <f>""</f>
        <v/>
      </c>
      <c r="DA380" t="str">
        <f>""</f>
        <v/>
      </c>
      <c r="DB380" t="str">
        <f>""</f>
        <v/>
      </c>
      <c r="DC380" t="str">
        <f>""</f>
        <v/>
      </c>
      <c r="DD380" t="str">
        <f>""</f>
        <v/>
      </c>
      <c r="DE380" t="str">
        <f>""</f>
        <v/>
      </c>
      <c r="DF380" t="str">
        <f>""</f>
        <v/>
      </c>
      <c r="DG380" t="str">
        <f>""</f>
        <v/>
      </c>
      <c r="DH380" t="str">
        <f>""</f>
        <v/>
      </c>
      <c r="DI380" t="str">
        <f>""</f>
        <v/>
      </c>
      <c r="DJ380" t="str">
        <f>""</f>
        <v/>
      </c>
      <c r="DK380" t="str">
        <f>""</f>
        <v/>
      </c>
      <c r="DL380" t="str">
        <f>""</f>
        <v/>
      </c>
      <c r="DM380" t="str">
        <f>""</f>
        <v/>
      </c>
      <c r="DN380" t="str">
        <f>""</f>
        <v/>
      </c>
      <c r="DO380" t="str">
        <f>""</f>
        <v/>
      </c>
      <c r="DP380" t="str">
        <f>""</f>
        <v/>
      </c>
      <c r="DQ380" t="str">
        <f>""</f>
        <v/>
      </c>
      <c r="DR380" t="str">
        <f>""</f>
        <v/>
      </c>
      <c r="DS380" t="str">
        <f>""</f>
        <v/>
      </c>
      <c r="DT380" t="str">
        <f>""</f>
        <v/>
      </c>
      <c r="DU380" t="str">
        <f>""</f>
        <v/>
      </c>
    </row>
    <row r="381" spans="1:125" x14ac:dyDescent="0.25">
      <c r="A381" t="str">
        <f>$A$179</f>
        <v xml:space="preserve">    KBC Group NV</v>
      </c>
      <c r="B381" t="str">
        <f>$B$179</f>
        <v>KBC BB Equity</v>
      </c>
      <c r="C381" t="str">
        <f>$C$179</f>
        <v>BS018</v>
      </c>
      <c r="D381" t="str">
        <f>$D$179</f>
        <v>BS_OTHER_LOAN</v>
      </c>
      <c r="E381" t="str">
        <f>$E$179</f>
        <v>Dynamic</v>
      </c>
      <c r="F381">
        <f ca="1">_xll.BDH($B$179,$C$179,$B$206,$B$207,CONCATENATE("Per=",$B$204),"Dts=H","Dir=H",CONCATENATE("Points=",$B$205),"Sort=R","Days=A","Fill=B",CONCATENATE("FX=", $B$203),"cols=60;rows=1")</f>
        <v>101394</v>
      </c>
      <c r="G381">
        <v>104324</v>
      </c>
      <c r="H381">
        <v>102839</v>
      </c>
      <c r="I381">
        <v>95404</v>
      </c>
      <c r="J381">
        <v>95326</v>
      </c>
      <c r="K381">
        <v>99012</v>
      </c>
      <c r="L381">
        <v>98953</v>
      </c>
      <c r="M381">
        <v>97146</v>
      </c>
      <c r="N381">
        <v>96970</v>
      </c>
      <c r="O381">
        <v>97644</v>
      </c>
      <c r="P381">
        <v>91944</v>
      </c>
      <c r="Q381">
        <v>89184</v>
      </c>
      <c r="R381">
        <v>86691</v>
      </c>
      <c r="S381">
        <v>85368</v>
      </c>
      <c r="T381">
        <v>84024</v>
      </c>
      <c r="U381">
        <v>83040</v>
      </c>
      <c r="V381">
        <v>82869</v>
      </c>
      <c r="W381">
        <v>84251</v>
      </c>
      <c r="X381">
        <v>85148</v>
      </c>
      <c r="Y381">
        <v>87062</v>
      </c>
      <c r="Z381">
        <v>83170</v>
      </c>
      <c r="AA381">
        <v>83609</v>
      </c>
      <c r="AB381">
        <v>83345</v>
      </c>
      <c r="AC381">
        <v>81775</v>
      </c>
      <c r="AD381">
        <v>80674</v>
      </c>
      <c r="AE381">
        <v>81169</v>
      </c>
      <c r="AF381">
        <v>80243</v>
      </c>
      <c r="AG381">
        <v>78527</v>
      </c>
      <c r="AH381">
        <v>77475</v>
      </c>
      <c r="AI381">
        <v>78374</v>
      </c>
      <c r="AJ381">
        <v>78910</v>
      </c>
      <c r="AK381">
        <v>75696</v>
      </c>
      <c r="AL381">
        <v>74631</v>
      </c>
      <c r="AM381">
        <v>73509</v>
      </c>
      <c r="AN381">
        <v>73436</v>
      </c>
      <c r="AO381">
        <v>73366</v>
      </c>
      <c r="AP381">
        <v>72254</v>
      </c>
      <c r="AQ381">
        <v>71817</v>
      </c>
      <c r="AR381">
        <v>70853</v>
      </c>
      <c r="AS381">
        <v>71470</v>
      </c>
      <c r="AT381">
        <v>69532</v>
      </c>
      <c r="AU381">
        <v>69295</v>
      </c>
      <c r="AV381">
        <v>66271</v>
      </c>
      <c r="AW381">
        <v>69845</v>
      </c>
      <c r="AX381">
        <v>69920</v>
      </c>
      <c r="AY381">
        <v>63779</v>
      </c>
      <c r="AZ381">
        <v>68263</v>
      </c>
      <c r="BA381">
        <v>71461</v>
      </c>
      <c r="BB381">
        <v>73322</v>
      </c>
      <c r="BC381">
        <v>71155</v>
      </c>
      <c r="BD381">
        <v>71239</v>
      </c>
      <c r="BE381">
        <v>77926</v>
      </c>
      <c r="BF381">
        <v>81782</v>
      </c>
      <c r="BG381">
        <v>76171</v>
      </c>
      <c r="BH381">
        <v>74854</v>
      </c>
      <c r="BI381">
        <v>70240</v>
      </c>
      <c r="BJ381">
        <v>73646</v>
      </c>
      <c r="BK381">
        <v>77435</v>
      </c>
      <c r="BL381">
        <v>73492</v>
      </c>
      <c r="BM381">
        <v>79997</v>
      </c>
      <c r="BN381" t="str">
        <f>""</f>
        <v/>
      </c>
      <c r="BO381" t="str">
        <f>""</f>
        <v/>
      </c>
      <c r="BP381" t="str">
        <f>""</f>
        <v/>
      </c>
      <c r="BQ381" t="str">
        <f>""</f>
        <v/>
      </c>
      <c r="BR381" t="str">
        <f>""</f>
        <v/>
      </c>
      <c r="BS381" t="str">
        <f>""</f>
        <v/>
      </c>
      <c r="BT381" t="str">
        <f>""</f>
        <v/>
      </c>
      <c r="BU381" t="str">
        <f>""</f>
        <v/>
      </c>
      <c r="BV381" t="str">
        <f>""</f>
        <v/>
      </c>
      <c r="BW381" t="str">
        <f>""</f>
        <v/>
      </c>
      <c r="BX381" t="str">
        <f>""</f>
        <v/>
      </c>
      <c r="BY381" t="str">
        <f>""</f>
        <v/>
      </c>
      <c r="BZ381" t="str">
        <f>""</f>
        <v/>
      </c>
      <c r="CA381" t="str">
        <f>""</f>
        <v/>
      </c>
      <c r="CB381" t="str">
        <f>""</f>
        <v/>
      </c>
      <c r="CC381" t="str">
        <f>""</f>
        <v/>
      </c>
      <c r="CD381" t="str">
        <f>""</f>
        <v/>
      </c>
      <c r="CE381" t="str">
        <f>""</f>
        <v/>
      </c>
      <c r="CF381" t="str">
        <f>""</f>
        <v/>
      </c>
      <c r="CG381" t="str">
        <f>""</f>
        <v/>
      </c>
      <c r="CH381" t="str">
        <f>""</f>
        <v/>
      </c>
      <c r="CI381" t="str">
        <f>""</f>
        <v/>
      </c>
      <c r="CJ381" t="str">
        <f>""</f>
        <v/>
      </c>
      <c r="CK381" t="str">
        <f>""</f>
        <v/>
      </c>
      <c r="CL381" t="str">
        <f>""</f>
        <v/>
      </c>
      <c r="CM381" t="str">
        <f>""</f>
        <v/>
      </c>
      <c r="CN381" t="str">
        <f>""</f>
        <v/>
      </c>
      <c r="CO381" t="str">
        <f>""</f>
        <v/>
      </c>
      <c r="CP381" t="str">
        <f>""</f>
        <v/>
      </c>
      <c r="CQ381" t="str">
        <f>""</f>
        <v/>
      </c>
      <c r="CR381" t="str">
        <f>""</f>
        <v/>
      </c>
      <c r="CS381" t="str">
        <f>""</f>
        <v/>
      </c>
      <c r="CT381" t="str">
        <f>""</f>
        <v/>
      </c>
      <c r="CU381" t="str">
        <f>""</f>
        <v/>
      </c>
      <c r="CV381" t="str">
        <f>""</f>
        <v/>
      </c>
      <c r="CW381" t="str">
        <f>""</f>
        <v/>
      </c>
      <c r="CX381" t="str">
        <f>""</f>
        <v/>
      </c>
      <c r="CY381" t="str">
        <f>""</f>
        <v/>
      </c>
      <c r="CZ381" t="str">
        <f>""</f>
        <v/>
      </c>
      <c r="DA381" t="str">
        <f>""</f>
        <v/>
      </c>
      <c r="DB381" t="str">
        <f>""</f>
        <v/>
      </c>
      <c r="DC381" t="str">
        <f>""</f>
        <v/>
      </c>
      <c r="DD381" t="str">
        <f>""</f>
        <v/>
      </c>
      <c r="DE381" t="str">
        <f>""</f>
        <v/>
      </c>
      <c r="DF381" t="str">
        <f>""</f>
        <v/>
      </c>
      <c r="DG381" t="str">
        <f>""</f>
        <v/>
      </c>
      <c r="DH381" t="str">
        <f>""</f>
        <v/>
      </c>
      <c r="DI381" t="str">
        <f>""</f>
        <v/>
      </c>
      <c r="DJ381" t="str">
        <f>""</f>
        <v/>
      </c>
      <c r="DK381" t="str">
        <f>""</f>
        <v/>
      </c>
      <c r="DL381" t="str">
        <f>""</f>
        <v/>
      </c>
      <c r="DM381" t="str">
        <f>""</f>
        <v/>
      </c>
      <c r="DN381" t="str">
        <f>""</f>
        <v/>
      </c>
      <c r="DO381" t="str">
        <f>""</f>
        <v/>
      </c>
      <c r="DP381" t="str">
        <f>""</f>
        <v/>
      </c>
      <c r="DQ381" t="str">
        <f>""</f>
        <v/>
      </c>
      <c r="DR381" t="str">
        <f>""</f>
        <v/>
      </c>
      <c r="DS381" t="str">
        <f>""</f>
        <v/>
      </c>
      <c r="DT381" t="str">
        <f>""</f>
        <v/>
      </c>
      <c r="DU381" t="str">
        <f>""</f>
        <v/>
      </c>
    </row>
    <row r="382" spans="1:125" x14ac:dyDescent="0.25">
      <c r="A382" t="str">
        <f>$A$180</f>
        <v xml:space="preserve">    Komercni Banka AS</v>
      </c>
      <c r="B382" t="str">
        <f>$B$180</f>
        <v>KOMB CP Equity</v>
      </c>
      <c r="C382" t="str">
        <f>$C$180</f>
        <v>BS018</v>
      </c>
      <c r="D382" t="str">
        <f>$D$180</f>
        <v>BS_OTHER_LOAN</v>
      </c>
      <c r="E382" t="str">
        <f>$E$180</f>
        <v>Dynamic</v>
      </c>
      <c r="F382">
        <f ca="1">_xll.BDH($B$180,$C$180,$B$206,$B$207,CONCATENATE("Per=",$B$204),"Dts=H","Dir=H",CONCATENATE("Points=",$B$205),"Sort=R","Days=A","Fill=B",CONCATENATE("FX=", $B$203),"cols=60;rows=1")</f>
        <v>1338.1357</v>
      </c>
      <c r="G382">
        <v>0</v>
      </c>
      <c r="H382">
        <v>1248.3251</v>
      </c>
      <c r="I382">
        <v>0</v>
      </c>
      <c r="J382">
        <v>1348.0332000000001</v>
      </c>
      <c r="K382">
        <v>0</v>
      </c>
      <c r="L382">
        <v>1442.8977</v>
      </c>
      <c r="M382">
        <v>0</v>
      </c>
      <c r="N382">
        <v>1275.4087999999999</v>
      </c>
      <c r="O382">
        <v>0</v>
      </c>
      <c r="P382">
        <v>1169.0385000000001</v>
      </c>
      <c r="Q382">
        <v>0</v>
      </c>
      <c r="R382">
        <v>1157.7321999999999</v>
      </c>
      <c r="S382">
        <v>0</v>
      </c>
      <c r="T382">
        <v>1031.6067</v>
      </c>
      <c r="U382">
        <v>26.818899999999999</v>
      </c>
      <c r="V382">
        <v>984.65499999999997</v>
      </c>
      <c r="W382">
        <v>1.4783999999999999</v>
      </c>
      <c r="X382">
        <v>937.94749999999999</v>
      </c>
      <c r="Y382">
        <v>102.40770000000001</v>
      </c>
      <c r="Z382">
        <v>906.87249999999995</v>
      </c>
      <c r="AA382">
        <v>3.4895</v>
      </c>
      <c r="AB382">
        <v>878.76750000000004</v>
      </c>
      <c r="AC382">
        <v>123.92919999999999</v>
      </c>
      <c r="AD382">
        <v>957.59130000000005</v>
      </c>
      <c r="AE382">
        <v>424.58390000000003</v>
      </c>
      <c r="AF382">
        <v>953.53459999999995</v>
      </c>
      <c r="AG382">
        <v>598.33910000000003</v>
      </c>
      <c r="AH382">
        <v>1235.2019</v>
      </c>
      <c r="AI382">
        <v>842.83939999999996</v>
      </c>
      <c r="AJ382">
        <v>1138.4113</v>
      </c>
      <c r="AK382">
        <v>55.512900000000002</v>
      </c>
      <c r="AL382">
        <v>132.36359999999999</v>
      </c>
      <c r="AM382">
        <v>62.909700000000001</v>
      </c>
      <c r="AN382">
        <v>155.68989999999999</v>
      </c>
      <c r="AO382">
        <v>85.031999999999996</v>
      </c>
      <c r="AP382">
        <v>143.15010000000001</v>
      </c>
      <c r="AQ382">
        <v>69.8553</v>
      </c>
      <c r="AR382">
        <v>160.85820000000001</v>
      </c>
      <c r="AS382">
        <v>134.19290000000001</v>
      </c>
      <c r="AT382">
        <v>79.780500000000004</v>
      </c>
      <c r="AV382">
        <v>33.921500000000002</v>
      </c>
      <c r="AW382">
        <v>153.99709999999999</v>
      </c>
      <c r="AX382">
        <v>20.5076</v>
      </c>
      <c r="BB382">
        <v>26.300699999999999</v>
      </c>
      <c r="BN382" t="str">
        <f>""</f>
        <v/>
      </c>
      <c r="BO382" t="str">
        <f>""</f>
        <v/>
      </c>
      <c r="BP382" t="str">
        <f>""</f>
        <v/>
      </c>
      <c r="BQ382" t="str">
        <f>""</f>
        <v/>
      </c>
      <c r="BR382" t="str">
        <f>""</f>
        <v/>
      </c>
      <c r="BS382" t="str">
        <f>""</f>
        <v/>
      </c>
      <c r="BT382" t="str">
        <f>""</f>
        <v/>
      </c>
      <c r="BU382" t="str">
        <f>""</f>
        <v/>
      </c>
      <c r="BV382" t="str">
        <f>""</f>
        <v/>
      </c>
      <c r="BW382" t="str">
        <f>""</f>
        <v/>
      </c>
      <c r="BX382" t="str">
        <f>""</f>
        <v/>
      </c>
      <c r="BY382" t="str">
        <f>""</f>
        <v/>
      </c>
      <c r="BZ382" t="str">
        <f>""</f>
        <v/>
      </c>
      <c r="CA382" t="str">
        <f>""</f>
        <v/>
      </c>
      <c r="CB382" t="str">
        <f>""</f>
        <v/>
      </c>
      <c r="CC382" t="str">
        <f>""</f>
        <v/>
      </c>
      <c r="CD382" t="str">
        <f>""</f>
        <v/>
      </c>
      <c r="CE382" t="str">
        <f>""</f>
        <v/>
      </c>
      <c r="CF382" t="str">
        <f>""</f>
        <v/>
      </c>
      <c r="CG382" t="str">
        <f>""</f>
        <v/>
      </c>
      <c r="CH382" t="str">
        <f>""</f>
        <v/>
      </c>
      <c r="CI382" t="str">
        <f>""</f>
        <v/>
      </c>
      <c r="CJ382" t="str">
        <f>""</f>
        <v/>
      </c>
      <c r="CK382" t="str">
        <f>""</f>
        <v/>
      </c>
      <c r="CL382" t="str">
        <f>""</f>
        <v/>
      </c>
      <c r="CM382" t="str">
        <f>""</f>
        <v/>
      </c>
      <c r="CN382" t="str">
        <f>""</f>
        <v/>
      </c>
      <c r="CO382" t="str">
        <f>""</f>
        <v/>
      </c>
      <c r="CP382" t="str">
        <f>""</f>
        <v/>
      </c>
      <c r="CQ382" t="str">
        <f>""</f>
        <v/>
      </c>
      <c r="CR382" t="str">
        <f>""</f>
        <v/>
      </c>
      <c r="CS382" t="str">
        <f>""</f>
        <v/>
      </c>
      <c r="CT382" t="str">
        <f>""</f>
        <v/>
      </c>
      <c r="CU382" t="str">
        <f>""</f>
        <v/>
      </c>
      <c r="CV382" t="str">
        <f>""</f>
        <v/>
      </c>
      <c r="CW382" t="str">
        <f>""</f>
        <v/>
      </c>
      <c r="CX382" t="str">
        <f>""</f>
        <v/>
      </c>
      <c r="CY382" t="str">
        <f>""</f>
        <v/>
      </c>
      <c r="CZ382" t="str">
        <f>""</f>
        <v/>
      </c>
      <c r="DA382" t="str">
        <f>""</f>
        <v/>
      </c>
      <c r="DB382" t="str">
        <f>""</f>
        <v/>
      </c>
      <c r="DC382" t="str">
        <f>""</f>
        <v/>
      </c>
      <c r="DD382" t="str">
        <f>""</f>
        <v/>
      </c>
      <c r="DE382" t="str">
        <f>""</f>
        <v/>
      </c>
      <c r="DF382" t="str">
        <f>""</f>
        <v/>
      </c>
      <c r="DG382" t="str">
        <f>""</f>
        <v/>
      </c>
      <c r="DH382" t="str">
        <f>""</f>
        <v/>
      </c>
      <c r="DI382" t="str">
        <f>""</f>
        <v/>
      </c>
      <c r="DJ382" t="str">
        <f>""</f>
        <v/>
      </c>
      <c r="DK382" t="str">
        <f>""</f>
        <v/>
      </c>
      <c r="DL382" t="str">
        <f>""</f>
        <v/>
      </c>
      <c r="DM382" t="str">
        <f>""</f>
        <v/>
      </c>
      <c r="DN382" t="str">
        <f>""</f>
        <v/>
      </c>
      <c r="DO382" t="str">
        <f>""</f>
        <v/>
      </c>
      <c r="DP382" t="str">
        <f>""</f>
        <v/>
      </c>
      <c r="DQ382" t="str">
        <f>""</f>
        <v/>
      </c>
      <c r="DR382" t="str">
        <f>""</f>
        <v/>
      </c>
      <c r="DS382" t="str">
        <f>""</f>
        <v/>
      </c>
      <c r="DT382" t="str">
        <f>""</f>
        <v/>
      </c>
      <c r="DU382" t="str">
        <f>""</f>
        <v/>
      </c>
    </row>
    <row r="383" spans="1:125" x14ac:dyDescent="0.25">
      <c r="A383" t="str">
        <f>$A$181</f>
        <v xml:space="preserve">    Lloyds Banking Group PLC</v>
      </c>
      <c r="B383" t="str">
        <f>$B$181</f>
        <v>LLOY LN Equity</v>
      </c>
      <c r="C383" t="str">
        <f>$C$181</f>
        <v>BS018</v>
      </c>
      <c r="D383" t="str">
        <f>$D$181</f>
        <v>BS_OTHER_LOAN</v>
      </c>
      <c r="E383" t="str">
        <f>$E$181</f>
        <v>Dynamic</v>
      </c>
      <c r="F383">
        <f ca="1">_xll.BDH($B$181,$C$181,$B$206,$B$207,CONCATENATE("Per=",$B$204),"Dts=H","Dir=H",CONCATENATE("Points=",$B$205),"Sort=R","Days=A","Fill=B",CONCATENATE("FX=", $B$203),"cols=60;rows=1")</f>
        <v>88898.327499999999</v>
      </c>
      <c r="G383">
        <v>119841.3861</v>
      </c>
      <c r="J383">
        <v>84659.849100000007</v>
      </c>
      <c r="K383">
        <v>117586.3129</v>
      </c>
      <c r="N383">
        <v>85796.291700000002</v>
      </c>
      <c r="R383">
        <v>27458.718199999999</v>
      </c>
      <c r="V383">
        <v>86368.118300000002</v>
      </c>
      <c r="Z383">
        <v>95585.964999999997</v>
      </c>
      <c r="AD383">
        <v>5814.2772999999997</v>
      </c>
      <c r="AF383">
        <v>19234.517599999999</v>
      </c>
      <c r="AH383">
        <v>1126.0626</v>
      </c>
      <c r="AJ383">
        <v>4309.4058000000005</v>
      </c>
      <c r="AL383">
        <v>6958.4740000000002</v>
      </c>
      <c r="AN383">
        <v>16360.6314</v>
      </c>
      <c r="AP383">
        <v>16660.837299999999</v>
      </c>
      <c r="AR383">
        <v>16011.216700000001</v>
      </c>
      <c r="AT383">
        <v>13412.536899999999</v>
      </c>
      <c r="AV383">
        <v>12352.4161</v>
      </c>
      <c r="AX383">
        <v>11443.262699999999</v>
      </c>
      <c r="AZ383">
        <v>13202.367899999999</v>
      </c>
      <c r="BB383">
        <v>14536.202300000001</v>
      </c>
      <c r="BD383">
        <v>15791.0836</v>
      </c>
      <c r="BF383">
        <v>16246.156199999999</v>
      </c>
      <c r="BH383">
        <v>16127.9018</v>
      </c>
      <c r="BJ383">
        <v>18079.074400000001</v>
      </c>
      <c r="BL383">
        <v>20826.366999999998</v>
      </c>
      <c r="BN383" t="str">
        <f>""</f>
        <v/>
      </c>
      <c r="BO383" t="str">
        <f>""</f>
        <v/>
      </c>
      <c r="BP383" t="str">
        <f>""</f>
        <v/>
      </c>
      <c r="BQ383" t="str">
        <f>""</f>
        <v/>
      </c>
      <c r="BR383" t="str">
        <f>""</f>
        <v/>
      </c>
      <c r="BS383" t="str">
        <f>""</f>
        <v/>
      </c>
      <c r="BT383" t="str">
        <f>""</f>
        <v/>
      </c>
      <c r="BU383" t="str">
        <f>""</f>
        <v/>
      </c>
      <c r="BV383" t="str">
        <f>""</f>
        <v/>
      </c>
      <c r="BW383" t="str">
        <f>""</f>
        <v/>
      </c>
      <c r="BX383" t="str">
        <f>""</f>
        <v/>
      </c>
      <c r="BY383" t="str">
        <f>""</f>
        <v/>
      </c>
      <c r="BZ383" t="str">
        <f>""</f>
        <v/>
      </c>
      <c r="CA383" t="str">
        <f>""</f>
        <v/>
      </c>
      <c r="CB383" t="str">
        <f>""</f>
        <v/>
      </c>
      <c r="CC383" t="str">
        <f>""</f>
        <v/>
      </c>
      <c r="CD383" t="str">
        <f>""</f>
        <v/>
      </c>
      <c r="CE383" t="str">
        <f>""</f>
        <v/>
      </c>
      <c r="CF383" t="str">
        <f>""</f>
        <v/>
      </c>
      <c r="CG383" t="str">
        <f>""</f>
        <v/>
      </c>
      <c r="CH383" t="str">
        <f>""</f>
        <v/>
      </c>
      <c r="CI383" t="str">
        <f>""</f>
        <v/>
      </c>
      <c r="CJ383" t="str">
        <f>""</f>
        <v/>
      </c>
      <c r="CK383" t="str">
        <f>""</f>
        <v/>
      </c>
      <c r="CL383" t="str">
        <f>""</f>
        <v/>
      </c>
      <c r="CM383" t="str">
        <f>""</f>
        <v/>
      </c>
      <c r="CN383" t="str">
        <f>""</f>
        <v/>
      </c>
      <c r="CO383" t="str">
        <f>""</f>
        <v/>
      </c>
      <c r="CP383" t="str">
        <f>""</f>
        <v/>
      </c>
      <c r="CQ383" t="str">
        <f>""</f>
        <v/>
      </c>
      <c r="CR383" t="str">
        <f>""</f>
        <v/>
      </c>
      <c r="CS383" t="str">
        <f>""</f>
        <v/>
      </c>
      <c r="CT383" t="str">
        <f>""</f>
        <v/>
      </c>
      <c r="CU383" t="str">
        <f>""</f>
        <v/>
      </c>
      <c r="CV383" t="str">
        <f>""</f>
        <v/>
      </c>
      <c r="CW383" t="str">
        <f>""</f>
        <v/>
      </c>
      <c r="CX383" t="str">
        <f>""</f>
        <v/>
      </c>
      <c r="CY383" t="str">
        <f>""</f>
        <v/>
      </c>
      <c r="CZ383" t="str">
        <f>""</f>
        <v/>
      </c>
      <c r="DA383" t="str">
        <f>""</f>
        <v/>
      </c>
      <c r="DB383" t="str">
        <f>""</f>
        <v/>
      </c>
      <c r="DC383" t="str">
        <f>""</f>
        <v/>
      </c>
      <c r="DD383" t="str">
        <f>""</f>
        <v/>
      </c>
      <c r="DE383" t="str">
        <f>""</f>
        <v/>
      </c>
      <c r="DF383" t="str">
        <f>""</f>
        <v/>
      </c>
      <c r="DG383" t="str">
        <f>""</f>
        <v/>
      </c>
      <c r="DH383" t="str">
        <f>""</f>
        <v/>
      </c>
      <c r="DI383" t="str">
        <f>""</f>
        <v/>
      </c>
      <c r="DJ383" t="str">
        <f>""</f>
        <v/>
      </c>
      <c r="DK383" t="str">
        <f>""</f>
        <v/>
      </c>
      <c r="DL383" t="str">
        <f>""</f>
        <v/>
      </c>
      <c r="DM383" t="str">
        <f>""</f>
        <v/>
      </c>
      <c r="DN383" t="str">
        <f>""</f>
        <v/>
      </c>
      <c r="DO383" t="str">
        <f>""</f>
        <v/>
      </c>
      <c r="DP383" t="str">
        <f>""</f>
        <v/>
      </c>
      <c r="DQ383" t="str">
        <f>""</f>
        <v/>
      </c>
      <c r="DR383" t="str">
        <f>""</f>
        <v/>
      </c>
      <c r="DS383" t="str">
        <f>""</f>
        <v/>
      </c>
      <c r="DT383" t="str">
        <f>""</f>
        <v/>
      </c>
      <c r="DU383" t="str">
        <f>""</f>
        <v/>
      </c>
    </row>
    <row r="384" spans="1:125" x14ac:dyDescent="0.25">
      <c r="A384" t="str">
        <f>$A$182</f>
        <v xml:space="preserve">    Mediobanca Banca di Credito Finanziario SpA</v>
      </c>
      <c r="B384" t="str">
        <f>$B$182</f>
        <v>MB IM Equity</v>
      </c>
      <c r="C384" t="str">
        <f>$C$182</f>
        <v>BS018</v>
      </c>
      <c r="D384" t="str">
        <f>$D$182</f>
        <v>BS_OTHER_LOAN</v>
      </c>
      <c r="E384" t="str">
        <f>$E$182</f>
        <v>Dynamic</v>
      </c>
      <c r="F384">
        <f ca="1">_xll.BDH($B$182,$C$182,$B$206,$B$207,CONCATENATE("Per=",$B$204),"Dts=H","Dir=H",CONCATENATE("Points=",$B$205),"Sort=R","Days=A","Fill=B",CONCATENATE("FX=", $B$203),"cols=60;rows=1")</f>
        <v>8509.2000000000007</v>
      </c>
      <c r="G384">
        <v>7676.1</v>
      </c>
      <c r="H384">
        <v>16115.766</v>
      </c>
      <c r="I384">
        <v>8209.6</v>
      </c>
      <c r="J384">
        <v>12334.373</v>
      </c>
      <c r="K384">
        <v>8371.5</v>
      </c>
      <c r="L384">
        <v>16450.739000000001</v>
      </c>
      <c r="M384">
        <v>8744.9</v>
      </c>
      <c r="N384">
        <v>12567.028</v>
      </c>
      <c r="O384">
        <v>8697.5</v>
      </c>
      <c r="P384">
        <v>15836.215</v>
      </c>
      <c r="Q384">
        <v>8194.7999999999993</v>
      </c>
      <c r="R384">
        <v>12461.334999999999</v>
      </c>
      <c r="S384">
        <v>7828.3</v>
      </c>
      <c r="T384">
        <v>12812.529</v>
      </c>
      <c r="U384">
        <v>7699</v>
      </c>
      <c r="V384">
        <v>10903.373</v>
      </c>
      <c r="W384">
        <v>7033.3</v>
      </c>
      <c r="X384">
        <v>12000.752</v>
      </c>
      <c r="Y384">
        <v>7870.6</v>
      </c>
      <c r="Z384">
        <v>10205.055</v>
      </c>
      <c r="AA384">
        <v>6777.4</v>
      </c>
      <c r="AB384">
        <v>9513.2630000000008</v>
      </c>
      <c r="AC384">
        <v>19309.5</v>
      </c>
      <c r="AD384">
        <v>9503.8449999999993</v>
      </c>
      <c r="AE384">
        <v>6466.1</v>
      </c>
      <c r="AF384">
        <v>9383.17</v>
      </c>
      <c r="AG384">
        <v>17803</v>
      </c>
      <c r="AH384">
        <v>9187.0380000000005</v>
      </c>
      <c r="AI384">
        <v>5992.8</v>
      </c>
      <c r="AJ384">
        <v>9242.1880000000001</v>
      </c>
      <c r="AK384">
        <v>16953</v>
      </c>
      <c r="AL384">
        <v>8819.8070000000007</v>
      </c>
      <c r="AM384">
        <v>4521.7</v>
      </c>
      <c r="AN384">
        <v>8183.3180000000002</v>
      </c>
      <c r="AO384">
        <v>19702.7</v>
      </c>
      <c r="AP384">
        <v>6149.9359999999997</v>
      </c>
      <c r="AQ384">
        <v>19864.2</v>
      </c>
      <c r="AR384">
        <v>6475.5320000000002</v>
      </c>
      <c r="AT384">
        <v>6095.8779999999997</v>
      </c>
      <c r="AV384">
        <v>6761.1980000000003</v>
      </c>
      <c r="AX384">
        <v>6892.9719999999998</v>
      </c>
      <c r="AZ384">
        <v>6553.1469999999999</v>
      </c>
      <c r="BB384">
        <v>8064.6869999999999</v>
      </c>
      <c r="BD384">
        <v>7766.7839999999997</v>
      </c>
      <c r="BF384">
        <v>7802.5290000000005</v>
      </c>
      <c r="BN384" t="str">
        <f>""</f>
        <v/>
      </c>
      <c r="BO384" t="str">
        <f>""</f>
        <v/>
      </c>
      <c r="BP384" t="str">
        <f>""</f>
        <v/>
      </c>
      <c r="BQ384" t="str">
        <f>""</f>
        <v/>
      </c>
      <c r="BR384" t="str">
        <f>""</f>
        <v/>
      </c>
      <c r="BS384" t="str">
        <f>""</f>
        <v/>
      </c>
      <c r="BT384" t="str">
        <f>""</f>
        <v/>
      </c>
      <c r="BU384" t="str">
        <f>""</f>
        <v/>
      </c>
      <c r="BV384" t="str">
        <f>""</f>
        <v/>
      </c>
      <c r="BW384" t="str">
        <f>""</f>
        <v/>
      </c>
      <c r="BX384" t="str">
        <f>""</f>
        <v/>
      </c>
      <c r="BY384" t="str">
        <f>""</f>
        <v/>
      </c>
      <c r="BZ384" t="str">
        <f>""</f>
        <v/>
      </c>
      <c r="CA384" t="str">
        <f>""</f>
        <v/>
      </c>
      <c r="CB384" t="str">
        <f>""</f>
        <v/>
      </c>
      <c r="CC384" t="str">
        <f>""</f>
        <v/>
      </c>
      <c r="CD384" t="str">
        <f>""</f>
        <v/>
      </c>
      <c r="CE384" t="str">
        <f>""</f>
        <v/>
      </c>
      <c r="CF384" t="str">
        <f>""</f>
        <v/>
      </c>
      <c r="CG384" t="str">
        <f>""</f>
        <v/>
      </c>
      <c r="CH384" t="str">
        <f>""</f>
        <v/>
      </c>
      <c r="CI384" t="str">
        <f>""</f>
        <v/>
      </c>
      <c r="CJ384" t="str">
        <f>""</f>
        <v/>
      </c>
      <c r="CK384" t="str">
        <f>""</f>
        <v/>
      </c>
      <c r="CL384" t="str">
        <f>""</f>
        <v/>
      </c>
      <c r="CM384" t="str">
        <f>""</f>
        <v/>
      </c>
      <c r="CN384" t="str">
        <f>""</f>
        <v/>
      </c>
      <c r="CO384" t="str">
        <f>""</f>
        <v/>
      </c>
      <c r="CP384" t="str">
        <f>""</f>
        <v/>
      </c>
      <c r="CQ384" t="str">
        <f>""</f>
        <v/>
      </c>
      <c r="CR384" t="str">
        <f>""</f>
        <v/>
      </c>
      <c r="CS384" t="str">
        <f>""</f>
        <v/>
      </c>
      <c r="CT384" t="str">
        <f>""</f>
        <v/>
      </c>
      <c r="CU384" t="str">
        <f>""</f>
        <v/>
      </c>
      <c r="CV384" t="str">
        <f>""</f>
        <v/>
      </c>
      <c r="CW384" t="str">
        <f>""</f>
        <v/>
      </c>
      <c r="CX384" t="str">
        <f>""</f>
        <v/>
      </c>
      <c r="CY384" t="str">
        <f>""</f>
        <v/>
      </c>
      <c r="CZ384" t="str">
        <f>""</f>
        <v/>
      </c>
      <c r="DA384" t="str">
        <f>""</f>
        <v/>
      </c>
      <c r="DB384" t="str">
        <f>""</f>
        <v/>
      </c>
      <c r="DC384" t="str">
        <f>""</f>
        <v/>
      </c>
      <c r="DD384" t="str">
        <f>""</f>
        <v/>
      </c>
      <c r="DE384" t="str">
        <f>""</f>
        <v/>
      </c>
      <c r="DF384" t="str">
        <f>""</f>
        <v/>
      </c>
      <c r="DG384" t="str">
        <f>""</f>
        <v/>
      </c>
      <c r="DH384" t="str">
        <f>""</f>
        <v/>
      </c>
      <c r="DI384" t="str">
        <f>""</f>
        <v/>
      </c>
      <c r="DJ384" t="str">
        <f>""</f>
        <v/>
      </c>
      <c r="DK384" t="str">
        <f>""</f>
        <v/>
      </c>
      <c r="DL384" t="str">
        <f>""</f>
        <v/>
      </c>
      <c r="DM384" t="str">
        <f>""</f>
        <v/>
      </c>
      <c r="DN384" t="str">
        <f>""</f>
        <v/>
      </c>
      <c r="DO384" t="str">
        <f>""</f>
        <v/>
      </c>
      <c r="DP384" t="str">
        <f>""</f>
        <v/>
      </c>
      <c r="DQ384" t="str">
        <f>""</f>
        <v/>
      </c>
      <c r="DR384" t="str">
        <f>""</f>
        <v/>
      </c>
      <c r="DS384" t="str">
        <f>""</f>
        <v/>
      </c>
      <c r="DT384" t="str">
        <f>""</f>
        <v/>
      </c>
      <c r="DU384" t="str">
        <f>""</f>
        <v/>
      </c>
    </row>
    <row r="385" spans="1:125" x14ac:dyDescent="0.25">
      <c r="A385" t="str">
        <f>$A$183</f>
        <v xml:space="preserve">    NatWest Group PLC</v>
      </c>
      <c r="B385" t="str">
        <f>$B$183</f>
        <v>NWG LN Equity</v>
      </c>
      <c r="C385" t="str">
        <f>$C$183</f>
        <v>BS018</v>
      </c>
      <c r="D385" t="str">
        <f>$D$183</f>
        <v>BS_OTHER_LOAN</v>
      </c>
      <c r="E385" t="str">
        <f>$E$183</f>
        <v>Dynamic</v>
      </c>
      <c r="F385" t="str">
        <f ca="1">_xll.BDH($B$183,$C$183,$B$206,$B$207,CONCATENATE("Per=",$B$204),"Dts=H","Dir=H",CONCATENATE("Points=",$B$205),"Sort=R","Days=A","Fill=B",CONCATENATE("FX=", $B$203),"cols=60;rows=1")</f>
        <v/>
      </c>
      <c r="AX385">
        <v>52855.259299999998</v>
      </c>
      <c r="AY385">
        <v>57166.139499999997</v>
      </c>
      <c r="BE385">
        <v>29711.450700000001</v>
      </c>
      <c r="BF385">
        <v>29955.346300000001</v>
      </c>
      <c r="BG385">
        <v>30586.260999999999</v>
      </c>
      <c r="BH385">
        <v>27953.922500000001</v>
      </c>
      <c r="BI385">
        <v>27407.2896</v>
      </c>
      <c r="BJ385">
        <v>11152.592500000001</v>
      </c>
      <c r="BK385">
        <v>13966.972100000001</v>
      </c>
      <c r="BN385" t="str">
        <f>""</f>
        <v/>
      </c>
      <c r="BO385" t="str">
        <f>""</f>
        <v/>
      </c>
      <c r="BP385" t="str">
        <f>""</f>
        <v/>
      </c>
      <c r="BQ385" t="str">
        <f>""</f>
        <v/>
      </c>
      <c r="BR385" t="str">
        <f>""</f>
        <v/>
      </c>
      <c r="BS385" t="str">
        <f>""</f>
        <v/>
      </c>
      <c r="BT385" t="str">
        <f>""</f>
        <v/>
      </c>
      <c r="BU385" t="str">
        <f>""</f>
        <v/>
      </c>
      <c r="BV385" t="str">
        <f>""</f>
        <v/>
      </c>
      <c r="BW385" t="str">
        <f>""</f>
        <v/>
      </c>
      <c r="BX385" t="str">
        <f>""</f>
        <v/>
      </c>
      <c r="BY385" t="str">
        <f>""</f>
        <v/>
      </c>
      <c r="BZ385" t="str">
        <f>""</f>
        <v/>
      </c>
      <c r="CA385" t="str">
        <f>""</f>
        <v/>
      </c>
      <c r="CB385" t="str">
        <f>""</f>
        <v/>
      </c>
      <c r="CC385" t="str">
        <f>""</f>
        <v/>
      </c>
      <c r="CD385" t="str">
        <f>""</f>
        <v/>
      </c>
      <c r="CE385" t="str">
        <f>""</f>
        <v/>
      </c>
      <c r="CF385" t="str">
        <f>""</f>
        <v/>
      </c>
      <c r="CG385" t="str">
        <f>""</f>
        <v/>
      </c>
      <c r="CH385" t="str">
        <f>""</f>
        <v/>
      </c>
      <c r="CI385" t="str">
        <f>""</f>
        <v/>
      </c>
      <c r="CJ385" t="str">
        <f>""</f>
        <v/>
      </c>
      <c r="CK385" t="str">
        <f>""</f>
        <v/>
      </c>
      <c r="CL385" t="str">
        <f>""</f>
        <v/>
      </c>
      <c r="CM385" t="str">
        <f>""</f>
        <v/>
      </c>
      <c r="CN385" t="str">
        <f>""</f>
        <v/>
      </c>
      <c r="CO385" t="str">
        <f>""</f>
        <v/>
      </c>
      <c r="CP385" t="str">
        <f>""</f>
        <v/>
      </c>
      <c r="CQ385" t="str">
        <f>""</f>
        <v/>
      </c>
      <c r="CR385" t="str">
        <f>""</f>
        <v/>
      </c>
      <c r="CS385" t="str">
        <f>""</f>
        <v/>
      </c>
      <c r="CT385" t="str">
        <f>""</f>
        <v/>
      </c>
      <c r="CU385" t="str">
        <f>""</f>
        <v/>
      </c>
      <c r="CV385" t="str">
        <f>""</f>
        <v/>
      </c>
      <c r="CW385" t="str">
        <f>""</f>
        <v/>
      </c>
      <c r="CX385" t="str">
        <f>""</f>
        <v/>
      </c>
      <c r="CY385" t="str">
        <f>""</f>
        <v/>
      </c>
      <c r="CZ385" t="str">
        <f>""</f>
        <v/>
      </c>
      <c r="DA385" t="str">
        <f>""</f>
        <v/>
      </c>
      <c r="DB385" t="str">
        <f>""</f>
        <v/>
      </c>
      <c r="DC385" t="str">
        <f>""</f>
        <v/>
      </c>
      <c r="DD385" t="str">
        <f>""</f>
        <v/>
      </c>
      <c r="DE385" t="str">
        <f>""</f>
        <v/>
      </c>
      <c r="DF385" t="str">
        <f>""</f>
        <v/>
      </c>
      <c r="DG385" t="str">
        <f>""</f>
        <v/>
      </c>
      <c r="DH385" t="str">
        <f>""</f>
        <v/>
      </c>
      <c r="DI385" t="str">
        <f>""</f>
        <v/>
      </c>
      <c r="DJ385" t="str">
        <f>""</f>
        <v/>
      </c>
      <c r="DK385" t="str">
        <f>""</f>
        <v/>
      </c>
      <c r="DL385" t="str">
        <f>""</f>
        <v/>
      </c>
      <c r="DM385" t="str">
        <f>""</f>
        <v/>
      </c>
      <c r="DN385" t="str">
        <f>""</f>
        <v/>
      </c>
      <c r="DO385" t="str">
        <f>""</f>
        <v/>
      </c>
      <c r="DP385" t="str">
        <f>""</f>
        <v/>
      </c>
      <c r="DQ385" t="str">
        <f>""</f>
        <v/>
      </c>
      <c r="DR385" t="str">
        <f>""</f>
        <v/>
      </c>
      <c r="DS385" t="str">
        <f>""</f>
        <v/>
      </c>
      <c r="DT385" t="str">
        <f>""</f>
        <v/>
      </c>
      <c r="DU385" t="str">
        <f>""</f>
        <v/>
      </c>
    </row>
    <row r="386" spans="1:125" x14ac:dyDescent="0.25">
      <c r="A386" t="str">
        <f>$A$184</f>
        <v xml:space="preserve">    Nordea Bank Abp</v>
      </c>
      <c r="B386" t="str">
        <f>$B$184</f>
        <v>NDA FH Equity</v>
      </c>
      <c r="C386" t="str">
        <f>$C$184</f>
        <v>BS018</v>
      </c>
      <c r="D386" t="str">
        <f>$D$184</f>
        <v>BS_OTHER_LOAN</v>
      </c>
      <c r="E386" t="str">
        <f>$E$184</f>
        <v>Dynamic</v>
      </c>
      <c r="F386">
        <f ca="1">_xll.BDH($B$184,$C$184,$B$206,$B$207,CONCATENATE("Per=",$B$204),"Dts=H","Dir=H",CONCATENATE("Points=",$B$205),"Sort=R","Days=A","Fill=B",CONCATENATE("FX=", $B$203),"cols=60;rows=1")</f>
        <v>59615</v>
      </c>
      <c r="G386">
        <v>54923</v>
      </c>
      <c r="H386">
        <v>57279</v>
      </c>
      <c r="I386">
        <v>58405</v>
      </c>
      <c r="J386">
        <v>59425</v>
      </c>
      <c r="K386">
        <v>54074</v>
      </c>
      <c r="L386">
        <v>57846</v>
      </c>
      <c r="M386">
        <v>58659</v>
      </c>
      <c r="N386">
        <v>60396</v>
      </c>
      <c r="O386">
        <v>57407</v>
      </c>
      <c r="P386">
        <v>60635</v>
      </c>
      <c r="Q386">
        <v>353854</v>
      </c>
      <c r="R386">
        <v>67749</v>
      </c>
      <c r="S386">
        <v>64467</v>
      </c>
      <c r="T386">
        <v>6022</v>
      </c>
      <c r="U386">
        <v>66006</v>
      </c>
      <c r="V386">
        <v>7929</v>
      </c>
      <c r="W386">
        <v>63041</v>
      </c>
      <c r="X386">
        <v>6035</v>
      </c>
      <c r="Y386">
        <v>6370</v>
      </c>
      <c r="Z386">
        <v>6233</v>
      </c>
      <c r="AA386">
        <v>5766</v>
      </c>
      <c r="AB386">
        <v>4757</v>
      </c>
      <c r="AC386">
        <v>6632</v>
      </c>
      <c r="AD386">
        <v>5887</v>
      </c>
      <c r="AE386">
        <v>5603</v>
      </c>
      <c r="AF386">
        <v>8061</v>
      </c>
      <c r="AG386">
        <v>5206</v>
      </c>
      <c r="AH386">
        <v>6898</v>
      </c>
      <c r="AI386">
        <v>5079</v>
      </c>
      <c r="AJ386">
        <v>7069</v>
      </c>
      <c r="AK386">
        <v>5497</v>
      </c>
      <c r="AL386">
        <v>6049</v>
      </c>
      <c r="AM386">
        <v>7102</v>
      </c>
      <c r="AN386">
        <v>6236</v>
      </c>
      <c r="AO386">
        <v>6374</v>
      </c>
      <c r="AP386">
        <v>7889</v>
      </c>
      <c r="AQ386">
        <v>6941</v>
      </c>
      <c r="AR386">
        <v>8245</v>
      </c>
      <c r="AS386">
        <v>7474</v>
      </c>
      <c r="BN386" t="str">
        <f>""</f>
        <v/>
      </c>
      <c r="BO386" t="str">
        <f>""</f>
        <v/>
      </c>
      <c r="BP386" t="str">
        <f>""</f>
        <v/>
      </c>
      <c r="BQ386" t="str">
        <f>""</f>
        <v/>
      </c>
      <c r="BR386" t="str">
        <f>""</f>
        <v/>
      </c>
      <c r="BS386" t="str">
        <f>""</f>
        <v/>
      </c>
      <c r="BT386" t="str">
        <f>""</f>
        <v/>
      </c>
      <c r="BU386" t="str">
        <f>""</f>
        <v/>
      </c>
      <c r="BV386" t="str">
        <f>""</f>
        <v/>
      </c>
      <c r="BW386" t="str">
        <f>""</f>
        <v/>
      </c>
      <c r="BX386" t="str">
        <f>""</f>
        <v/>
      </c>
      <c r="BY386" t="str">
        <f>""</f>
        <v/>
      </c>
      <c r="BZ386" t="str">
        <f>""</f>
        <v/>
      </c>
      <c r="CA386" t="str">
        <f>""</f>
        <v/>
      </c>
      <c r="CB386" t="str">
        <f>""</f>
        <v/>
      </c>
      <c r="CC386" t="str">
        <f>""</f>
        <v/>
      </c>
      <c r="CD386" t="str">
        <f>""</f>
        <v/>
      </c>
      <c r="CE386" t="str">
        <f>""</f>
        <v/>
      </c>
      <c r="CF386" t="str">
        <f>""</f>
        <v/>
      </c>
      <c r="CG386" t="str">
        <f>""</f>
        <v/>
      </c>
      <c r="CH386" t="str">
        <f>""</f>
        <v/>
      </c>
      <c r="CI386" t="str">
        <f>""</f>
        <v/>
      </c>
      <c r="CJ386" t="str">
        <f>""</f>
        <v/>
      </c>
      <c r="CK386" t="str">
        <f>""</f>
        <v/>
      </c>
      <c r="CL386" t="str">
        <f>""</f>
        <v/>
      </c>
      <c r="CM386" t="str">
        <f>""</f>
        <v/>
      </c>
      <c r="CN386" t="str">
        <f>""</f>
        <v/>
      </c>
      <c r="CO386" t="str">
        <f>""</f>
        <v/>
      </c>
      <c r="CP386" t="str">
        <f>""</f>
        <v/>
      </c>
      <c r="CQ386" t="str">
        <f>""</f>
        <v/>
      </c>
      <c r="CR386" t="str">
        <f>""</f>
        <v/>
      </c>
      <c r="CS386" t="str">
        <f>""</f>
        <v/>
      </c>
      <c r="CT386" t="str">
        <f>""</f>
        <v/>
      </c>
      <c r="CU386" t="str">
        <f>""</f>
        <v/>
      </c>
      <c r="CV386" t="str">
        <f>""</f>
        <v/>
      </c>
      <c r="CW386" t="str">
        <f>""</f>
        <v/>
      </c>
      <c r="CX386" t="str">
        <f>""</f>
        <v/>
      </c>
      <c r="CY386" t="str">
        <f>""</f>
        <v/>
      </c>
      <c r="CZ386" t="str">
        <f>""</f>
        <v/>
      </c>
      <c r="DA386" t="str">
        <f>""</f>
        <v/>
      </c>
      <c r="DB386" t="str">
        <f>""</f>
        <v/>
      </c>
      <c r="DC386" t="str">
        <f>""</f>
        <v/>
      </c>
      <c r="DD386" t="str">
        <f>""</f>
        <v/>
      </c>
      <c r="DE386" t="str">
        <f>""</f>
        <v/>
      </c>
      <c r="DF386" t="str">
        <f>""</f>
        <v/>
      </c>
      <c r="DG386" t="str">
        <f>""</f>
        <v/>
      </c>
      <c r="DH386" t="str">
        <f>""</f>
        <v/>
      </c>
      <c r="DI386" t="str">
        <f>""</f>
        <v/>
      </c>
      <c r="DJ386" t="str">
        <f>""</f>
        <v/>
      </c>
      <c r="DK386" t="str">
        <f>""</f>
        <v/>
      </c>
      <c r="DL386" t="str">
        <f>""</f>
        <v/>
      </c>
      <c r="DM386" t="str">
        <f>""</f>
        <v/>
      </c>
      <c r="DN386" t="str">
        <f>""</f>
        <v/>
      </c>
      <c r="DO386" t="str">
        <f>""</f>
        <v/>
      </c>
      <c r="DP386" t="str">
        <f>""</f>
        <v/>
      </c>
      <c r="DQ386" t="str">
        <f>""</f>
        <v/>
      </c>
      <c r="DR386" t="str">
        <f>""</f>
        <v/>
      </c>
      <c r="DS386" t="str">
        <f>""</f>
        <v/>
      </c>
      <c r="DT386" t="str">
        <f>""</f>
        <v/>
      </c>
      <c r="DU386" t="str">
        <f>""</f>
        <v/>
      </c>
    </row>
    <row r="387" spans="1:125" x14ac:dyDescent="0.25">
      <c r="A387" t="str">
        <f>$A$185</f>
        <v xml:space="preserve">    Raiffeisen Bank International AG</v>
      </c>
      <c r="B387" t="str">
        <f>$B$185</f>
        <v>RBI AV Equity</v>
      </c>
      <c r="C387" t="str">
        <f>$C$185</f>
        <v>BS018</v>
      </c>
      <c r="D387" t="str">
        <f>$D$185</f>
        <v>BS_OTHER_LOAN</v>
      </c>
      <c r="E387" t="str">
        <f>$E$185</f>
        <v>Dynamic</v>
      </c>
      <c r="F387">
        <f ca="1">_xll.BDH($B$185,$C$185,$B$206,$B$207,CONCATENATE("Per=",$B$204),"Dts=H","Dir=H",CONCATENATE("Points=",$B$205),"Sort=R","Days=A","Fill=B",CONCATENATE("FX=", $B$203),"cols=60;rows=1")</f>
        <v>3807</v>
      </c>
      <c r="G387">
        <v>3224</v>
      </c>
      <c r="H387">
        <v>3283</v>
      </c>
      <c r="I387">
        <v>2241</v>
      </c>
      <c r="J387">
        <v>2151</v>
      </c>
      <c r="K387">
        <v>2045</v>
      </c>
      <c r="L387">
        <v>2078</v>
      </c>
      <c r="M387">
        <v>2241</v>
      </c>
      <c r="N387">
        <v>2150</v>
      </c>
      <c r="O387">
        <v>2306</v>
      </c>
      <c r="P387">
        <v>2161</v>
      </c>
      <c r="Q387">
        <v>1749</v>
      </c>
      <c r="R387">
        <v>1398</v>
      </c>
      <c r="S387">
        <v>2051</v>
      </c>
      <c r="T387">
        <v>1803</v>
      </c>
      <c r="U387">
        <v>1720</v>
      </c>
      <c r="V387">
        <v>2118.65</v>
      </c>
      <c r="W387">
        <v>1742</v>
      </c>
      <c r="X387">
        <v>1623</v>
      </c>
      <c r="Y387">
        <v>1549</v>
      </c>
      <c r="Z387">
        <v>1196.07</v>
      </c>
      <c r="AA387">
        <v>1722</v>
      </c>
      <c r="AB387">
        <v>1586</v>
      </c>
      <c r="AC387">
        <v>1394</v>
      </c>
      <c r="AD387">
        <v>916.93200000000002</v>
      </c>
      <c r="AE387">
        <v>1270</v>
      </c>
      <c r="AF387">
        <v>1183</v>
      </c>
      <c r="AG387">
        <v>921</v>
      </c>
      <c r="AH387">
        <v>3954.2860000000001</v>
      </c>
      <c r="AI387">
        <v>817</v>
      </c>
      <c r="AJ387">
        <v>758</v>
      </c>
      <c r="AK387">
        <v>757</v>
      </c>
      <c r="AL387">
        <v>659.23099999999999</v>
      </c>
      <c r="AM387">
        <v>669</v>
      </c>
      <c r="AN387">
        <v>656</v>
      </c>
      <c r="AO387">
        <v>790</v>
      </c>
      <c r="AP387">
        <v>814.42499999999995</v>
      </c>
      <c r="AQ387">
        <v>858</v>
      </c>
      <c r="AR387">
        <v>1348</v>
      </c>
      <c r="AS387">
        <v>1454</v>
      </c>
      <c r="AT387">
        <v>1451.165</v>
      </c>
      <c r="AU387">
        <v>1511</v>
      </c>
      <c r="AV387">
        <v>1612</v>
      </c>
      <c r="AW387">
        <v>1632</v>
      </c>
      <c r="AX387">
        <v>1647.511</v>
      </c>
      <c r="AY387">
        <v>1760</v>
      </c>
      <c r="AZ387">
        <v>1757</v>
      </c>
      <c r="BA387">
        <v>1447</v>
      </c>
      <c r="BB387">
        <v>1387</v>
      </c>
      <c r="BC387">
        <v>1732</v>
      </c>
      <c r="BD387">
        <v>1360</v>
      </c>
      <c r="BE387">
        <v>2586</v>
      </c>
      <c r="BF387">
        <v>1384.0719999999999</v>
      </c>
      <c r="BG387">
        <v>1406</v>
      </c>
      <c r="BH387">
        <v>1818</v>
      </c>
      <c r="BI387">
        <v>1793</v>
      </c>
      <c r="BJ387">
        <v>1636.991</v>
      </c>
      <c r="BK387">
        <v>1108</v>
      </c>
      <c r="BL387">
        <v>1244</v>
      </c>
      <c r="BM387">
        <v>1116</v>
      </c>
      <c r="BN387" t="str">
        <f>""</f>
        <v/>
      </c>
      <c r="BO387" t="str">
        <f>""</f>
        <v/>
      </c>
      <c r="BP387" t="str">
        <f>""</f>
        <v/>
      </c>
      <c r="BQ387" t="str">
        <f>""</f>
        <v/>
      </c>
      <c r="BR387" t="str">
        <f>""</f>
        <v/>
      </c>
      <c r="BS387" t="str">
        <f>""</f>
        <v/>
      </c>
      <c r="BT387" t="str">
        <f>""</f>
        <v/>
      </c>
      <c r="BU387" t="str">
        <f>""</f>
        <v/>
      </c>
      <c r="BV387" t="str">
        <f>""</f>
        <v/>
      </c>
      <c r="BW387" t="str">
        <f>""</f>
        <v/>
      </c>
      <c r="BX387" t="str">
        <f>""</f>
        <v/>
      </c>
      <c r="BY387" t="str">
        <f>""</f>
        <v/>
      </c>
      <c r="BZ387" t="str">
        <f>""</f>
        <v/>
      </c>
      <c r="CA387" t="str">
        <f>""</f>
        <v/>
      </c>
      <c r="CB387" t="str">
        <f>""</f>
        <v/>
      </c>
      <c r="CC387" t="str">
        <f>""</f>
        <v/>
      </c>
      <c r="CD387" t="str">
        <f>""</f>
        <v/>
      </c>
      <c r="CE387" t="str">
        <f>""</f>
        <v/>
      </c>
      <c r="CF387" t="str">
        <f>""</f>
        <v/>
      </c>
      <c r="CG387" t="str">
        <f>""</f>
        <v/>
      </c>
      <c r="CH387" t="str">
        <f>""</f>
        <v/>
      </c>
      <c r="CI387" t="str">
        <f>""</f>
        <v/>
      </c>
      <c r="CJ387" t="str">
        <f>""</f>
        <v/>
      </c>
      <c r="CK387" t="str">
        <f>""</f>
        <v/>
      </c>
      <c r="CL387" t="str">
        <f>""</f>
        <v/>
      </c>
      <c r="CM387" t="str">
        <f>""</f>
        <v/>
      </c>
      <c r="CN387" t="str">
        <f>""</f>
        <v/>
      </c>
      <c r="CO387" t="str">
        <f>""</f>
        <v/>
      </c>
      <c r="CP387" t="str">
        <f>""</f>
        <v/>
      </c>
      <c r="CQ387" t="str">
        <f>""</f>
        <v/>
      </c>
      <c r="CR387" t="str">
        <f>""</f>
        <v/>
      </c>
      <c r="CS387" t="str">
        <f>""</f>
        <v/>
      </c>
      <c r="CT387" t="str">
        <f>""</f>
        <v/>
      </c>
      <c r="CU387" t="str">
        <f>""</f>
        <v/>
      </c>
      <c r="CV387" t="str">
        <f>""</f>
        <v/>
      </c>
      <c r="CW387" t="str">
        <f>""</f>
        <v/>
      </c>
      <c r="CX387" t="str">
        <f>""</f>
        <v/>
      </c>
      <c r="CY387" t="str">
        <f>""</f>
        <v/>
      </c>
      <c r="CZ387" t="str">
        <f>""</f>
        <v/>
      </c>
      <c r="DA387" t="str">
        <f>""</f>
        <v/>
      </c>
      <c r="DB387" t="str">
        <f>""</f>
        <v/>
      </c>
      <c r="DC387" t="str">
        <f>""</f>
        <v/>
      </c>
      <c r="DD387" t="str">
        <f>""</f>
        <v/>
      </c>
      <c r="DE387" t="str">
        <f>""</f>
        <v/>
      </c>
      <c r="DF387" t="str">
        <f>""</f>
        <v/>
      </c>
      <c r="DG387" t="str">
        <f>""</f>
        <v/>
      </c>
      <c r="DH387" t="str">
        <f>""</f>
        <v/>
      </c>
      <c r="DI387" t="str">
        <f>""</f>
        <v/>
      </c>
      <c r="DJ387" t="str">
        <f>""</f>
        <v/>
      </c>
      <c r="DK387" t="str">
        <f>""</f>
        <v/>
      </c>
      <c r="DL387" t="str">
        <f>""</f>
        <v/>
      </c>
      <c r="DM387" t="str">
        <f>""</f>
        <v/>
      </c>
      <c r="DN387" t="str">
        <f>""</f>
        <v/>
      </c>
      <c r="DO387" t="str">
        <f>""</f>
        <v/>
      </c>
      <c r="DP387" t="str">
        <f>""</f>
        <v/>
      </c>
      <c r="DQ387" t="str">
        <f>""</f>
        <v/>
      </c>
      <c r="DR387" t="str">
        <f>""</f>
        <v/>
      </c>
      <c r="DS387" t="str">
        <f>""</f>
        <v/>
      </c>
      <c r="DT387" t="str">
        <f>""</f>
        <v/>
      </c>
      <c r="DU387" t="str">
        <f>""</f>
        <v/>
      </c>
    </row>
    <row r="388" spans="1:125" x14ac:dyDescent="0.25">
      <c r="A388" t="str">
        <f>$A$186</f>
        <v xml:space="preserve">    Skandinaviska Enskilda Banken AB</v>
      </c>
      <c r="B388" t="str">
        <f>$B$186</f>
        <v>SEBA SS Equity</v>
      </c>
      <c r="C388" t="str">
        <f>$C$186</f>
        <v>BS018</v>
      </c>
      <c r="D388" t="str">
        <f>$D$186</f>
        <v>BS_OTHER_LOAN</v>
      </c>
      <c r="E388" t="str">
        <f>$E$186</f>
        <v>Dynamic</v>
      </c>
      <c r="F388" t="str">
        <f ca="1">_xll.BDH($B$186,$C$186,$B$206,$B$207,CONCATENATE("Per=",$B$204),"Dts=H","Dir=H",CONCATENATE("Points=",$B$205),"Sort=R","Days=A","Fill=B",CONCATENATE("FX=", $B$203) )</f>
        <v/>
      </c>
      <c r="BN388" t="str">
        <f>""</f>
        <v/>
      </c>
      <c r="BO388" t="str">
        <f>""</f>
        <v/>
      </c>
      <c r="BP388" t="str">
        <f>""</f>
        <v/>
      </c>
      <c r="BQ388" t="str">
        <f>""</f>
        <v/>
      </c>
      <c r="BR388" t="str">
        <f>""</f>
        <v/>
      </c>
      <c r="BS388" t="str">
        <f>""</f>
        <v/>
      </c>
      <c r="BT388" t="str">
        <f>""</f>
        <v/>
      </c>
      <c r="BU388" t="str">
        <f>""</f>
        <v/>
      </c>
      <c r="BV388" t="str">
        <f>""</f>
        <v/>
      </c>
      <c r="BW388" t="str">
        <f>""</f>
        <v/>
      </c>
      <c r="BX388" t="str">
        <f>""</f>
        <v/>
      </c>
      <c r="BY388" t="str">
        <f>""</f>
        <v/>
      </c>
      <c r="BZ388" t="str">
        <f>""</f>
        <v/>
      </c>
      <c r="CA388" t="str">
        <f>""</f>
        <v/>
      </c>
      <c r="CB388" t="str">
        <f>""</f>
        <v/>
      </c>
      <c r="CC388" t="str">
        <f>""</f>
        <v/>
      </c>
      <c r="CD388" t="str">
        <f>""</f>
        <v/>
      </c>
      <c r="CE388" t="str">
        <f>""</f>
        <v/>
      </c>
      <c r="CF388" t="str">
        <f>""</f>
        <v/>
      </c>
      <c r="CG388" t="str">
        <f>""</f>
        <v/>
      </c>
      <c r="CH388" t="str">
        <f>""</f>
        <v/>
      </c>
      <c r="CI388" t="str">
        <f>""</f>
        <v/>
      </c>
      <c r="CJ388" t="str">
        <f>""</f>
        <v/>
      </c>
      <c r="CK388" t="str">
        <f>""</f>
        <v/>
      </c>
      <c r="CL388" t="str">
        <f>""</f>
        <v/>
      </c>
      <c r="CM388" t="str">
        <f>""</f>
        <v/>
      </c>
      <c r="CN388" t="str">
        <f>""</f>
        <v/>
      </c>
      <c r="CO388" t="str">
        <f>""</f>
        <v/>
      </c>
      <c r="CP388" t="str">
        <f>""</f>
        <v/>
      </c>
      <c r="CQ388" t="str">
        <f>""</f>
        <v/>
      </c>
      <c r="CR388" t="str">
        <f>""</f>
        <v/>
      </c>
      <c r="CS388" t="str">
        <f>""</f>
        <v/>
      </c>
      <c r="CT388" t="str">
        <f>""</f>
        <v/>
      </c>
      <c r="CU388" t="str">
        <f>""</f>
        <v/>
      </c>
      <c r="CV388" t="str">
        <f>""</f>
        <v/>
      </c>
      <c r="CW388" t="str">
        <f>""</f>
        <v/>
      </c>
      <c r="CX388" t="str">
        <f>""</f>
        <v/>
      </c>
      <c r="CY388" t="str">
        <f>""</f>
        <v/>
      </c>
      <c r="CZ388" t="str">
        <f>""</f>
        <v/>
      </c>
      <c r="DA388" t="str">
        <f>""</f>
        <v/>
      </c>
      <c r="DB388" t="str">
        <f>""</f>
        <v/>
      </c>
      <c r="DC388" t="str">
        <f>""</f>
        <v/>
      </c>
      <c r="DD388" t="str">
        <f>""</f>
        <v/>
      </c>
      <c r="DE388" t="str">
        <f>""</f>
        <v/>
      </c>
      <c r="DF388" t="str">
        <f>""</f>
        <v/>
      </c>
      <c r="DG388" t="str">
        <f>""</f>
        <v/>
      </c>
      <c r="DH388" t="str">
        <f>""</f>
        <v/>
      </c>
      <c r="DI388" t="str">
        <f>""</f>
        <v/>
      </c>
      <c r="DJ388" t="str">
        <f>""</f>
        <v/>
      </c>
      <c r="DK388" t="str">
        <f>""</f>
        <v/>
      </c>
      <c r="DL388" t="str">
        <f>""</f>
        <v/>
      </c>
      <c r="DM388" t="str">
        <f>""</f>
        <v/>
      </c>
      <c r="DN388" t="str">
        <f>""</f>
        <v/>
      </c>
      <c r="DO388" t="str">
        <f>""</f>
        <v/>
      </c>
      <c r="DP388" t="str">
        <f>""</f>
        <v/>
      </c>
      <c r="DQ388" t="str">
        <f>""</f>
        <v/>
      </c>
      <c r="DR388" t="str">
        <f>""</f>
        <v/>
      </c>
      <c r="DS388" t="str">
        <f>""</f>
        <v/>
      </c>
      <c r="DT388" t="str">
        <f>""</f>
        <v/>
      </c>
      <c r="DU388" t="str">
        <f>""</f>
        <v/>
      </c>
    </row>
    <row r="389" spans="1:125" x14ac:dyDescent="0.25">
      <c r="A389" t="str">
        <f>$A$187</f>
        <v xml:space="preserve">    Svenska Handelsbanken AB</v>
      </c>
      <c r="B389" t="str">
        <f>$B$187</f>
        <v>SHBA SS Equity</v>
      </c>
      <c r="C389" t="str">
        <f>$C$187</f>
        <v>BS018</v>
      </c>
      <c r="D389" t="str">
        <f>$D$187</f>
        <v>BS_OTHER_LOAN</v>
      </c>
      <c r="E389" t="str">
        <f>$E$187</f>
        <v>Dynamic</v>
      </c>
      <c r="F389">
        <f ca="1">_xll.BDH($B$187,$C$187,$B$206,$B$207,CONCATENATE("Per=",$B$204),"Dts=H","Dir=H",CONCATENATE("Points=",$B$205),"Sort=R","Days=A","Fill=B",CONCATENATE("FX=", $B$203),"cols=60;rows=1")</f>
        <v>1727.8884</v>
      </c>
      <c r="G389">
        <v>1973.5508</v>
      </c>
      <c r="H389">
        <v>2273.0412000000001</v>
      </c>
      <c r="I389">
        <v>2110.2309</v>
      </c>
      <c r="J389">
        <v>2036.8393000000001</v>
      </c>
      <c r="K389">
        <v>2560.2532999999999</v>
      </c>
      <c r="L389">
        <v>2825.3748000000001</v>
      </c>
      <c r="M389">
        <v>3144.4672999999998</v>
      </c>
      <c r="N389">
        <v>3763.9171999999999</v>
      </c>
      <c r="O389">
        <v>5312.5645999999997</v>
      </c>
      <c r="P389">
        <v>5635.8729000000003</v>
      </c>
      <c r="Q389">
        <v>6002.7133000000003</v>
      </c>
      <c r="R389">
        <v>5944.5807000000004</v>
      </c>
      <c r="S389">
        <v>4719.1948000000002</v>
      </c>
      <c r="T389">
        <v>5023.5700999999999</v>
      </c>
      <c r="U389">
        <v>4559.2669999999998</v>
      </c>
      <c r="V389">
        <v>5063.9115000000002</v>
      </c>
      <c r="W389">
        <v>4948.9521999999997</v>
      </c>
      <c r="X389">
        <v>5953.7263000000003</v>
      </c>
      <c r="Y389">
        <v>6383.8936999999996</v>
      </c>
      <c r="Z389">
        <v>6432.2295000000004</v>
      </c>
      <c r="AA389">
        <v>6430.1846999999998</v>
      </c>
      <c r="AB389">
        <v>7905.3762999999999</v>
      </c>
      <c r="AC389">
        <v>7481.0343999999996</v>
      </c>
      <c r="AD389">
        <v>8845.6656999999996</v>
      </c>
      <c r="AE389">
        <v>8842.9248000000007</v>
      </c>
      <c r="AF389">
        <v>7831.1854000000003</v>
      </c>
      <c r="AG389">
        <v>8345.5470000000005</v>
      </c>
      <c r="AH389">
        <v>8464.9318000000003</v>
      </c>
      <c r="AI389">
        <v>8933.9807999999994</v>
      </c>
      <c r="AJ389">
        <v>9156.5723999999991</v>
      </c>
      <c r="AK389">
        <v>8871.4084999999995</v>
      </c>
      <c r="AL389">
        <v>8813.0424999999996</v>
      </c>
      <c r="AM389">
        <v>7835.5478000000003</v>
      </c>
      <c r="AN389">
        <v>8691.5651999999991</v>
      </c>
      <c r="AO389">
        <v>9319.7276999999995</v>
      </c>
      <c r="AP389">
        <v>9791.1749</v>
      </c>
      <c r="AT389">
        <v>7750.2381999999998</v>
      </c>
      <c r="AX389">
        <v>9165.1962000000003</v>
      </c>
      <c r="BB389">
        <v>9216.0936000000002</v>
      </c>
      <c r="BN389" t="str">
        <f>""</f>
        <v/>
      </c>
      <c r="BO389" t="str">
        <f>""</f>
        <v/>
      </c>
      <c r="BP389" t="str">
        <f>""</f>
        <v/>
      </c>
      <c r="BQ389" t="str">
        <f>""</f>
        <v/>
      </c>
      <c r="BR389" t="str">
        <f>""</f>
        <v/>
      </c>
      <c r="BS389" t="str">
        <f>""</f>
        <v/>
      </c>
      <c r="BT389" t="str">
        <f>""</f>
        <v/>
      </c>
      <c r="BU389" t="str">
        <f>""</f>
        <v/>
      </c>
      <c r="BV389" t="str">
        <f>""</f>
        <v/>
      </c>
      <c r="BW389" t="str">
        <f>""</f>
        <v/>
      </c>
      <c r="BX389" t="str">
        <f>""</f>
        <v/>
      </c>
      <c r="BY389" t="str">
        <f>""</f>
        <v/>
      </c>
      <c r="BZ389" t="str">
        <f>""</f>
        <v/>
      </c>
      <c r="CA389" t="str">
        <f>""</f>
        <v/>
      </c>
      <c r="CB389" t="str">
        <f>""</f>
        <v/>
      </c>
      <c r="CC389" t="str">
        <f>""</f>
        <v/>
      </c>
      <c r="CD389" t="str">
        <f>""</f>
        <v/>
      </c>
      <c r="CE389" t="str">
        <f>""</f>
        <v/>
      </c>
      <c r="CF389" t="str">
        <f>""</f>
        <v/>
      </c>
      <c r="CG389" t="str">
        <f>""</f>
        <v/>
      </c>
      <c r="CH389" t="str">
        <f>""</f>
        <v/>
      </c>
      <c r="CI389" t="str">
        <f>""</f>
        <v/>
      </c>
      <c r="CJ389" t="str">
        <f>""</f>
        <v/>
      </c>
      <c r="CK389" t="str">
        <f>""</f>
        <v/>
      </c>
      <c r="CL389" t="str">
        <f>""</f>
        <v/>
      </c>
      <c r="CM389" t="str">
        <f>""</f>
        <v/>
      </c>
      <c r="CN389" t="str">
        <f>""</f>
        <v/>
      </c>
      <c r="CO389" t="str">
        <f>""</f>
        <v/>
      </c>
      <c r="CP389" t="str">
        <f>""</f>
        <v/>
      </c>
      <c r="CQ389" t="str">
        <f>""</f>
        <v/>
      </c>
      <c r="CR389" t="str">
        <f>""</f>
        <v/>
      </c>
      <c r="CS389" t="str">
        <f>""</f>
        <v/>
      </c>
      <c r="CT389" t="str">
        <f>""</f>
        <v/>
      </c>
      <c r="CU389" t="str">
        <f>""</f>
        <v/>
      </c>
      <c r="CV389" t="str">
        <f>""</f>
        <v/>
      </c>
      <c r="CW389" t="str">
        <f>""</f>
        <v/>
      </c>
      <c r="CX389" t="str">
        <f>""</f>
        <v/>
      </c>
      <c r="CY389" t="str">
        <f>""</f>
        <v/>
      </c>
      <c r="CZ389" t="str">
        <f>""</f>
        <v/>
      </c>
      <c r="DA389" t="str">
        <f>""</f>
        <v/>
      </c>
      <c r="DB389" t="str">
        <f>""</f>
        <v/>
      </c>
      <c r="DC389" t="str">
        <f>""</f>
        <v/>
      </c>
      <c r="DD389" t="str">
        <f>""</f>
        <v/>
      </c>
      <c r="DE389" t="str">
        <f>""</f>
        <v/>
      </c>
      <c r="DF389" t="str">
        <f>""</f>
        <v/>
      </c>
      <c r="DG389" t="str">
        <f>""</f>
        <v/>
      </c>
      <c r="DH389" t="str">
        <f>""</f>
        <v/>
      </c>
      <c r="DI389" t="str">
        <f>""</f>
        <v/>
      </c>
      <c r="DJ389" t="str">
        <f>""</f>
        <v/>
      </c>
      <c r="DK389" t="str">
        <f>""</f>
        <v/>
      </c>
      <c r="DL389" t="str">
        <f>""</f>
        <v/>
      </c>
      <c r="DM389" t="str">
        <f>""</f>
        <v/>
      </c>
      <c r="DN389" t="str">
        <f>""</f>
        <v/>
      </c>
      <c r="DO389" t="str">
        <f>""</f>
        <v/>
      </c>
      <c r="DP389" t="str">
        <f>""</f>
        <v/>
      </c>
      <c r="DQ389" t="str">
        <f>""</f>
        <v/>
      </c>
      <c r="DR389" t="str">
        <f>""</f>
        <v/>
      </c>
      <c r="DS389" t="str">
        <f>""</f>
        <v/>
      </c>
      <c r="DT389" t="str">
        <f>""</f>
        <v/>
      </c>
      <c r="DU389" t="str">
        <f>""</f>
        <v/>
      </c>
    </row>
    <row r="390" spans="1:125" x14ac:dyDescent="0.25">
      <c r="A390" t="str">
        <f>$A$188</f>
        <v xml:space="preserve">    Swedbank AB</v>
      </c>
      <c r="B390" t="str">
        <f>$B$188</f>
        <v>SWEDA SS Equity</v>
      </c>
      <c r="C390" t="str">
        <f>$C$188</f>
        <v>BS018</v>
      </c>
      <c r="D390" t="str">
        <f>$D$188</f>
        <v>BS_OTHER_LOAN</v>
      </c>
      <c r="E390" t="str">
        <f>$E$188</f>
        <v>Dynamic</v>
      </c>
      <c r="F390">
        <f ca="1">_xll.BDH($B$188,$C$188,$B$206,$B$207,CONCATENATE("Per=",$B$204),"Dts=H","Dir=H",CONCATENATE("Points=",$B$205),"Sort=R","Days=A","Fill=B",CONCATENATE("FX=", $B$203),"cols=60;rows=1")</f>
        <v>10066.870000000001</v>
      </c>
      <c r="G390">
        <v>40776.241300000002</v>
      </c>
      <c r="H390">
        <v>38530.844499999999</v>
      </c>
      <c r="I390">
        <v>38249.158000000003</v>
      </c>
      <c r="J390">
        <v>7328.0654000000004</v>
      </c>
      <c r="K390">
        <v>2853.4703</v>
      </c>
      <c r="L390">
        <v>0</v>
      </c>
      <c r="M390">
        <v>36188.933700000001</v>
      </c>
      <c r="N390">
        <v>1243.5234</v>
      </c>
      <c r="O390">
        <v>4139.0626000000002</v>
      </c>
      <c r="P390">
        <v>6739.8019999999997</v>
      </c>
      <c r="Q390">
        <v>3025.1707999999999</v>
      </c>
      <c r="R390">
        <v>19.712499999999999</v>
      </c>
      <c r="S390">
        <v>17.349299999999999</v>
      </c>
      <c r="T390">
        <v>14.2964</v>
      </c>
      <c r="U390">
        <v>3611.0473000000002</v>
      </c>
      <c r="V390">
        <v>2491.9519</v>
      </c>
      <c r="W390">
        <v>11.626200000000001</v>
      </c>
      <c r="X390">
        <v>17.772600000000001</v>
      </c>
      <c r="Y390">
        <v>0.36549999999999999</v>
      </c>
      <c r="Z390">
        <v>0.3826</v>
      </c>
      <c r="AA390">
        <v>186.91480000000001</v>
      </c>
      <c r="AB390">
        <v>379.09300000000002</v>
      </c>
      <c r="AC390">
        <v>1.2477</v>
      </c>
      <c r="AD390">
        <v>989.62049999999999</v>
      </c>
      <c r="AE390">
        <v>23.1754</v>
      </c>
      <c r="AF390">
        <v>25.828099999999999</v>
      </c>
      <c r="AG390">
        <v>549.09400000000005</v>
      </c>
      <c r="AH390">
        <v>864.5136</v>
      </c>
      <c r="AI390">
        <v>86.230900000000005</v>
      </c>
      <c r="AJ390">
        <v>292.34469999999999</v>
      </c>
      <c r="AK390">
        <v>673.9633</v>
      </c>
      <c r="AL390">
        <v>529.96579999999994</v>
      </c>
      <c r="AM390">
        <v>942.46619999999996</v>
      </c>
      <c r="AN390">
        <v>721.95410000000004</v>
      </c>
      <c r="AO390">
        <v>486.8725</v>
      </c>
      <c r="AP390">
        <v>949.34040000000005</v>
      </c>
      <c r="AQ390">
        <v>193.04390000000001</v>
      </c>
      <c r="AR390">
        <v>208.0889</v>
      </c>
      <c r="AS390">
        <v>226.83510000000001</v>
      </c>
      <c r="AT390">
        <v>1758.4199000000001</v>
      </c>
      <c r="AU390">
        <v>255.85669999999999</v>
      </c>
      <c r="AV390">
        <v>242.5367</v>
      </c>
      <c r="AW390">
        <v>274.09089999999998</v>
      </c>
      <c r="AX390">
        <v>254.81139999999999</v>
      </c>
      <c r="AY390">
        <v>299.78660000000002</v>
      </c>
      <c r="AZ390">
        <v>293.48230000000001</v>
      </c>
      <c r="BA390">
        <v>408.3836</v>
      </c>
      <c r="BC390">
        <v>666.02520000000004</v>
      </c>
      <c r="BD390">
        <v>739.95669999999996</v>
      </c>
      <c r="BE390">
        <v>642.3288</v>
      </c>
      <c r="BF390">
        <v>311.04149999999998</v>
      </c>
      <c r="BJ390">
        <v>0.1115</v>
      </c>
      <c r="BN390" t="str">
        <f>""</f>
        <v/>
      </c>
      <c r="BO390" t="str">
        <f>""</f>
        <v/>
      </c>
      <c r="BP390" t="str">
        <f>""</f>
        <v/>
      </c>
      <c r="BQ390" t="str">
        <f>""</f>
        <v/>
      </c>
      <c r="BR390" t="str">
        <f>""</f>
        <v/>
      </c>
      <c r="BS390" t="str">
        <f>""</f>
        <v/>
      </c>
      <c r="BT390" t="str">
        <f>""</f>
        <v/>
      </c>
      <c r="BU390" t="str">
        <f>""</f>
        <v/>
      </c>
      <c r="BV390" t="str">
        <f>""</f>
        <v/>
      </c>
      <c r="BW390" t="str">
        <f>""</f>
        <v/>
      </c>
      <c r="BX390" t="str">
        <f>""</f>
        <v/>
      </c>
      <c r="BY390" t="str">
        <f>""</f>
        <v/>
      </c>
      <c r="BZ390" t="str">
        <f>""</f>
        <v/>
      </c>
      <c r="CA390" t="str">
        <f>""</f>
        <v/>
      </c>
      <c r="CB390" t="str">
        <f>""</f>
        <v/>
      </c>
      <c r="CC390" t="str">
        <f>""</f>
        <v/>
      </c>
      <c r="CD390" t="str">
        <f>""</f>
        <v/>
      </c>
      <c r="CE390" t="str">
        <f>""</f>
        <v/>
      </c>
      <c r="CF390" t="str">
        <f>""</f>
        <v/>
      </c>
      <c r="CG390" t="str">
        <f>""</f>
        <v/>
      </c>
      <c r="CH390" t="str">
        <f>""</f>
        <v/>
      </c>
      <c r="CI390" t="str">
        <f>""</f>
        <v/>
      </c>
      <c r="CJ390" t="str">
        <f>""</f>
        <v/>
      </c>
      <c r="CK390" t="str">
        <f>""</f>
        <v/>
      </c>
      <c r="CL390" t="str">
        <f>""</f>
        <v/>
      </c>
      <c r="CM390" t="str">
        <f>""</f>
        <v/>
      </c>
      <c r="CN390" t="str">
        <f>""</f>
        <v/>
      </c>
      <c r="CO390" t="str">
        <f>""</f>
        <v/>
      </c>
      <c r="CP390" t="str">
        <f>""</f>
        <v/>
      </c>
      <c r="CQ390" t="str">
        <f>""</f>
        <v/>
      </c>
      <c r="CR390" t="str">
        <f>""</f>
        <v/>
      </c>
      <c r="CS390" t="str">
        <f>""</f>
        <v/>
      </c>
      <c r="CT390" t="str">
        <f>""</f>
        <v/>
      </c>
      <c r="CU390" t="str">
        <f>""</f>
        <v/>
      </c>
      <c r="CV390" t="str">
        <f>""</f>
        <v/>
      </c>
      <c r="CW390" t="str">
        <f>""</f>
        <v/>
      </c>
      <c r="CX390" t="str">
        <f>""</f>
        <v/>
      </c>
      <c r="CY390" t="str">
        <f>""</f>
        <v/>
      </c>
      <c r="CZ390" t="str">
        <f>""</f>
        <v/>
      </c>
      <c r="DA390" t="str">
        <f>""</f>
        <v/>
      </c>
      <c r="DB390" t="str">
        <f>""</f>
        <v/>
      </c>
      <c r="DC390" t="str">
        <f>""</f>
        <v/>
      </c>
      <c r="DD390" t="str">
        <f>""</f>
        <v/>
      </c>
      <c r="DE390" t="str">
        <f>""</f>
        <v/>
      </c>
      <c r="DF390" t="str">
        <f>""</f>
        <v/>
      </c>
      <c r="DG390" t="str">
        <f>""</f>
        <v/>
      </c>
      <c r="DH390" t="str">
        <f>""</f>
        <v/>
      </c>
      <c r="DI390" t="str">
        <f>""</f>
        <v/>
      </c>
      <c r="DJ390" t="str">
        <f>""</f>
        <v/>
      </c>
      <c r="DK390" t="str">
        <f>""</f>
        <v/>
      </c>
      <c r="DL390" t="str">
        <f>""</f>
        <v/>
      </c>
      <c r="DM390" t="str">
        <f>""</f>
        <v/>
      </c>
      <c r="DN390" t="str">
        <f>""</f>
        <v/>
      </c>
      <c r="DO390" t="str">
        <f>""</f>
        <v/>
      </c>
      <c r="DP390" t="str">
        <f>""</f>
        <v/>
      </c>
      <c r="DQ390" t="str">
        <f>""</f>
        <v/>
      </c>
      <c r="DR390" t="str">
        <f>""</f>
        <v/>
      </c>
      <c r="DS390" t="str">
        <f>""</f>
        <v/>
      </c>
      <c r="DT390" t="str">
        <f>""</f>
        <v/>
      </c>
      <c r="DU390" t="str">
        <f>""</f>
        <v/>
      </c>
    </row>
    <row r="391" spans="1:125" x14ac:dyDescent="0.25">
      <c r="A391" t="str">
        <f>$A$189</f>
        <v xml:space="preserve">    Societe Generale SA</v>
      </c>
      <c r="B391" t="str">
        <f>$B$189</f>
        <v>GLE FP Equity</v>
      </c>
      <c r="C391" t="str">
        <f>$C$189</f>
        <v>BS018</v>
      </c>
      <c r="D391" t="str">
        <f>$D$189</f>
        <v>BS_OTHER_LOAN</v>
      </c>
      <c r="E391" t="str">
        <f>$E$189</f>
        <v>Dynamic</v>
      </c>
      <c r="F391">
        <f ca="1">_xll.BDH($B$189,$C$189,$B$206,$B$207,CONCATENATE("Per=",$B$204),"Dts=H","Dir=H",CONCATENATE("Points=",$B$205),"Sort=R","Days=A","Fill=B",CONCATENATE("FX=", $B$203),"cols=60;rows=1")</f>
        <v>431245</v>
      </c>
      <c r="H391">
        <v>436512</v>
      </c>
      <c r="J391">
        <v>464624</v>
      </c>
      <c r="L391">
        <v>468305</v>
      </c>
      <c r="N391">
        <v>478182</v>
      </c>
      <c r="P391">
        <v>476548</v>
      </c>
      <c r="R391">
        <v>33908</v>
      </c>
      <c r="T391">
        <v>445421</v>
      </c>
      <c r="V391">
        <v>33524</v>
      </c>
      <c r="X391">
        <v>53675</v>
      </c>
      <c r="Z391">
        <v>33698</v>
      </c>
      <c r="AB391">
        <v>55320</v>
      </c>
      <c r="AD391">
        <v>56267</v>
      </c>
      <c r="AF391">
        <v>55416</v>
      </c>
      <c r="AH391">
        <v>52303</v>
      </c>
      <c r="AJ391">
        <v>57889</v>
      </c>
      <c r="BN391" t="str">
        <f>""</f>
        <v/>
      </c>
      <c r="BO391" t="str">
        <f>""</f>
        <v/>
      </c>
      <c r="BP391" t="str">
        <f>""</f>
        <v/>
      </c>
      <c r="BQ391" t="str">
        <f>""</f>
        <v/>
      </c>
      <c r="BR391" t="str">
        <f>""</f>
        <v/>
      </c>
      <c r="BS391" t="str">
        <f>""</f>
        <v/>
      </c>
      <c r="BT391" t="str">
        <f>""</f>
        <v/>
      </c>
      <c r="BU391" t="str">
        <f>""</f>
        <v/>
      </c>
      <c r="BV391" t="str">
        <f>""</f>
        <v/>
      </c>
      <c r="BW391" t="str">
        <f>""</f>
        <v/>
      </c>
      <c r="BX391" t="str">
        <f>""</f>
        <v/>
      </c>
      <c r="BY391" t="str">
        <f>""</f>
        <v/>
      </c>
      <c r="BZ391" t="str">
        <f>""</f>
        <v/>
      </c>
      <c r="CA391" t="str">
        <f>""</f>
        <v/>
      </c>
      <c r="CB391" t="str">
        <f>""</f>
        <v/>
      </c>
      <c r="CC391" t="str">
        <f>""</f>
        <v/>
      </c>
      <c r="CD391" t="str">
        <f>""</f>
        <v/>
      </c>
      <c r="CE391" t="str">
        <f>""</f>
        <v/>
      </c>
      <c r="CF391" t="str">
        <f>""</f>
        <v/>
      </c>
      <c r="CG391" t="str">
        <f>""</f>
        <v/>
      </c>
      <c r="CH391" t="str">
        <f>""</f>
        <v/>
      </c>
      <c r="CI391" t="str">
        <f>""</f>
        <v/>
      </c>
      <c r="CJ391" t="str">
        <f>""</f>
        <v/>
      </c>
      <c r="CK391" t="str">
        <f>""</f>
        <v/>
      </c>
      <c r="CL391" t="str">
        <f>""</f>
        <v/>
      </c>
      <c r="CM391" t="str">
        <f>""</f>
        <v/>
      </c>
      <c r="CN391" t="str">
        <f>""</f>
        <v/>
      </c>
      <c r="CO391" t="str">
        <f>""</f>
        <v/>
      </c>
      <c r="CP391" t="str">
        <f>""</f>
        <v/>
      </c>
      <c r="CQ391" t="str">
        <f>""</f>
        <v/>
      </c>
      <c r="CR391" t="str">
        <f>""</f>
        <v/>
      </c>
      <c r="CS391" t="str">
        <f>""</f>
        <v/>
      </c>
      <c r="CT391" t="str">
        <f>""</f>
        <v/>
      </c>
      <c r="CU391" t="str">
        <f>""</f>
        <v/>
      </c>
      <c r="CV391" t="str">
        <f>""</f>
        <v/>
      </c>
      <c r="CW391" t="str">
        <f>""</f>
        <v/>
      </c>
      <c r="CX391" t="str">
        <f>""</f>
        <v/>
      </c>
      <c r="CY391" t="str">
        <f>""</f>
        <v/>
      </c>
      <c r="CZ391" t="str">
        <f>""</f>
        <v/>
      </c>
      <c r="DA391" t="str">
        <f>""</f>
        <v/>
      </c>
      <c r="DB391" t="str">
        <f>""</f>
        <v/>
      </c>
      <c r="DC391" t="str">
        <f>""</f>
        <v/>
      </c>
      <c r="DD391" t="str">
        <f>""</f>
        <v/>
      </c>
      <c r="DE391" t="str">
        <f>""</f>
        <v/>
      </c>
      <c r="DF391" t="str">
        <f>""</f>
        <v/>
      </c>
      <c r="DG391" t="str">
        <f>""</f>
        <v/>
      </c>
      <c r="DH391" t="str">
        <f>""</f>
        <v/>
      </c>
      <c r="DI391" t="str">
        <f>""</f>
        <v/>
      </c>
      <c r="DJ391" t="str">
        <f>""</f>
        <v/>
      </c>
      <c r="DK391" t="str">
        <f>""</f>
        <v/>
      </c>
      <c r="DL391" t="str">
        <f>""</f>
        <v/>
      </c>
      <c r="DM391" t="str">
        <f>""</f>
        <v/>
      </c>
      <c r="DN391" t="str">
        <f>""</f>
        <v/>
      </c>
      <c r="DO391" t="str">
        <f>""</f>
        <v/>
      </c>
      <c r="DP391" t="str">
        <f>""</f>
        <v/>
      </c>
      <c r="DQ391" t="str">
        <f>""</f>
        <v/>
      </c>
      <c r="DR391" t="str">
        <f>""</f>
        <v/>
      </c>
      <c r="DS391" t="str">
        <f>""</f>
        <v/>
      </c>
      <c r="DT391" t="str">
        <f>""</f>
        <v/>
      </c>
      <c r="DU391" t="str">
        <f>""</f>
        <v/>
      </c>
    </row>
    <row r="392" spans="1:125" x14ac:dyDescent="0.25">
      <c r="A392" t="str">
        <f>$A$190</f>
        <v xml:space="preserve">    Standard Chartered PLC</v>
      </c>
      <c r="B392" t="str">
        <f>$B$190</f>
        <v>STAN LN Equity</v>
      </c>
      <c r="C392" t="str">
        <f>$C$190</f>
        <v>BS018</v>
      </c>
      <c r="D392" t="str">
        <f>$D$190</f>
        <v>BS_OTHER_LOAN</v>
      </c>
      <c r="E392" t="str">
        <f>$E$190</f>
        <v>Dynamic</v>
      </c>
      <c r="F392">
        <f ca="1">_xll.BDH($B$190,$C$190,$B$206,$B$207,CONCATENATE("Per=",$B$204),"Dts=H","Dir=H",CONCATENATE("Points=",$B$205),"Sort=R","Days=A","Fill=B",CONCATENATE("FX=", $B$203),"cols=60;rows=1")</f>
        <v>33230.263800000001</v>
      </c>
      <c r="H392">
        <v>23998.693500000001</v>
      </c>
      <c r="J392">
        <v>24114.2444</v>
      </c>
      <c r="L392">
        <v>30183.183700000001</v>
      </c>
      <c r="N392">
        <v>22911.026000000002</v>
      </c>
      <c r="P392">
        <v>28299.151000000002</v>
      </c>
      <c r="R392">
        <v>22599.683799999999</v>
      </c>
      <c r="T392">
        <v>23931.9774</v>
      </c>
      <c r="V392">
        <v>22954.601200000001</v>
      </c>
      <c r="X392">
        <v>22673.6636</v>
      </c>
      <c r="Z392">
        <v>18860.984899999999</v>
      </c>
      <c r="AB392">
        <v>14098.9524</v>
      </c>
      <c r="AD392">
        <v>17608.277999999998</v>
      </c>
      <c r="AF392">
        <v>10940.31</v>
      </c>
      <c r="AH392">
        <v>16350.8568</v>
      </c>
      <c r="AJ392">
        <v>14348.5499</v>
      </c>
      <c r="AL392">
        <v>11360.576499999999</v>
      </c>
      <c r="AN392">
        <v>10257.382799999999</v>
      </c>
      <c r="BN392" t="str">
        <f>""</f>
        <v/>
      </c>
      <c r="BO392" t="str">
        <f>""</f>
        <v/>
      </c>
      <c r="BP392" t="str">
        <f>""</f>
        <v/>
      </c>
      <c r="BQ392" t="str">
        <f>""</f>
        <v/>
      </c>
      <c r="BR392" t="str">
        <f>""</f>
        <v/>
      </c>
      <c r="BS392" t="str">
        <f>""</f>
        <v/>
      </c>
      <c r="BT392" t="str">
        <f>""</f>
        <v/>
      </c>
      <c r="BU392" t="str">
        <f>""</f>
        <v/>
      </c>
      <c r="BV392" t="str">
        <f>""</f>
        <v/>
      </c>
      <c r="BW392" t="str">
        <f>""</f>
        <v/>
      </c>
      <c r="BX392" t="str">
        <f>""</f>
        <v/>
      </c>
      <c r="BY392" t="str">
        <f>""</f>
        <v/>
      </c>
      <c r="BZ392" t="str">
        <f>""</f>
        <v/>
      </c>
      <c r="CA392" t="str">
        <f>""</f>
        <v/>
      </c>
      <c r="CB392" t="str">
        <f>""</f>
        <v/>
      </c>
      <c r="CC392" t="str">
        <f>""</f>
        <v/>
      </c>
      <c r="CD392" t="str">
        <f>""</f>
        <v/>
      </c>
      <c r="CE392" t="str">
        <f>""</f>
        <v/>
      </c>
      <c r="CF392" t="str">
        <f>""</f>
        <v/>
      </c>
      <c r="CG392" t="str">
        <f>""</f>
        <v/>
      </c>
      <c r="CH392" t="str">
        <f>""</f>
        <v/>
      </c>
      <c r="CI392" t="str">
        <f>""</f>
        <v/>
      </c>
      <c r="CJ392" t="str">
        <f>""</f>
        <v/>
      </c>
      <c r="CK392" t="str">
        <f>""</f>
        <v/>
      </c>
      <c r="CL392" t="str">
        <f>""</f>
        <v/>
      </c>
      <c r="CM392" t="str">
        <f>""</f>
        <v/>
      </c>
      <c r="CN392" t="str">
        <f>""</f>
        <v/>
      </c>
      <c r="CO392" t="str">
        <f>""</f>
        <v/>
      </c>
      <c r="CP392" t="str">
        <f>""</f>
        <v/>
      </c>
      <c r="CQ392" t="str">
        <f>""</f>
        <v/>
      </c>
      <c r="CR392" t="str">
        <f>""</f>
        <v/>
      </c>
      <c r="CS392" t="str">
        <f>""</f>
        <v/>
      </c>
      <c r="CT392" t="str">
        <f>""</f>
        <v/>
      </c>
      <c r="CU392" t="str">
        <f>""</f>
        <v/>
      </c>
      <c r="CV392" t="str">
        <f>""</f>
        <v/>
      </c>
      <c r="CW392" t="str">
        <f>""</f>
        <v/>
      </c>
      <c r="CX392" t="str">
        <f>""</f>
        <v/>
      </c>
      <c r="CY392" t="str">
        <f>""</f>
        <v/>
      </c>
      <c r="CZ392" t="str">
        <f>""</f>
        <v/>
      </c>
      <c r="DA392" t="str">
        <f>""</f>
        <v/>
      </c>
      <c r="DB392" t="str">
        <f>""</f>
        <v/>
      </c>
      <c r="DC392" t="str">
        <f>""</f>
        <v/>
      </c>
      <c r="DD392" t="str">
        <f>""</f>
        <v/>
      </c>
      <c r="DE392" t="str">
        <f>""</f>
        <v/>
      </c>
      <c r="DF392" t="str">
        <f>""</f>
        <v/>
      </c>
      <c r="DG392" t="str">
        <f>""</f>
        <v/>
      </c>
      <c r="DH392" t="str">
        <f>""</f>
        <v/>
      </c>
      <c r="DI392" t="str">
        <f>""</f>
        <v/>
      </c>
      <c r="DJ392" t="str">
        <f>""</f>
        <v/>
      </c>
      <c r="DK392" t="str">
        <f>""</f>
        <v/>
      </c>
      <c r="DL392" t="str">
        <f>""</f>
        <v/>
      </c>
      <c r="DM392" t="str">
        <f>""</f>
        <v/>
      </c>
      <c r="DN392" t="str">
        <f>""</f>
        <v/>
      </c>
      <c r="DO392" t="str">
        <f>""</f>
        <v/>
      </c>
      <c r="DP392" t="str">
        <f>""</f>
        <v/>
      </c>
      <c r="DQ392" t="str">
        <f>""</f>
        <v/>
      </c>
      <c r="DR392" t="str">
        <f>""</f>
        <v/>
      </c>
      <c r="DS392" t="str">
        <f>""</f>
        <v/>
      </c>
      <c r="DT392" t="str">
        <f>""</f>
        <v/>
      </c>
      <c r="DU392" t="str">
        <f>""</f>
        <v/>
      </c>
    </row>
    <row r="393" spans="1:125" x14ac:dyDescent="0.25">
      <c r="A393" t="str">
        <f>$A$191</f>
        <v xml:space="preserve">    UBS Group AG</v>
      </c>
      <c r="B393" t="str">
        <f>$B$191</f>
        <v>UBSG SW Equity</v>
      </c>
      <c r="C393" t="str">
        <f>$C$191</f>
        <v>BS018</v>
      </c>
      <c r="D393" t="str">
        <f>$D$191</f>
        <v>BS_OTHER_LOAN</v>
      </c>
      <c r="E393" t="str">
        <f>$E$191</f>
        <v>Dynamic</v>
      </c>
      <c r="F393">
        <f ca="1">_xll.BDH($B$191,$C$191,$B$206,$B$207,CONCATENATE("Per=",$B$204),"Dts=H","Dir=H",CONCATENATE("Points=",$B$205),"Sort=R","Days=A","Fill=B",CONCATENATE("FX=", $B$203),"cols=60;rows=1")</f>
        <v>238734.84700000001</v>
      </c>
      <c r="G393">
        <v>233063.3297</v>
      </c>
      <c r="H393">
        <v>242495.33410000001</v>
      </c>
      <c r="I393">
        <v>244141.3486</v>
      </c>
      <c r="J393">
        <v>247316.5221</v>
      </c>
      <c r="K393">
        <v>257039.1378</v>
      </c>
      <c r="L393">
        <v>277969.40830000001</v>
      </c>
      <c r="M393">
        <v>166844.2359</v>
      </c>
      <c r="N393">
        <v>170924.28339999999</v>
      </c>
      <c r="O393">
        <v>185065.37280000001</v>
      </c>
      <c r="P393">
        <v>180356.76809999999</v>
      </c>
      <c r="Q393">
        <v>175115.50260000001</v>
      </c>
      <c r="R393">
        <v>216902.342</v>
      </c>
      <c r="S393">
        <v>208333.7654</v>
      </c>
      <c r="T393">
        <v>204045.06709999999</v>
      </c>
      <c r="U393">
        <v>199297.87229999999</v>
      </c>
      <c r="V393">
        <v>188186.99650000001</v>
      </c>
      <c r="W393">
        <v>186690.8377</v>
      </c>
      <c r="X393">
        <v>185630.16990000001</v>
      </c>
      <c r="Y393">
        <v>187157.96189999999</v>
      </c>
      <c r="Z393">
        <v>172603.69279999999</v>
      </c>
      <c r="AA393">
        <v>294374.94270000001</v>
      </c>
      <c r="AB393">
        <v>284716.9645</v>
      </c>
      <c r="AC393">
        <v>284438.10710000002</v>
      </c>
      <c r="AD393">
        <v>118655.71189999999</v>
      </c>
      <c r="AE393">
        <v>120556.2252</v>
      </c>
      <c r="AF393">
        <v>273099.2549</v>
      </c>
      <c r="AG393">
        <v>257763.40410000001</v>
      </c>
      <c r="AH393">
        <v>130658.7922</v>
      </c>
      <c r="AL393">
        <v>135116.96669999999</v>
      </c>
      <c r="AP393">
        <v>138425.77549999999</v>
      </c>
      <c r="AT393">
        <v>126162.537</v>
      </c>
      <c r="AX393">
        <v>104167.3811</v>
      </c>
      <c r="BB393">
        <v>104502.38679999999</v>
      </c>
      <c r="BF393">
        <v>98973.725200000001</v>
      </c>
      <c r="BJ393">
        <v>97458.538199999995</v>
      </c>
      <c r="BN393" t="str">
        <f>""</f>
        <v/>
      </c>
      <c r="BO393" t="str">
        <f>""</f>
        <v/>
      </c>
      <c r="BP393" t="str">
        <f>""</f>
        <v/>
      </c>
      <c r="BQ393" t="str">
        <f>""</f>
        <v/>
      </c>
      <c r="BR393" t="str">
        <f>""</f>
        <v/>
      </c>
      <c r="BS393" t="str">
        <f>""</f>
        <v/>
      </c>
      <c r="BT393" t="str">
        <f>""</f>
        <v/>
      </c>
      <c r="BU393" t="str">
        <f>""</f>
        <v/>
      </c>
      <c r="BV393" t="str">
        <f>""</f>
        <v/>
      </c>
      <c r="BW393" t="str">
        <f>""</f>
        <v/>
      </c>
      <c r="BX393" t="str">
        <f>""</f>
        <v/>
      </c>
      <c r="BY393" t="str">
        <f>""</f>
        <v/>
      </c>
      <c r="BZ393" t="str">
        <f>""</f>
        <v/>
      </c>
      <c r="CA393" t="str">
        <f>""</f>
        <v/>
      </c>
      <c r="CB393" t="str">
        <f>""</f>
        <v/>
      </c>
      <c r="CC393" t="str">
        <f>""</f>
        <v/>
      </c>
      <c r="CD393" t="str">
        <f>""</f>
        <v/>
      </c>
      <c r="CE393" t="str">
        <f>""</f>
        <v/>
      </c>
      <c r="CF393" t="str">
        <f>""</f>
        <v/>
      </c>
      <c r="CG393" t="str">
        <f>""</f>
        <v/>
      </c>
      <c r="CH393" t="str">
        <f>""</f>
        <v/>
      </c>
      <c r="CI393" t="str">
        <f>""</f>
        <v/>
      </c>
      <c r="CJ393" t="str">
        <f>""</f>
        <v/>
      </c>
      <c r="CK393" t="str">
        <f>""</f>
        <v/>
      </c>
      <c r="CL393" t="str">
        <f>""</f>
        <v/>
      </c>
      <c r="CM393" t="str">
        <f>""</f>
        <v/>
      </c>
      <c r="CN393" t="str">
        <f>""</f>
        <v/>
      </c>
      <c r="CO393" t="str">
        <f>""</f>
        <v/>
      </c>
      <c r="CP393" t="str">
        <f>""</f>
        <v/>
      </c>
      <c r="CQ393" t="str">
        <f>""</f>
        <v/>
      </c>
      <c r="CR393" t="str">
        <f>""</f>
        <v/>
      </c>
      <c r="CS393" t="str">
        <f>""</f>
        <v/>
      </c>
      <c r="CT393" t="str">
        <f>""</f>
        <v/>
      </c>
      <c r="CU393" t="str">
        <f>""</f>
        <v/>
      </c>
      <c r="CV393" t="str">
        <f>""</f>
        <v/>
      </c>
      <c r="CW393" t="str">
        <f>""</f>
        <v/>
      </c>
      <c r="CX393" t="str">
        <f>""</f>
        <v/>
      </c>
      <c r="CY393" t="str">
        <f>""</f>
        <v/>
      </c>
      <c r="CZ393" t="str">
        <f>""</f>
        <v/>
      </c>
      <c r="DA393" t="str">
        <f>""</f>
        <v/>
      </c>
      <c r="DB393" t="str">
        <f>""</f>
        <v/>
      </c>
      <c r="DC393" t="str">
        <f>""</f>
        <v/>
      </c>
      <c r="DD393" t="str">
        <f>""</f>
        <v/>
      </c>
      <c r="DE393" t="str">
        <f>""</f>
        <v/>
      </c>
      <c r="DF393" t="str">
        <f>""</f>
        <v/>
      </c>
      <c r="DG393" t="str">
        <f>""</f>
        <v/>
      </c>
      <c r="DH393" t="str">
        <f>""</f>
        <v/>
      </c>
      <c r="DI393" t="str">
        <f>""</f>
        <v/>
      </c>
      <c r="DJ393" t="str">
        <f>""</f>
        <v/>
      </c>
      <c r="DK393" t="str">
        <f>""</f>
        <v/>
      </c>
      <c r="DL393" t="str">
        <f>""</f>
        <v/>
      </c>
      <c r="DM393" t="str">
        <f>""</f>
        <v/>
      </c>
      <c r="DN393" t="str">
        <f>""</f>
        <v/>
      </c>
      <c r="DO393" t="str">
        <f>""</f>
        <v/>
      </c>
      <c r="DP393" t="str">
        <f>""</f>
        <v/>
      </c>
      <c r="DQ393" t="str">
        <f>""</f>
        <v/>
      </c>
      <c r="DR393" t="str">
        <f>""</f>
        <v/>
      </c>
      <c r="DS393" t="str">
        <f>""</f>
        <v/>
      </c>
      <c r="DT393" t="str">
        <f>""</f>
        <v/>
      </c>
      <c r="DU393" t="str">
        <f>""</f>
        <v/>
      </c>
    </row>
    <row r="394" spans="1:125" x14ac:dyDescent="0.25">
      <c r="A394" t="str">
        <f>$A$192</f>
        <v xml:space="preserve">    UniCredit SpA</v>
      </c>
      <c r="B394" t="str">
        <f>$B$192</f>
        <v>UCG IM Equity</v>
      </c>
      <c r="C394" t="str">
        <f>$C$192</f>
        <v>BS018</v>
      </c>
      <c r="D394" t="str">
        <f>$D$192</f>
        <v>BS_OTHER_LOAN</v>
      </c>
      <c r="E394" t="str">
        <f>$E$192</f>
        <v>Dynamic</v>
      </c>
      <c r="F394">
        <f ca="1">_xll.BDH($B$192,$C$192,$B$206,$B$207,CONCATENATE("Per=",$B$204),"Dts=H","Dir=H",CONCATENATE("Points=",$B$205),"Sort=R","Days=A","Fill=B",CONCATENATE("FX=", $B$203),"cols=60;rows=1")</f>
        <v>189894</v>
      </c>
      <c r="H394">
        <v>188973</v>
      </c>
      <c r="J394">
        <v>193208</v>
      </c>
      <c r="L394">
        <v>200101</v>
      </c>
      <c r="N394">
        <v>209860</v>
      </c>
      <c r="P394">
        <v>212832</v>
      </c>
      <c r="R394">
        <v>215324</v>
      </c>
      <c r="T394">
        <v>209015</v>
      </c>
      <c r="V394">
        <v>209466</v>
      </c>
      <c r="X394">
        <v>226584</v>
      </c>
      <c r="Z394">
        <v>220370</v>
      </c>
      <c r="AB394">
        <v>232376</v>
      </c>
      <c r="AD394">
        <v>236594</v>
      </c>
      <c r="AF394">
        <v>269083.04599999997</v>
      </c>
      <c r="BN394" t="str">
        <f>""</f>
        <v/>
      </c>
      <c r="BO394" t="str">
        <f>""</f>
        <v/>
      </c>
      <c r="BP394" t="str">
        <f>""</f>
        <v/>
      </c>
      <c r="BQ394" t="str">
        <f>""</f>
        <v/>
      </c>
      <c r="BR394" t="str">
        <f>""</f>
        <v/>
      </c>
      <c r="BS394" t="str">
        <f>""</f>
        <v/>
      </c>
      <c r="BT394" t="str">
        <f>""</f>
        <v/>
      </c>
      <c r="BU394" t="str">
        <f>""</f>
        <v/>
      </c>
      <c r="BV394" t="str">
        <f>""</f>
        <v/>
      </c>
      <c r="BW394" t="str">
        <f>""</f>
        <v/>
      </c>
      <c r="BX394" t="str">
        <f>""</f>
        <v/>
      </c>
      <c r="BY394" t="str">
        <f>""</f>
        <v/>
      </c>
      <c r="BZ394" t="str">
        <f>""</f>
        <v/>
      </c>
      <c r="CA394" t="str">
        <f>""</f>
        <v/>
      </c>
      <c r="CB394" t="str">
        <f>""</f>
        <v/>
      </c>
      <c r="CC394" t="str">
        <f>""</f>
        <v/>
      </c>
      <c r="CD394" t="str">
        <f>""</f>
        <v/>
      </c>
      <c r="CE394" t="str">
        <f>""</f>
        <v/>
      </c>
      <c r="CF394" t="str">
        <f>""</f>
        <v/>
      </c>
      <c r="CG394" t="str">
        <f>""</f>
        <v/>
      </c>
      <c r="CH394" t="str">
        <f>""</f>
        <v/>
      </c>
      <c r="CI394" t="str">
        <f>""</f>
        <v/>
      </c>
      <c r="CJ394" t="str">
        <f>""</f>
        <v/>
      </c>
      <c r="CK394" t="str">
        <f>""</f>
        <v/>
      </c>
      <c r="CL394" t="str">
        <f>""</f>
        <v/>
      </c>
      <c r="CM394" t="str">
        <f>""</f>
        <v/>
      </c>
      <c r="CN394" t="str">
        <f>""</f>
        <v/>
      </c>
      <c r="CO394" t="str">
        <f>""</f>
        <v/>
      </c>
      <c r="CP394" t="str">
        <f>""</f>
        <v/>
      </c>
      <c r="CQ394" t="str">
        <f>""</f>
        <v/>
      </c>
      <c r="CR394" t="str">
        <f>""</f>
        <v/>
      </c>
      <c r="CS394" t="str">
        <f>""</f>
        <v/>
      </c>
      <c r="CT394" t="str">
        <f>""</f>
        <v/>
      </c>
      <c r="CU394" t="str">
        <f>""</f>
        <v/>
      </c>
      <c r="CV394" t="str">
        <f>""</f>
        <v/>
      </c>
      <c r="CW394" t="str">
        <f>""</f>
        <v/>
      </c>
      <c r="CX394" t="str">
        <f>""</f>
        <v/>
      </c>
      <c r="CY394" t="str">
        <f>""</f>
        <v/>
      </c>
      <c r="CZ394" t="str">
        <f>""</f>
        <v/>
      </c>
      <c r="DA394" t="str">
        <f>""</f>
        <v/>
      </c>
      <c r="DB394" t="str">
        <f>""</f>
        <v/>
      </c>
      <c r="DC394" t="str">
        <f>""</f>
        <v/>
      </c>
      <c r="DD394" t="str">
        <f>""</f>
        <v/>
      </c>
      <c r="DE394" t="str">
        <f>""</f>
        <v/>
      </c>
      <c r="DF394" t="str">
        <f>""</f>
        <v/>
      </c>
      <c r="DG394" t="str">
        <f>""</f>
        <v/>
      </c>
      <c r="DH394" t="str">
        <f>""</f>
        <v/>
      </c>
      <c r="DI394" t="str">
        <f>""</f>
        <v/>
      </c>
      <c r="DJ394" t="str">
        <f>""</f>
        <v/>
      </c>
      <c r="DK394" t="str">
        <f>""</f>
        <v/>
      </c>
      <c r="DL394" t="str">
        <f>""</f>
        <v/>
      </c>
      <c r="DM394" t="str">
        <f>""</f>
        <v/>
      </c>
      <c r="DN394" t="str">
        <f>""</f>
        <v/>
      </c>
      <c r="DO394" t="str">
        <f>""</f>
        <v/>
      </c>
      <c r="DP394" t="str">
        <f>""</f>
        <v/>
      </c>
      <c r="DQ394" t="str">
        <f>""</f>
        <v/>
      </c>
      <c r="DR394" t="str">
        <f>""</f>
        <v/>
      </c>
      <c r="DS394" t="str">
        <f>""</f>
        <v/>
      </c>
      <c r="DT394" t="str">
        <f>""</f>
        <v/>
      </c>
      <c r="DU394" t="str">
        <f>""</f>
        <v/>
      </c>
    </row>
    <row r="395" spans="1:125" x14ac:dyDescent="0.25">
      <c r="A395" t="str">
        <f>""</f>
        <v/>
      </c>
      <c r="B395" t="str">
        <f>""</f>
        <v/>
      </c>
      <c r="C395" t="str">
        <f>""</f>
        <v/>
      </c>
      <c r="D395" t="str">
        <f>""</f>
        <v/>
      </c>
      <c r="E395" t="str">
        <f>""</f>
        <v/>
      </c>
      <c r="BN395" t="str">
        <f>""</f>
        <v/>
      </c>
      <c r="BO395" t="str">
        <f>""</f>
        <v/>
      </c>
      <c r="BP395" t="str">
        <f>""</f>
        <v/>
      </c>
      <c r="BQ395" t="str">
        <f>""</f>
        <v/>
      </c>
      <c r="BR395" t="str">
        <f>""</f>
        <v/>
      </c>
      <c r="BS395" t="str">
        <f>""</f>
        <v/>
      </c>
      <c r="BT395" t="str">
        <f>""</f>
        <v/>
      </c>
      <c r="BU395" t="str">
        <f>""</f>
        <v/>
      </c>
      <c r="BV395" t="str">
        <f>""</f>
        <v/>
      </c>
      <c r="BW395" t="str">
        <f>""</f>
        <v/>
      </c>
      <c r="BX395" t="str">
        <f>""</f>
        <v/>
      </c>
      <c r="BY395" t="str">
        <f>""</f>
        <v/>
      </c>
      <c r="BZ395" t="str">
        <f>""</f>
        <v/>
      </c>
      <c r="CA395" t="str">
        <f>""</f>
        <v/>
      </c>
      <c r="CB395" t="str">
        <f>""</f>
        <v/>
      </c>
      <c r="CC395" t="str">
        <f>""</f>
        <v/>
      </c>
      <c r="CD395" t="str">
        <f>""</f>
        <v/>
      </c>
      <c r="CE395" t="str">
        <f>""</f>
        <v/>
      </c>
      <c r="CF395" t="str">
        <f>""</f>
        <v/>
      </c>
      <c r="CG395" t="str">
        <f>""</f>
        <v/>
      </c>
      <c r="CH395" t="str">
        <f>""</f>
        <v/>
      </c>
      <c r="CI395" t="str">
        <f>""</f>
        <v/>
      </c>
      <c r="CJ395" t="str">
        <f>""</f>
        <v/>
      </c>
      <c r="CK395" t="str">
        <f>""</f>
        <v/>
      </c>
      <c r="CL395" t="str">
        <f>""</f>
        <v/>
      </c>
      <c r="CM395" t="str">
        <f>""</f>
        <v/>
      </c>
      <c r="CN395" t="str">
        <f>""</f>
        <v/>
      </c>
      <c r="CO395" t="str">
        <f>""</f>
        <v/>
      </c>
      <c r="CP395" t="str">
        <f>""</f>
        <v/>
      </c>
      <c r="CQ395" t="str">
        <f>""</f>
        <v/>
      </c>
      <c r="CR395" t="str">
        <f>""</f>
        <v/>
      </c>
      <c r="CS395" t="str">
        <f>""</f>
        <v/>
      </c>
      <c r="CT395" t="str">
        <f>""</f>
        <v/>
      </c>
      <c r="CU395" t="str">
        <f>""</f>
        <v/>
      </c>
      <c r="CV395" t="str">
        <f>""</f>
        <v/>
      </c>
      <c r="CW395" t="str">
        <f>""</f>
        <v/>
      </c>
      <c r="CX395" t="str">
        <f>""</f>
        <v/>
      </c>
      <c r="CY395" t="str">
        <f>""</f>
        <v/>
      </c>
      <c r="CZ395" t="str">
        <f>""</f>
        <v/>
      </c>
      <c r="DA395" t="str">
        <f>""</f>
        <v/>
      </c>
      <c r="DB395" t="str">
        <f>""</f>
        <v/>
      </c>
      <c r="DC395" t="str">
        <f>""</f>
        <v/>
      </c>
      <c r="DD395" t="str">
        <f>""</f>
        <v/>
      </c>
      <c r="DE395" t="str">
        <f>""</f>
        <v/>
      </c>
      <c r="DF395" t="str">
        <f>""</f>
        <v/>
      </c>
      <c r="DG395" t="str">
        <f>""</f>
        <v/>
      </c>
      <c r="DH395" t="str">
        <f>""</f>
        <v/>
      </c>
      <c r="DI395" t="str">
        <f>""</f>
        <v/>
      </c>
      <c r="DJ395" t="str">
        <f>""</f>
        <v/>
      </c>
      <c r="DK395" t="str">
        <f>""</f>
        <v/>
      </c>
      <c r="DL395" t="str">
        <f>""</f>
        <v/>
      </c>
      <c r="DM395" t="str">
        <f>""</f>
        <v/>
      </c>
      <c r="DN395" t="str">
        <f>""</f>
        <v/>
      </c>
      <c r="DO395" t="str">
        <f>""</f>
        <v/>
      </c>
      <c r="DP395" t="str">
        <f>""</f>
        <v/>
      </c>
      <c r="DQ395" t="str">
        <f>""</f>
        <v/>
      </c>
      <c r="DR395" t="str">
        <f>""</f>
        <v/>
      </c>
      <c r="DS395" t="str">
        <f>""</f>
        <v/>
      </c>
      <c r="DT395" t="str">
        <f>""</f>
        <v/>
      </c>
      <c r="DU395" t="str">
        <f>""</f>
        <v/>
      </c>
    </row>
    <row r="396" spans="1:125" x14ac:dyDescent="0.25">
      <c r="A396" t="str">
        <f>""</f>
        <v/>
      </c>
      <c r="B396" t="str">
        <f>""</f>
        <v/>
      </c>
      <c r="C396" t="str">
        <f>""</f>
        <v/>
      </c>
      <c r="D396" t="str">
        <f>""</f>
        <v/>
      </c>
      <c r="E396" t="str">
        <f>""</f>
        <v/>
      </c>
      <c r="BN396" t="str">
        <f>""</f>
        <v/>
      </c>
      <c r="BO396" t="str">
        <f>""</f>
        <v/>
      </c>
      <c r="BP396" t="str">
        <f>""</f>
        <v/>
      </c>
      <c r="BQ396" t="str">
        <f>""</f>
        <v/>
      </c>
      <c r="BR396" t="str">
        <f>""</f>
        <v/>
      </c>
      <c r="BS396" t="str">
        <f>""</f>
        <v/>
      </c>
      <c r="BT396" t="str">
        <f>""</f>
        <v/>
      </c>
      <c r="BU396" t="str">
        <f>""</f>
        <v/>
      </c>
      <c r="BV396" t="str">
        <f>""</f>
        <v/>
      </c>
      <c r="BW396" t="str">
        <f>""</f>
        <v/>
      </c>
      <c r="BX396" t="str">
        <f>""</f>
        <v/>
      </c>
      <c r="BY396" t="str">
        <f>""</f>
        <v/>
      </c>
      <c r="BZ396" t="str">
        <f>""</f>
        <v/>
      </c>
      <c r="CA396" t="str">
        <f>""</f>
        <v/>
      </c>
      <c r="CB396" t="str">
        <f>""</f>
        <v/>
      </c>
      <c r="CC396" t="str">
        <f>""</f>
        <v/>
      </c>
      <c r="CD396" t="str">
        <f>""</f>
        <v/>
      </c>
      <c r="CE396" t="str">
        <f>""</f>
        <v/>
      </c>
      <c r="CF396" t="str">
        <f>""</f>
        <v/>
      </c>
      <c r="CG396" t="str">
        <f>""</f>
        <v/>
      </c>
      <c r="CH396" t="str">
        <f>""</f>
        <v/>
      </c>
      <c r="CI396" t="str">
        <f>""</f>
        <v/>
      </c>
      <c r="CJ396" t="str">
        <f>""</f>
        <v/>
      </c>
      <c r="CK396" t="str">
        <f>""</f>
        <v/>
      </c>
      <c r="CL396" t="str">
        <f>""</f>
        <v/>
      </c>
      <c r="CM396" t="str">
        <f>""</f>
        <v/>
      </c>
      <c r="CN396" t="str">
        <f>""</f>
        <v/>
      </c>
      <c r="CO396" t="str">
        <f>""</f>
        <v/>
      </c>
      <c r="CP396" t="str">
        <f>""</f>
        <v/>
      </c>
      <c r="CQ396" t="str">
        <f>""</f>
        <v/>
      </c>
      <c r="CR396" t="str">
        <f>""</f>
        <v/>
      </c>
      <c r="CS396" t="str">
        <f>""</f>
        <v/>
      </c>
      <c r="CT396" t="str">
        <f>""</f>
        <v/>
      </c>
      <c r="CU396" t="str">
        <f>""</f>
        <v/>
      </c>
      <c r="CV396" t="str">
        <f>""</f>
        <v/>
      </c>
      <c r="CW396" t="str">
        <f>""</f>
        <v/>
      </c>
      <c r="CX396" t="str">
        <f>""</f>
        <v/>
      </c>
      <c r="CY396" t="str">
        <f>""</f>
        <v/>
      </c>
      <c r="CZ396" t="str">
        <f>""</f>
        <v/>
      </c>
      <c r="DA396" t="str">
        <f>""</f>
        <v/>
      </c>
      <c r="DB396" t="str">
        <f>""</f>
        <v/>
      </c>
      <c r="DC396" t="str">
        <f>""</f>
        <v/>
      </c>
      <c r="DD396" t="str">
        <f>""</f>
        <v/>
      </c>
      <c r="DE396" t="str">
        <f>""</f>
        <v/>
      </c>
      <c r="DF396" t="str">
        <f>""</f>
        <v/>
      </c>
      <c r="DG396" t="str">
        <f>""</f>
        <v/>
      </c>
      <c r="DH396" t="str">
        <f>""</f>
        <v/>
      </c>
      <c r="DI396" t="str">
        <f>""</f>
        <v/>
      </c>
      <c r="DJ396" t="str">
        <f>""</f>
        <v/>
      </c>
      <c r="DK396" t="str">
        <f>""</f>
        <v/>
      </c>
      <c r="DL396" t="str">
        <f>""</f>
        <v/>
      </c>
      <c r="DM396" t="str">
        <f>""</f>
        <v/>
      </c>
      <c r="DN396" t="str">
        <f>""</f>
        <v/>
      </c>
      <c r="DO396" t="str">
        <f>""</f>
        <v/>
      </c>
      <c r="DP396" t="str">
        <f>""</f>
        <v/>
      </c>
      <c r="DQ396" t="str">
        <f>""</f>
        <v/>
      </c>
      <c r="DR396" t="str">
        <f>""</f>
        <v/>
      </c>
      <c r="DS396" t="str">
        <f>""</f>
        <v/>
      </c>
      <c r="DT396" t="str">
        <f>""</f>
        <v/>
      </c>
      <c r="DU396" t="str">
        <f>""</f>
        <v/>
      </c>
    </row>
    <row r="397" spans="1:125" x14ac:dyDescent="0.25">
      <c r="A397" t="str">
        <f>""</f>
        <v/>
      </c>
      <c r="B397" t="str">
        <f>""</f>
        <v/>
      </c>
      <c r="C397" t="str">
        <f>""</f>
        <v/>
      </c>
      <c r="D397" t="str">
        <f>""</f>
        <v/>
      </c>
      <c r="E397" t="str">
        <f>""</f>
        <v/>
      </c>
      <c r="BN397" t="str">
        <f>""</f>
        <v/>
      </c>
      <c r="BO397" t="str">
        <f>""</f>
        <v/>
      </c>
      <c r="BP397" t="str">
        <f>""</f>
        <v/>
      </c>
      <c r="BQ397" t="str">
        <f>""</f>
        <v/>
      </c>
      <c r="BR397" t="str">
        <f>""</f>
        <v/>
      </c>
      <c r="BS397" t="str">
        <f>""</f>
        <v/>
      </c>
      <c r="BT397" t="str">
        <f>""</f>
        <v/>
      </c>
      <c r="BU397" t="str">
        <f>""</f>
        <v/>
      </c>
      <c r="BV397" t="str">
        <f>""</f>
        <v/>
      </c>
      <c r="BW397" t="str">
        <f>""</f>
        <v/>
      </c>
      <c r="BX397" t="str">
        <f>""</f>
        <v/>
      </c>
      <c r="BY397" t="str">
        <f>""</f>
        <v/>
      </c>
      <c r="BZ397" t="str">
        <f>""</f>
        <v/>
      </c>
      <c r="CA397" t="str">
        <f>""</f>
        <v/>
      </c>
      <c r="CB397" t="str">
        <f>""</f>
        <v/>
      </c>
      <c r="CC397" t="str">
        <f>""</f>
        <v/>
      </c>
      <c r="CD397" t="str">
        <f>""</f>
        <v/>
      </c>
      <c r="CE397" t="str">
        <f>""</f>
        <v/>
      </c>
      <c r="CF397" t="str">
        <f>""</f>
        <v/>
      </c>
      <c r="CG397" t="str">
        <f>""</f>
        <v/>
      </c>
      <c r="CH397" t="str">
        <f>""</f>
        <v/>
      </c>
      <c r="CI397" t="str">
        <f>""</f>
        <v/>
      </c>
      <c r="CJ397" t="str">
        <f>""</f>
        <v/>
      </c>
      <c r="CK397" t="str">
        <f>""</f>
        <v/>
      </c>
      <c r="CL397" t="str">
        <f>""</f>
        <v/>
      </c>
      <c r="CM397" t="str">
        <f>""</f>
        <v/>
      </c>
      <c r="CN397" t="str">
        <f>""</f>
        <v/>
      </c>
      <c r="CO397" t="str">
        <f>""</f>
        <v/>
      </c>
      <c r="CP397" t="str">
        <f>""</f>
        <v/>
      </c>
      <c r="CQ397" t="str">
        <f>""</f>
        <v/>
      </c>
      <c r="CR397" t="str">
        <f>""</f>
        <v/>
      </c>
      <c r="CS397" t="str">
        <f>""</f>
        <v/>
      </c>
      <c r="CT397" t="str">
        <f>""</f>
        <v/>
      </c>
      <c r="CU397" t="str">
        <f>""</f>
        <v/>
      </c>
      <c r="CV397" t="str">
        <f>""</f>
        <v/>
      </c>
      <c r="CW397" t="str">
        <f>""</f>
        <v/>
      </c>
      <c r="CX397" t="str">
        <f>""</f>
        <v/>
      </c>
      <c r="CY397" t="str">
        <f>""</f>
        <v/>
      </c>
      <c r="CZ397" t="str">
        <f>""</f>
        <v/>
      </c>
      <c r="DA397" t="str">
        <f>""</f>
        <v/>
      </c>
      <c r="DB397" t="str">
        <f>""</f>
        <v/>
      </c>
      <c r="DC397" t="str">
        <f>""</f>
        <v/>
      </c>
      <c r="DD397" t="str">
        <f>""</f>
        <v/>
      </c>
      <c r="DE397" t="str">
        <f>""</f>
        <v/>
      </c>
      <c r="DF397" t="str">
        <f>""</f>
        <v/>
      </c>
      <c r="DG397" t="str">
        <f>""</f>
        <v/>
      </c>
      <c r="DH397" t="str">
        <f>""</f>
        <v/>
      </c>
      <c r="DI397" t="str">
        <f>""</f>
        <v/>
      </c>
      <c r="DJ397" t="str">
        <f>""</f>
        <v/>
      </c>
      <c r="DK397" t="str">
        <f>""</f>
        <v/>
      </c>
      <c r="DL397" t="str">
        <f>""</f>
        <v/>
      </c>
      <c r="DM397" t="str">
        <f>""</f>
        <v/>
      </c>
      <c r="DN397" t="str">
        <f>""</f>
        <v/>
      </c>
      <c r="DO397" t="str">
        <f>""</f>
        <v/>
      </c>
      <c r="DP397" t="str">
        <f>""</f>
        <v/>
      </c>
      <c r="DQ397" t="str">
        <f>""</f>
        <v/>
      </c>
      <c r="DR397" t="str">
        <f>""</f>
        <v/>
      </c>
      <c r="DS397" t="str">
        <f>""</f>
        <v/>
      </c>
      <c r="DT397" t="str">
        <f>""</f>
        <v/>
      </c>
      <c r="DU397" t="str">
        <f>""</f>
        <v/>
      </c>
    </row>
    <row r="398" spans="1:125" x14ac:dyDescent="0.25">
      <c r="A398" t="str">
        <f>""</f>
        <v/>
      </c>
      <c r="B398" t="str">
        <f>""</f>
        <v/>
      </c>
      <c r="C398" t="str">
        <f>""</f>
        <v/>
      </c>
      <c r="D398" t="str">
        <f>""</f>
        <v/>
      </c>
      <c r="E398" t="str">
        <f>""</f>
        <v/>
      </c>
      <c r="BN398" t="str">
        <f>""</f>
        <v/>
      </c>
      <c r="BO398" t="str">
        <f>""</f>
        <v/>
      </c>
      <c r="BP398" t="str">
        <f>""</f>
        <v/>
      </c>
      <c r="BQ398" t="str">
        <f>""</f>
        <v/>
      </c>
      <c r="BR398" t="str">
        <f>""</f>
        <v/>
      </c>
      <c r="BS398" t="str">
        <f>""</f>
        <v/>
      </c>
      <c r="BT398" t="str">
        <f>""</f>
        <v/>
      </c>
      <c r="BU398" t="str">
        <f>""</f>
        <v/>
      </c>
      <c r="BV398" t="str">
        <f>""</f>
        <v/>
      </c>
      <c r="BW398" t="str">
        <f>""</f>
        <v/>
      </c>
      <c r="BX398" t="str">
        <f>""</f>
        <v/>
      </c>
      <c r="BY398" t="str">
        <f>""</f>
        <v/>
      </c>
      <c r="BZ398" t="str">
        <f>""</f>
        <v/>
      </c>
      <c r="CA398" t="str">
        <f>""</f>
        <v/>
      </c>
      <c r="CB398" t="str">
        <f>""</f>
        <v/>
      </c>
      <c r="CC398" t="str">
        <f>""</f>
        <v/>
      </c>
      <c r="CD398" t="str">
        <f>""</f>
        <v/>
      </c>
      <c r="CE398" t="str">
        <f>""</f>
        <v/>
      </c>
      <c r="CF398" t="str">
        <f>""</f>
        <v/>
      </c>
      <c r="CG398" t="str">
        <f>""</f>
        <v/>
      </c>
      <c r="CH398" t="str">
        <f>""</f>
        <v/>
      </c>
      <c r="CI398" t="str">
        <f>""</f>
        <v/>
      </c>
      <c r="CJ398" t="str">
        <f>""</f>
        <v/>
      </c>
      <c r="CK398" t="str">
        <f>""</f>
        <v/>
      </c>
      <c r="CL398" t="str">
        <f>""</f>
        <v/>
      </c>
      <c r="CM398" t="str">
        <f>""</f>
        <v/>
      </c>
      <c r="CN398" t="str">
        <f>""</f>
        <v/>
      </c>
      <c r="CO398" t="str">
        <f>""</f>
        <v/>
      </c>
      <c r="CP398" t="str">
        <f>""</f>
        <v/>
      </c>
      <c r="CQ398" t="str">
        <f>""</f>
        <v/>
      </c>
      <c r="CR398" t="str">
        <f>""</f>
        <v/>
      </c>
      <c r="CS398" t="str">
        <f>""</f>
        <v/>
      </c>
      <c r="CT398" t="str">
        <f>""</f>
        <v/>
      </c>
      <c r="CU398" t="str">
        <f>""</f>
        <v/>
      </c>
      <c r="CV398" t="str">
        <f>""</f>
        <v/>
      </c>
      <c r="CW398" t="str">
        <f>""</f>
        <v/>
      </c>
      <c r="CX398" t="str">
        <f>""</f>
        <v/>
      </c>
      <c r="CY398" t="str">
        <f>""</f>
        <v/>
      </c>
      <c r="CZ398" t="str">
        <f>""</f>
        <v/>
      </c>
      <c r="DA398" t="str">
        <f>""</f>
        <v/>
      </c>
      <c r="DB398" t="str">
        <f>""</f>
        <v/>
      </c>
      <c r="DC398" t="str">
        <f>""</f>
        <v/>
      </c>
      <c r="DD398" t="str">
        <f>""</f>
        <v/>
      </c>
      <c r="DE398" t="str">
        <f>""</f>
        <v/>
      </c>
      <c r="DF398" t="str">
        <f>""</f>
        <v/>
      </c>
      <c r="DG398" t="str">
        <f>""</f>
        <v/>
      </c>
      <c r="DH398" t="str">
        <f>""</f>
        <v/>
      </c>
      <c r="DI398" t="str">
        <f>""</f>
        <v/>
      </c>
      <c r="DJ398" t="str">
        <f>""</f>
        <v/>
      </c>
      <c r="DK398" t="str">
        <f>""</f>
        <v/>
      </c>
      <c r="DL398" t="str">
        <f>""</f>
        <v/>
      </c>
      <c r="DM398" t="str">
        <f>""</f>
        <v/>
      </c>
      <c r="DN398" t="str">
        <f>""</f>
        <v/>
      </c>
      <c r="DO398" t="str">
        <f>""</f>
        <v/>
      </c>
      <c r="DP398" t="str">
        <f>""</f>
        <v/>
      </c>
      <c r="DQ398" t="str">
        <f>""</f>
        <v/>
      </c>
      <c r="DR398" t="str">
        <f>""</f>
        <v/>
      </c>
      <c r="DS398" t="str">
        <f>""</f>
        <v/>
      </c>
      <c r="DT398" t="str">
        <f>""</f>
        <v/>
      </c>
      <c r="DU398" t="str">
        <f>""</f>
        <v/>
      </c>
    </row>
    <row r="399" spans="1:125" x14ac:dyDescent="0.25">
      <c r="A399" t="str">
        <f>""</f>
        <v/>
      </c>
      <c r="B399" t="str">
        <f>""</f>
        <v/>
      </c>
      <c r="C399" t="str">
        <f>""</f>
        <v/>
      </c>
      <c r="D399" t="str">
        <f>""</f>
        <v/>
      </c>
      <c r="E399" t="str">
        <f>""</f>
        <v/>
      </c>
      <c r="BN399" t="str">
        <f>""</f>
        <v/>
      </c>
      <c r="BO399" t="str">
        <f>""</f>
        <v/>
      </c>
      <c r="BP399" t="str">
        <f>""</f>
        <v/>
      </c>
      <c r="BQ399" t="str">
        <f>""</f>
        <v/>
      </c>
      <c r="BR399" t="str">
        <f>""</f>
        <v/>
      </c>
      <c r="BS399" t="str">
        <f>""</f>
        <v/>
      </c>
      <c r="BT399" t="str">
        <f>""</f>
        <v/>
      </c>
      <c r="BU399" t="str">
        <f>""</f>
        <v/>
      </c>
      <c r="BV399" t="str">
        <f>""</f>
        <v/>
      </c>
      <c r="BW399" t="str">
        <f>""</f>
        <v/>
      </c>
      <c r="BX399" t="str">
        <f>""</f>
        <v/>
      </c>
      <c r="BY399" t="str">
        <f>""</f>
        <v/>
      </c>
      <c r="BZ399" t="str">
        <f>""</f>
        <v/>
      </c>
      <c r="CA399" t="str">
        <f>""</f>
        <v/>
      </c>
      <c r="CB399" t="str">
        <f>""</f>
        <v/>
      </c>
      <c r="CC399" t="str">
        <f>""</f>
        <v/>
      </c>
      <c r="CD399" t="str">
        <f>""</f>
        <v/>
      </c>
      <c r="CE399" t="str">
        <f>""</f>
        <v/>
      </c>
      <c r="CF399" t="str">
        <f>""</f>
        <v/>
      </c>
      <c r="CG399" t="str">
        <f>""</f>
        <v/>
      </c>
      <c r="CH399" t="str">
        <f>""</f>
        <v/>
      </c>
      <c r="CI399" t="str">
        <f>""</f>
        <v/>
      </c>
      <c r="CJ399" t="str">
        <f>""</f>
        <v/>
      </c>
      <c r="CK399" t="str">
        <f>""</f>
        <v/>
      </c>
      <c r="CL399" t="str">
        <f>""</f>
        <v/>
      </c>
      <c r="CM399" t="str">
        <f>""</f>
        <v/>
      </c>
      <c r="CN399" t="str">
        <f>""</f>
        <v/>
      </c>
      <c r="CO399" t="str">
        <f>""</f>
        <v/>
      </c>
      <c r="CP399" t="str">
        <f>""</f>
        <v/>
      </c>
      <c r="CQ399" t="str">
        <f>""</f>
        <v/>
      </c>
      <c r="CR399" t="str">
        <f>""</f>
        <v/>
      </c>
      <c r="CS399" t="str">
        <f>""</f>
        <v/>
      </c>
      <c r="CT399" t="str">
        <f>""</f>
        <v/>
      </c>
      <c r="CU399" t="str">
        <f>""</f>
        <v/>
      </c>
      <c r="CV399" t="str">
        <f>""</f>
        <v/>
      </c>
      <c r="CW399" t="str">
        <f>""</f>
        <v/>
      </c>
      <c r="CX399" t="str">
        <f>""</f>
        <v/>
      </c>
      <c r="CY399" t="str">
        <f>""</f>
        <v/>
      </c>
      <c r="CZ399" t="str">
        <f>""</f>
        <v/>
      </c>
      <c r="DA399" t="str">
        <f>""</f>
        <v/>
      </c>
      <c r="DB399" t="str">
        <f>""</f>
        <v/>
      </c>
      <c r="DC399" t="str">
        <f>""</f>
        <v/>
      </c>
      <c r="DD399" t="str">
        <f>""</f>
        <v/>
      </c>
      <c r="DE399" t="str">
        <f>""</f>
        <v/>
      </c>
      <c r="DF399" t="str">
        <f>""</f>
        <v/>
      </c>
      <c r="DG399" t="str">
        <f>""</f>
        <v/>
      </c>
      <c r="DH399" t="str">
        <f>""</f>
        <v/>
      </c>
      <c r="DI399" t="str">
        <f>""</f>
        <v/>
      </c>
      <c r="DJ399" t="str">
        <f>""</f>
        <v/>
      </c>
      <c r="DK399" t="str">
        <f>""</f>
        <v/>
      </c>
      <c r="DL399" t="str">
        <f>""</f>
        <v/>
      </c>
      <c r="DM399" t="str">
        <f>""</f>
        <v/>
      </c>
      <c r="DN399" t="str">
        <f>""</f>
        <v/>
      </c>
      <c r="DO399" t="str">
        <f>""</f>
        <v/>
      </c>
      <c r="DP399" t="str">
        <f>""</f>
        <v/>
      </c>
      <c r="DQ399" t="str">
        <f>""</f>
        <v/>
      </c>
      <c r="DR399" t="str">
        <f>""</f>
        <v/>
      </c>
      <c r="DS399" t="str">
        <f>""</f>
        <v/>
      </c>
      <c r="DT399" t="str">
        <f>""</f>
        <v/>
      </c>
      <c r="DU399" t="str">
        <f>""</f>
        <v/>
      </c>
    </row>
    <row r="400" spans="1:125" x14ac:dyDescent="0.25">
      <c r="A400" t="str">
        <f>"~~~~~~~~~~~~~~~~~~~~~"</f>
        <v>~~~~~~~~~~~~~~~~~~~~~</v>
      </c>
      <c r="B400" t="str">
        <f>"~~~~~~~~~~~~~~~~~~~~~"</f>
        <v>~~~~~~~~~~~~~~~~~~~~~</v>
      </c>
      <c r="C400" t="str">
        <f>"~~~~~~~~~~~~~~~~~~~~~"</f>
        <v>~~~~~~~~~~~~~~~~~~~~~</v>
      </c>
      <c r="D400" t="str">
        <f>"~~~~~~~~~~~~~~~~~~~~~"</f>
        <v>~~~~~~~~~~~~~~~~~~~~~</v>
      </c>
      <c r="E400" t="str">
        <f>"~~~~~~~~~~~~~~~~~~~~~"</f>
        <v>~~~~~~~~~~~~~~~~~~~~~</v>
      </c>
      <c r="BN400" t="str">
        <f>""</f>
        <v/>
      </c>
      <c r="BO400" t="str">
        <f>""</f>
        <v/>
      </c>
      <c r="BP400" t="str">
        <f>""</f>
        <v/>
      </c>
      <c r="BQ400" t="str">
        <f>""</f>
        <v/>
      </c>
      <c r="BR400" t="str">
        <f>""</f>
        <v/>
      </c>
      <c r="BS400" t="str">
        <f>""</f>
        <v/>
      </c>
      <c r="BT400" t="str">
        <f>""</f>
        <v/>
      </c>
      <c r="BU400" t="str">
        <f>""</f>
        <v/>
      </c>
      <c r="BV400" t="str">
        <f>""</f>
        <v/>
      </c>
      <c r="BW400" t="str">
        <f>""</f>
        <v/>
      </c>
      <c r="BX400" t="str">
        <f>""</f>
        <v/>
      </c>
      <c r="BY400" t="str">
        <f>""</f>
        <v/>
      </c>
      <c r="BZ400" t="str">
        <f>""</f>
        <v/>
      </c>
      <c r="CA400" t="str">
        <f>""</f>
        <v/>
      </c>
      <c r="CB400" t="str">
        <f>""</f>
        <v/>
      </c>
      <c r="CC400" t="str">
        <f>""</f>
        <v/>
      </c>
      <c r="CD400" t="str">
        <f>""</f>
        <v/>
      </c>
      <c r="CE400" t="str">
        <f>""</f>
        <v/>
      </c>
      <c r="CF400" t="str">
        <f>""</f>
        <v/>
      </c>
      <c r="CG400" t="str">
        <f>""</f>
        <v/>
      </c>
      <c r="CH400" t="str">
        <f>""</f>
        <v/>
      </c>
      <c r="CI400" t="str">
        <f>""</f>
        <v/>
      </c>
      <c r="CJ400" t="str">
        <f>""</f>
        <v/>
      </c>
      <c r="CK400" t="str">
        <f>""</f>
        <v/>
      </c>
      <c r="CL400" t="str">
        <f>""</f>
        <v/>
      </c>
      <c r="CM400" t="str">
        <f>""</f>
        <v/>
      </c>
      <c r="CN400" t="str">
        <f>""</f>
        <v/>
      </c>
      <c r="CO400" t="str">
        <f>""</f>
        <v/>
      </c>
      <c r="CP400" t="str">
        <f>""</f>
        <v/>
      </c>
      <c r="CQ400" t="str">
        <f>""</f>
        <v/>
      </c>
      <c r="CR400" t="str">
        <f>""</f>
        <v/>
      </c>
      <c r="CS400" t="str">
        <f>""</f>
        <v/>
      </c>
      <c r="CT400" t="str">
        <f>""</f>
        <v/>
      </c>
      <c r="CU400" t="str">
        <f>""</f>
        <v/>
      </c>
      <c r="CV400" t="str">
        <f>""</f>
        <v/>
      </c>
      <c r="CW400" t="str">
        <f>""</f>
        <v/>
      </c>
      <c r="CX400" t="str">
        <f>""</f>
        <v/>
      </c>
      <c r="CY400" t="str">
        <f>""</f>
        <v/>
      </c>
      <c r="CZ400" t="str">
        <f>""</f>
        <v/>
      </c>
      <c r="DA400" t="str">
        <f>""</f>
        <v/>
      </c>
      <c r="DB400" t="str">
        <f>""</f>
        <v/>
      </c>
      <c r="DC400" t="str">
        <f>""</f>
        <v/>
      </c>
      <c r="DD400" t="str">
        <f>""</f>
        <v/>
      </c>
      <c r="DE400" t="str">
        <f>""</f>
        <v/>
      </c>
      <c r="DF400" t="str">
        <f>""</f>
        <v/>
      </c>
      <c r="DG400" t="str">
        <f>""</f>
        <v/>
      </c>
      <c r="DH400" t="str">
        <f>""</f>
        <v/>
      </c>
      <c r="DI400" t="str">
        <f>""</f>
        <v/>
      </c>
      <c r="DJ400" t="str">
        <f>""</f>
        <v/>
      </c>
      <c r="DK400" t="str">
        <f>""</f>
        <v/>
      </c>
      <c r="DL400" t="str">
        <f>""</f>
        <v/>
      </c>
      <c r="DM400" t="str">
        <f>""</f>
        <v/>
      </c>
      <c r="DN400" t="str">
        <f>""</f>
        <v/>
      </c>
      <c r="DO400" t="str">
        <f>""</f>
        <v/>
      </c>
      <c r="DP400" t="str">
        <f>""</f>
        <v/>
      </c>
      <c r="DQ400" t="str">
        <f>""</f>
        <v/>
      </c>
      <c r="DR400" t="str">
        <f>""</f>
        <v/>
      </c>
      <c r="DS400" t="str">
        <f>""</f>
        <v/>
      </c>
      <c r="DT400" t="str">
        <f>""</f>
        <v/>
      </c>
      <c r="DU400" t="str">
        <f>""</f>
        <v/>
      </c>
    </row>
    <row r="401" spans="1:125" x14ac:dyDescent="0.25">
      <c r="A401" t="str">
        <f>"Rows below for column date calculation"</f>
        <v>Rows below for column date calculation</v>
      </c>
      <c r="BN401" t="str">
        <f>""</f>
        <v/>
      </c>
      <c r="BO401" t="str">
        <f>""</f>
        <v/>
      </c>
      <c r="BP401" t="str">
        <f>""</f>
        <v/>
      </c>
      <c r="BQ401" t="str">
        <f>""</f>
        <v/>
      </c>
      <c r="BR401" t="str">
        <f>""</f>
        <v/>
      </c>
      <c r="BS401" t="str">
        <f>""</f>
        <v/>
      </c>
      <c r="BT401" t="str">
        <f>""</f>
        <v/>
      </c>
      <c r="BU401" t="str">
        <f>""</f>
        <v/>
      </c>
      <c r="BV401" t="str">
        <f>""</f>
        <v/>
      </c>
      <c r="BW401" t="str">
        <f>""</f>
        <v/>
      </c>
      <c r="BX401" t="str">
        <f>""</f>
        <v/>
      </c>
      <c r="BY401" t="str">
        <f>""</f>
        <v/>
      </c>
      <c r="BZ401" t="str">
        <f>""</f>
        <v/>
      </c>
      <c r="CA401" t="str">
        <f>""</f>
        <v/>
      </c>
      <c r="CB401" t="str">
        <f>""</f>
        <v/>
      </c>
      <c r="CC401" t="str">
        <f>""</f>
        <v/>
      </c>
      <c r="CD401" t="str">
        <f>""</f>
        <v/>
      </c>
      <c r="CE401" t="str">
        <f>""</f>
        <v/>
      </c>
      <c r="CF401" t="str">
        <f>""</f>
        <v/>
      </c>
      <c r="CG401" t="str">
        <f>""</f>
        <v/>
      </c>
      <c r="CH401" t="str">
        <f>""</f>
        <v/>
      </c>
      <c r="CI401" t="str">
        <f>""</f>
        <v/>
      </c>
      <c r="CJ401" t="str">
        <f>""</f>
        <v/>
      </c>
      <c r="CK401" t="str">
        <f>""</f>
        <v/>
      </c>
      <c r="CL401" t="str">
        <f>""</f>
        <v/>
      </c>
      <c r="CM401" t="str">
        <f>""</f>
        <v/>
      </c>
      <c r="CN401" t="str">
        <f>""</f>
        <v/>
      </c>
      <c r="CO401" t="str">
        <f>""</f>
        <v/>
      </c>
      <c r="CP401" t="str">
        <f>""</f>
        <v/>
      </c>
      <c r="CQ401" t="str">
        <f>""</f>
        <v/>
      </c>
      <c r="CR401" t="str">
        <f>""</f>
        <v/>
      </c>
      <c r="CS401" t="str">
        <f>""</f>
        <v/>
      </c>
      <c r="CT401" t="str">
        <f>""</f>
        <v/>
      </c>
      <c r="CU401" t="str">
        <f>""</f>
        <v/>
      </c>
      <c r="CV401" t="str">
        <f>""</f>
        <v/>
      </c>
      <c r="CW401" t="str">
        <f>""</f>
        <v/>
      </c>
      <c r="CX401" t="str">
        <f>""</f>
        <v/>
      </c>
      <c r="CY401" t="str">
        <f>""</f>
        <v/>
      </c>
      <c r="CZ401" t="str">
        <f>""</f>
        <v/>
      </c>
      <c r="DA401" t="str">
        <f>""</f>
        <v/>
      </c>
      <c r="DB401" t="str">
        <f>""</f>
        <v/>
      </c>
      <c r="DC401" t="str">
        <f>""</f>
        <v/>
      </c>
      <c r="DD401" t="str">
        <f>""</f>
        <v/>
      </c>
      <c r="DE401" t="str">
        <f>""</f>
        <v/>
      </c>
      <c r="DF401" t="str">
        <f>""</f>
        <v/>
      </c>
      <c r="DG401" t="str">
        <f>""</f>
        <v/>
      </c>
      <c r="DH401" t="str">
        <f>""</f>
        <v/>
      </c>
      <c r="DI401" t="str">
        <f>""</f>
        <v/>
      </c>
      <c r="DJ401" t="str">
        <f>""</f>
        <v/>
      </c>
      <c r="DK401" t="str">
        <f>""</f>
        <v/>
      </c>
      <c r="DL401" t="str">
        <f>""</f>
        <v/>
      </c>
      <c r="DM401" t="str">
        <f>""</f>
        <v/>
      </c>
      <c r="DN401" t="str">
        <f>""</f>
        <v/>
      </c>
      <c r="DO401" t="str">
        <f>""</f>
        <v/>
      </c>
      <c r="DP401" t="str">
        <f>""</f>
        <v/>
      </c>
      <c r="DQ401" t="str">
        <f>""</f>
        <v/>
      </c>
      <c r="DR401" t="str">
        <f>""</f>
        <v/>
      </c>
      <c r="DS401" t="str">
        <f>""</f>
        <v/>
      </c>
      <c r="DT401" t="str">
        <f>""</f>
        <v/>
      </c>
      <c r="DU401" t="str">
        <f>""</f>
        <v/>
      </c>
    </row>
    <row r="402" spans="1:125" x14ac:dyDescent="0.25">
      <c r="A402" t="str">
        <f>"Downloaded at"</f>
        <v>Downloaded at</v>
      </c>
      <c r="B402">
        <f>DATE(2025, 3,24)</f>
        <v>45740</v>
      </c>
      <c r="C402" t="str">
        <f>""</f>
        <v/>
      </c>
      <c r="D402" t="str">
        <f>""</f>
        <v/>
      </c>
      <c r="E402" t="str">
        <f>""</f>
        <v/>
      </c>
      <c r="BN402" t="str">
        <f>""</f>
        <v/>
      </c>
      <c r="BO402" t="str">
        <f>""</f>
        <v/>
      </c>
      <c r="BP402" t="str">
        <f>""</f>
        <v/>
      </c>
      <c r="BQ402" t="str">
        <f>""</f>
        <v/>
      </c>
      <c r="BR402" t="str">
        <f>""</f>
        <v/>
      </c>
      <c r="BS402" t="str">
        <f>""</f>
        <v/>
      </c>
      <c r="BT402" t="str">
        <f>""</f>
        <v/>
      </c>
      <c r="BU402" t="str">
        <f>""</f>
        <v/>
      </c>
      <c r="BV402" t="str">
        <f>""</f>
        <v/>
      </c>
      <c r="BW402" t="str">
        <f>""</f>
        <v/>
      </c>
      <c r="BX402" t="str">
        <f>""</f>
        <v/>
      </c>
      <c r="BY402" t="str">
        <f>""</f>
        <v/>
      </c>
      <c r="BZ402" t="str">
        <f>""</f>
        <v/>
      </c>
      <c r="CA402" t="str">
        <f>""</f>
        <v/>
      </c>
      <c r="CB402" t="str">
        <f>""</f>
        <v/>
      </c>
      <c r="CC402" t="str">
        <f>""</f>
        <v/>
      </c>
      <c r="CD402" t="str">
        <f>""</f>
        <v/>
      </c>
      <c r="CE402" t="str">
        <f>""</f>
        <v/>
      </c>
      <c r="CF402" t="str">
        <f>""</f>
        <v/>
      </c>
      <c r="CG402" t="str">
        <f>""</f>
        <v/>
      </c>
      <c r="CH402" t="str">
        <f>""</f>
        <v/>
      </c>
      <c r="CI402" t="str">
        <f>""</f>
        <v/>
      </c>
      <c r="CJ402" t="str">
        <f>""</f>
        <v/>
      </c>
      <c r="CK402" t="str">
        <f>""</f>
        <v/>
      </c>
      <c r="CL402" t="str">
        <f>""</f>
        <v/>
      </c>
      <c r="CM402" t="str">
        <f>""</f>
        <v/>
      </c>
      <c r="CN402" t="str">
        <f>""</f>
        <v/>
      </c>
      <c r="CO402" t="str">
        <f>""</f>
        <v/>
      </c>
      <c r="CP402" t="str">
        <f>""</f>
        <v/>
      </c>
      <c r="CQ402" t="str">
        <f>""</f>
        <v/>
      </c>
      <c r="CR402" t="str">
        <f>""</f>
        <v/>
      </c>
      <c r="CS402" t="str">
        <f>""</f>
        <v/>
      </c>
      <c r="CT402" t="str">
        <f>""</f>
        <v/>
      </c>
      <c r="CU402" t="str">
        <f>""</f>
        <v/>
      </c>
      <c r="CV402" t="str">
        <f>""</f>
        <v/>
      </c>
      <c r="CW402" t="str">
        <f>""</f>
        <v/>
      </c>
      <c r="CX402" t="str">
        <f>""</f>
        <v/>
      </c>
      <c r="CY402" t="str">
        <f>""</f>
        <v/>
      </c>
      <c r="CZ402" t="str">
        <f>""</f>
        <v/>
      </c>
      <c r="DA402" t="str">
        <f>""</f>
        <v/>
      </c>
      <c r="DB402" t="str">
        <f>""</f>
        <v/>
      </c>
      <c r="DC402" t="str">
        <f>""</f>
        <v/>
      </c>
      <c r="DD402" t="str">
        <f>""</f>
        <v/>
      </c>
      <c r="DE402" t="str">
        <f>""</f>
        <v/>
      </c>
      <c r="DF402" t="str">
        <f>""</f>
        <v/>
      </c>
      <c r="DG402" t="str">
        <f>""</f>
        <v/>
      </c>
      <c r="DH402" t="str">
        <f>""</f>
        <v/>
      </c>
      <c r="DI402" t="str">
        <f>""</f>
        <v/>
      </c>
      <c r="DJ402" t="str">
        <f>""</f>
        <v/>
      </c>
      <c r="DK402" t="str">
        <f>""</f>
        <v/>
      </c>
      <c r="DL402" t="str">
        <f>""</f>
        <v/>
      </c>
      <c r="DM402" t="str">
        <f>""</f>
        <v/>
      </c>
      <c r="DN402" t="str">
        <f>""</f>
        <v/>
      </c>
      <c r="DO402" t="str">
        <f>""</f>
        <v/>
      </c>
      <c r="DP402" t="str">
        <f>""</f>
        <v/>
      </c>
      <c r="DQ402" t="str">
        <f>""</f>
        <v/>
      </c>
      <c r="DR402" t="str">
        <f>""</f>
        <v/>
      </c>
      <c r="DS402" t="str">
        <f>""</f>
        <v/>
      </c>
      <c r="DT402" t="str">
        <f>""</f>
        <v/>
      </c>
      <c r="DU402" t="str">
        <f>""</f>
        <v/>
      </c>
    </row>
    <row r="403" spans="1:125" x14ac:dyDescent="0.25">
      <c r="A403" t="str">
        <f>"This is End Date"</f>
        <v>This is End Date</v>
      </c>
      <c r="B403">
        <f ca="1">$B$207</f>
        <v>45740</v>
      </c>
      <c r="C403" t="str">
        <f>""</f>
        <v/>
      </c>
      <c r="D403" t="str">
        <f>""</f>
        <v/>
      </c>
      <c r="E403" t="str">
        <f>""</f>
        <v/>
      </c>
      <c r="BN403" t="str">
        <f>""</f>
        <v/>
      </c>
      <c r="BO403" t="str">
        <f>""</f>
        <v/>
      </c>
      <c r="BP403" t="str">
        <f>""</f>
        <v/>
      </c>
      <c r="BQ403" t="str">
        <f>""</f>
        <v/>
      </c>
      <c r="BR403" t="str">
        <f>""</f>
        <v/>
      </c>
      <c r="BS403" t="str">
        <f>""</f>
        <v/>
      </c>
      <c r="BT403" t="str">
        <f>""</f>
        <v/>
      </c>
      <c r="BU403" t="str">
        <f>""</f>
        <v/>
      </c>
      <c r="BV403" t="str">
        <f>""</f>
        <v/>
      </c>
      <c r="BW403" t="str">
        <f>""</f>
        <v/>
      </c>
      <c r="BX403" t="str">
        <f>""</f>
        <v/>
      </c>
      <c r="BY403" t="str">
        <f>""</f>
        <v/>
      </c>
      <c r="BZ403" t="str">
        <f>""</f>
        <v/>
      </c>
      <c r="CA403" t="str">
        <f>""</f>
        <v/>
      </c>
      <c r="CB403" t="str">
        <f>""</f>
        <v/>
      </c>
      <c r="CC403" t="str">
        <f>""</f>
        <v/>
      </c>
      <c r="CD403" t="str">
        <f>""</f>
        <v/>
      </c>
      <c r="CE403" t="str">
        <f>""</f>
        <v/>
      </c>
      <c r="CF403" t="str">
        <f>""</f>
        <v/>
      </c>
      <c r="CG403" t="str">
        <f>""</f>
        <v/>
      </c>
      <c r="CH403" t="str">
        <f>""</f>
        <v/>
      </c>
      <c r="CI403" t="str">
        <f>""</f>
        <v/>
      </c>
      <c r="CJ403" t="str">
        <f>""</f>
        <v/>
      </c>
      <c r="CK403" t="str">
        <f>""</f>
        <v/>
      </c>
      <c r="CL403" t="str">
        <f>""</f>
        <v/>
      </c>
      <c r="CM403" t="str">
        <f>""</f>
        <v/>
      </c>
      <c r="CN403" t="str">
        <f>""</f>
        <v/>
      </c>
      <c r="CO403" t="str">
        <f>""</f>
        <v/>
      </c>
      <c r="CP403" t="str">
        <f>""</f>
        <v/>
      </c>
      <c r="CQ403" t="str">
        <f>""</f>
        <v/>
      </c>
      <c r="CR403" t="str">
        <f>""</f>
        <v/>
      </c>
      <c r="CS403" t="str">
        <f>""</f>
        <v/>
      </c>
      <c r="CT403" t="str">
        <f>""</f>
        <v/>
      </c>
      <c r="CU403" t="str">
        <f>""</f>
        <v/>
      </c>
      <c r="CV403" t="str">
        <f>""</f>
        <v/>
      </c>
      <c r="CW403" t="str">
        <f>""</f>
        <v/>
      </c>
      <c r="CX403" t="str">
        <f>""</f>
        <v/>
      </c>
      <c r="CY403" t="str">
        <f>""</f>
        <v/>
      </c>
      <c r="CZ403" t="str">
        <f>""</f>
        <v/>
      </c>
      <c r="DA403" t="str">
        <f>""</f>
        <v/>
      </c>
      <c r="DB403" t="str">
        <f>""</f>
        <v/>
      </c>
      <c r="DC403" t="str">
        <f>""</f>
        <v/>
      </c>
      <c r="DD403" t="str">
        <f>""</f>
        <v/>
      </c>
      <c r="DE403" t="str">
        <f>""</f>
        <v/>
      </c>
      <c r="DF403" t="str">
        <f>""</f>
        <v/>
      </c>
      <c r="DG403" t="str">
        <f>""</f>
        <v/>
      </c>
      <c r="DH403" t="str">
        <f>""</f>
        <v/>
      </c>
      <c r="DI403" t="str">
        <f>""</f>
        <v/>
      </c>
      <c r="DJ403" t="str">
        <f>""</f>
        <v/>
      </c>
      <c r="DK403" t="str">
        <f>""</f>
        <v/>
      </c>
      <c r="DL403" t="str">
        <f>""</f>
        <v/>
      </c>
      <c r="DM403" t="str">
        <f>""</f>
        <v/>
      </c>
      <c r="DN403" t="str">
        <f>""</f>
        <v/>
      </c>
      <c r="DO403" t="str">
        <f>""</f>
        <v/>
      </c>
      <c r="DP403" t="str">
        <f>""</f>
        <v/>
      </c>
      <c r="DQ403" t="str">
        <f>""</f>
        <v/>
      </c>
      <c r="DR403" t="str">
        <f>""</f>
        <v/>
      </c>
      <c r="DS403" t="str">
        <f>""</f>
        <v/>
      </c>
      <c r="DT403" t="str">
        <f>""</f>
        <v/>
      </c>
      <c r="DU403" t="str">
        <f>""</f>
        <v/>
      </c>
    </row>
    <row r="404" spans="1:125" x14ac:dyDescent="0.25">
      <c r="A404" t="str">
        <f>"Description"</f>
        <v>Description</v>
      </c>
      <c r="B404" t="str">
        <f>"Ticker"</f>
        <v>Ticker</v>
      </c>
      <c r="C404" t="str">
        <f>"Field ID"</f>
        <v>Field ID</v>
      </c>
      <c r="D404" t="str">
        <f>"Field Mnemonic"</f>
        <v>Field Mnemonic</v>
      </c>
      <c r="E404" t="str">
        <f>"Data State"</f>
        <v>Data State</v>
      </c>
      <c r="BN404" t="str">
        <f>""</f>
        <v/>
      </c>
      <c r="BO404" t="str">
        <f>""</f>
        <v/>
      </c>
      <c r="BP404" t="str">
        <f>""</f>
        <v/>
      </c>
      <c r="BQ404" t="str">
        <f>""</f>
        <v/>
      </c>
      <c r="BR404" t="str">
        <f>""</f>
        <v/>
      </c>
      <c r="BS404" t="str">
        <f>""</f>
        <v/>
      </c>
      <c r="BT404" t="str">
        <f>""</f>
        <v/>
      </c>
      <c r="BU404" t="str">
        <f>""</f>
        <v/>
      </c>
      <c r="BV404" t="str">
        <f>""</f>
        <v/>
      </c>
      <c r="BW404" t="str">
        <f>""</f>
        <v/>
      </c>
      <c r="BX404" t="str">
        <f>""</f>
        <v/>
      </c>
      <c r="BY404" t="str">
        <f>""</f>
        <v/>
      </c>
      <c r="BZ404" t="str">
        <f>""</f>
        <v/>
      </c>
      <c r="CA404" t="str">
        <f>""</f>
        <v/>
      </c>
      <c r="CB404" t="str">
        <f>""</f>
        <v/>
      </c>
      <c r="CC404" t="str">
        <f>""</f>
        <v/>
      </c>
      <c r="CD404" t="str">
        <f>""</f>
        <v/>
      </c>
      <c r="CE404" t="str">
        <f>""</f>
        <v/>
      </c>
      <c r="CF404" t="str">
        <f>""</f>
        <v/>
      </c>
      <c r="CG404" t="str">
        <f>""</f>
        <v/>
      </c>
      <c r="CH404" t="str">
        <f>""</f>
        <v/>
      </c>
      <c r="CI404" t="str">
        <f>""</f>
        <v/>
      </c>
      <c r="CJ404" t="str">
        <f>""</f>
        <v/>
      </c>
      <c r="CK404" t="str">
        <f>""</f>
        <v/>
      </c>
      <c r="CL404" t="str">
        <f>""</f>
        <v/>
      </c>
      <c r="CM404" t="str">
        <f>""</f>
        <v/>
      </c>
      <c r="CN404" t="str">
        <f>""</f>
        <v/>
      </c>
      <c r="CO404" t="str">
        <f>""</f>
        <v/>
      </c>
      <c r="CP404" t="str">
        <f>""</f>
        <v/>
      </c>
      <c r="CQ404" t="str">
        <f>""</f>
        <v/>
      </c>
      <c r="CR404" t="str">
        <f>""</f>
        <v/>
      </c>
      <c r="CS404" t="str">
        <f>""</f>
        <v/>
      </c>
      <c r="CT404" t="str">
        <f>""</f>
        <v/>
      </c>
      <c r="CU404" t="str">
        <f>""</f>
        <v/>
      </c>
      <c r="CV404" t="str">
        <f>""</f>
        <v/>
      </c>
      <c r="CW404" t="str">
        <f>""</f>
        <v/>
      </c>
      <c r="CX404" t="str">
        <f>""</f>
        <v/>
      </c>
      <c r="CY404" t="str">
        <f>""</f>
        <v/>
      </c>
      <c r="CZ404" t="str">
        <f>""</f>
        <v/>
      </c>
      <c r="DA404" t="str">
        <f>""</f>
        <v/>
      </c>
      <c r="DB404" t="str">
        <f>""</f>
        <v/>
      </c>
      <c r="DC404" t="str">
        <f>""</f>
        <v/>
      </c>
      <c r="DD404" t="str">
        <f>""</f>
        <v/>
      </c>
      <c r="DE404" t="str">
        <f>""</f>
        <v/>
      </c>
      <c r="DF404" t="str">
        <f>""</f>
        <v/>
      </c>
      <c r="DG404" t="str">
        <f>""</f>
        <v/>
      </c>
      <c r="DH404" t="str">
        <f>""</f>
        <v/>
      </c>
      <c r="DI404" t="str">
        <f>""</f>
        <v/>
      </c>
      <c r="DJ404" t="str">
        <f>""</f>
        <v/>
      </c>
      <c r="DK404" t="str">
        <f>""</f>
        <v/>
      </c>
      <c r="DL404" t="str">
        <f>""</f>
        <v/>
      </c>
      <c r="DM404" t="str">
        <f>""</f>
        <v/>
      </c>
      <c r="DN404" t="str">
        <f>""</f>
        <v/>
      </c>
      <c r="DO404" t="str">
        <f>""</f>
        <v/>
      </c>
      <c r="DP404" t="str">
        <f>""</f>
        <v/>
      </c>
      <c r="DQ404" t="str">
        <f>""</f>
        <v/>
      </c>
      <c r="DR404" t="str">
        <f>""</f>
        <v/>
      </c>
      <c r="DS404" t="str">
        <f>""</f>
        <v/>
      </c>
      <c r="DT404" t="str">
        <f>""</f>
        <v/>
      </c>
      <c r="DU404" t="str">
        <f>""</f>
        <v/>
      </c>
    </row>
    <row r="405" spans="1:125" x14ac:dyDescent="0.25">
      <c r="A405" t="str">
        <f>"Snapshot Date"</f>
        <v>Snapshot Date</v>
      </c>
      <c r="B405">
        <f>DATE(2025, 3,24)</f>
        <v>45740</v>
      </c>
      <c r="C405" t="str">
        <f>""</f>
        <v/>
      </c>
      <c r="D405" t="str">
        <f>""</f>
        <v/>
      </c>
      <c r="E405" t="str">
        <f>""</f>
        <v/>
      </c>
      <c r="BN405" t="str">
        <f>""</f>
        <v/>
      </c>
      <c r="BO405" t="str">
        <f>""</f>
        <v/>
      </c>
      <c r="BP405" t="str">
        <f>""</f>
        <v/>
      </c>
      <c r="BQ405" t="str">
        <f>""</f>
        <v/>
      </c>
      <c r="BR405" t="str">
        <f>""</f>
        <v/>
      </c>
      <c r="BS405" t="str">
        <f>""</f>
        <v/>
      </c>
      <c r="BT405" t="str">
        <f>""</f>
        <v/>
      </c>
      <c r="BU405" t="str">
        <f>""</f>
        <v/>
      </c>
      <c r="BV405" t="str">
        <f>""</f>
        <v/>
      </c>
      <c r="BW405" t="str">
        <f>""</f>
        <v/>
      </c>
      <c r="BX405" t="str">
        <f>""</f>
        <v/>
      </c>
      <c r="BY405" t="str">
        <f>""</f>
        <v/>
      </c>
      <c r="BZ405" t="str">
        <f>""</f>
        <v/>
      </c>
      <c r="CA405" t="str">
        <f>""</f>
        <v/>
      </c>
      <c r="CB405" t="str">
        <f>""</f>
        <v/>
      </c>
      <c r="CC405" t="str">
        <f>""</f>
        <v/>
      </c>
      <c r="CD405" t="str">
        <f>""</f>
        <v/>
      </c>
      <c r="CE405" t="str">
        <f>""</f>
        <v/>
      </c>
      <c r="CF405" t="str">
        <f>""</f>
        <v/>
      </c>
      <c r="CG405" t="str">
        <f>""</f>
        <v/>
      </c>
      <c r="CH405" t="str">
        <f>""</f>
        <v/>
      </c>
      <c r="CI405" t="str">
        <f>""</f>
        <v/>
      </c>
      <c r="CJ405" t="str">
        <f>""</f>
        <v/>
      </c>
      <c r="CK405" t="str">
        <f>""</f>
        <v/>
      </c>
      <c r="CL405" t="str">
        <f>""</f>
        <v/>
      </c>
      <c r="CM405" t="str">
        <f>""</f>
        <v/>
      </c>
      <c r="CN405" t="str">
        <f>""</f>
        <v/>
      </c>
      <c r="CO405" t="str">
        <f>""</f>
        <v/>
      </c>
      <c r="CP405" t="str">
        <f>""</f>
        <v/>
      </c>
      <c r="CQ405" t="str">
        <f>""</f>
        <v/>
      </c>
      <c r="CR405" t="str">
        <f>""</f>
        <v/>
      </c>
      <c r="CS405" t="str">
        <f>""</f>
        <v/>
      </c>
      <c r="CT405" t="str">
        <f>""</f>
        <v/>
      </c>
      <c r="CU405" t="str">
        <f>""</f>
        <v/>
      </c>
      <c r="CV405" t="str">
        <f>""</f>
        <v/>
      </c>
      <c r="CW405" t="str">
        <f>""</f>
        <v/>
      </c>
      <c r="CX405" t="str">
        <f>""</f>
        <v/>
      </c>
      <c r="CY405" t="str">
        <f>""</f>
        <v/>
      </c>
      <c r="CZ405" t="str">
        <f>""</f>
        <v/>
      </c>
      <c r="DA405" t="str">
        <f>""</f>
        <v/>
      </c>
      <c r="DB405" t="str">
        <f>""</f>
        <v/>
      </c>
      <c r="DC405" t="str">
        <f>""</f>
        <v/>
      </c>
      <c r="DD405" t="str">
        <f>""</f>
        <v/>
      </c>
      <c r="DE405" t="str">
        <f>""</f>
        <v/>
      </c>
      <c r="DF405" t="str">
        <f>""</f>
        <v/>
      </c>
      <c r="DG405" t="str">
        <f>""</f>
        <v/>
      </c>
      <c r="DH405" t="str">
        <f>""</f>
        <v/>
      </c>
      <c r="DI405" t="str">
        <f>""</f>
        <v/>
      </c>
      <c r="DJ405" t="str">
        <f>""</f>
        <v/>
      </c>
      <c r="DK405" t="str">
        <f>""</f>
        <v/>
      </c>
      <c r="DL405" t="str">
        <f>""</f>
        <v/>
      </c>
      <c r="DM405" t="str">
        <f>""</f>
        <v/>
      </c>
      <c r="DN405" t="str">
        <f>""</f>
        <v/>
      </c>
      <c r="DO405" t="str">
        <f>""</f>
        <v/>
      </c>
      <c r="DP405" t="str">
        <f>""</f>
        <v/>
      </c>
      <c r="DQ405" t="str">
        <f>""</f>
        <v/>
      </c>
      <c r="DR405" t="str">
        <f>""</f>
        <v/>
      </c>
      <c r="DS405" t="str">
        <f>""</f>
        <v/>
      </c>
      <c r="DT405" t="str">
        <f>""</f>
        <v/>
      </c>
      <c r="DU405" t="str">
        <f>""</f>
        <v/>
      </c>
    </row>
    <row r="406" spans="1:125" x14ac:dyDescent="0.25">
      <c r="A406" t="str">
        <f>"Snapshot header"</f>
        <v>Snapshot header</v>
      </c>
      <c r="B406">
        <f>2</f>
        <v>2</v>
      </c>
      <c r="C406" t="str">
        <f>"2024 Q4"</f>
        <v>2024 Q4</v>
      </c>
      <c r="D406" t="str">
        <f>"2024 Q3"</f>
        <v>2024 Q3</v>
      </c>
      <c r="E406" t="str">
        <f>"2024 Q2"</f>
        <v>2024 Q2</v>
      </c>
      <c r="F406" t="str">
        <f>"2024 Q1"</f>
        <v>2024 Q1</v>
      </c>
      <c r="G406" t="str">
        <f>"2023 Q4"</f>
        <v>2023 Q4</v>
      </c>
      <c r="H406" t="str">
        <f>"2023 Q3"</f>
        <v>2023 Q3</v>
      </c>
      <c r="I406" t="str">
        <f>"2023 Q2"</f>
        <v>2023 Q2</v>
      </c>
      <c r="J406" t="str">
        <f>"2023 Q1"</f>
        <v>2023 Q1</v>
      </c>
      <c r="K406" t="str">
        <f>"2022 Q4"</f>
        <v>2022 Q4</v>
      </c>
      <c r="L406" t="str">
        <f>"2022 Q3"</f>
        <v>2022 Q3</v>
      </c>
      <c r="M406" t="str">
        <f>"2022 Q2"</f>
        <v>2022 Q2</v>
      </c>
      <c r="N406" t="str">
        <f>"2022 Q1"</f>
        <v>2022 Q1</v>
      </c>
      <c r="O406" t="str">
        <f>"2021 Q4"</f>
        <v>2021 Q4</v>
      </c>
      <c r="P406" t="str">
        <f>"2021 Q3"</f>
        <v>2021 Q3</v>
      </c>
      <c r="Q406" t="str">
        <f>"2021 Q2"</f>
        <v>2021 Q2</v>
      </c>
      <c r="R406" t="str">
        <f>"2021 Q1"</f>
        <v>2021 Q1</v>
      </c>
      <c r="S406" t="str">
        <f>"2020 Q4"</f>
        <v>2020 Q4</v>
      </c>
      <c r="T406" t="str">
        <f>"2020 Q3"</f>
        <v>2020 Q3</v>
      </c>
      <c r="U406" t="str">
        <f>"2020 Q2"</f>
        <v>2020 Q2</v>
      </c>
      <c r="V406" t="str">
        <f>"2020 Q1"</f>
        <v>2020 Q1</v>
      </c>
      <c r="W406" t="str">
        <f>"2019 Q4"</f>
        <v>2019 Q4</v>
      </c>
      <c r="X406" t="str">
        <f>"2019 Q3"</f>
        <v>2019 Q3</v>
      </c>
      <c r="Y406" t="str">
        <f>"2019 Q2"</f>
        <v>2019 Q2</v>
      </c>
      <c r="Z406" t="str">
        <f>"2019 Q1"</f>
        <v>2019 Q1</v>
      </c>
      <c r="AA406" t="str">
        <f>"2018 Q4"</f>
        <v>2018 Q4</v>
      </c>
      <c r="AB406" t="str">
        <f>"2018 Q3"</f>
        <v>2018 Q3</v>
      </c>
      <c r="AC406" t="str">
        <f>"2018 Q2"</f>
        <v>2018 Q2</v>
      </c>
      <c r="AD406" t="str">
        <f>"2018 Q1"</f>
        <v>2018 Q1</v>
      </c>
      <c r="AE406" t="str">
        <f>"2017 Q4"</f>
        <v>2017 Q4</v>
      </c>
      <c r="AF406" t="str">
        <f>"2017 Q3"</f>
        <v>2017 Q3</v>
      </c>
      <c r="AG406" t="str">
        <f>"2017 Q2"</f>
        <v>2017 Q2</v>
      </c>
      <c r="AH406" t="str">
        <f>"2017 Q1"</f>
        <v>2017 Q1</v>
      </c>
      <c r="AI406" t="str">
        <f>"2016 Q4"</f>
        <v>2016 Q4</v>
      </c>
      <c r="AJ406" t="str">
        <f>"2016 Q3"</f>
        <v>2016 Q3</v>
      </c>
      <c r="AK406" t="str">
        <f>"2016 Q2"</f>
        <v>2016 Q2</v>
      </c>
      <c r="AL406" t="str">
        <f>"2016 Q1"</f>
        <v>2016 Q1</v>
      </c>
      <c r="AM406" t="str">
        <f>"2015 Q4"</f>
        <v>2015 Q4</v>
      </c>
      <c r="AN406" t="str">
        <f>"2015 Q3"</f>
        <v>2015 Q3</v>
      </c>
      <c r="AO406" t="str">
        <f>"2015 Q2"</f>
        <v>2015 Q2</v>
      </c>
      <c r="AP406" t="str">
        <f>"2015 Q1"</f>
        <v>2015 Q1</v>
      </c>
      <c r="AQ406" t="str">
        <f>"2014 Q4"</f>
        <v>2014 Q4</v>
      </c>
      <c r="AR406" t="str">
        <f>"2014 Q3"</f>
        <v>2014 Q3</v>
      </c>
      <c r="AS406" t="str">
        <f>"2014 Q2"</f>
        <v>2014 Q2</v>
      </c>
      <c r="AT406" t="str">
        <f>"2014 Q1"</f>
        <v>2014 Q1</v>
      </c>
      <c r="AU406" t="str">
        <f>"2013 Q4"</f>
        <v>2013 Q4</v>
      </c>
      <c r="AV406" t="str">
        <f>"2013 Q3"</f>
        <v>2013 Q3</v>
      </c>
      <c r="AW406" t="str">
        <f>"2013 Q2"</f>
        <v>2013 Q2</v>
      </c>
      <c r="AX406" t="str">
        <f>"2013 Q1"</f>
        <v>2013 Q1</v>
      </c>
      <c r="AY406" t="str">
        <f>"2012 Q4"</f>
        <v>2012 Q4</v>
      </c>
      <c r="AZ406" t="str">
        <f>"2012 Q3"</f>
        <v>2012 Q3</v>
      </c>
      <c r="BA406" t="str">
        <f>"2012 Q2"</f>
        <v>2012 Q2</v>
      </c>
      <c r="BB406" t="str">
        <f>"2012 Q1"</f>
        <v>2012 Q1</v>
      </c>
      <c r="BC406" t="str">
        <f>"2011 Q4"</f>
        <v>2011 Q4</v>
      </c>
      <c r="BD406" t="str">
        <f>"2011 Q3"</f>
        <v>2011 Q3</v>
      </c>
      <c r="BE406" t="str">
        <f>"2011 Q2"</f>
        <v>2011 Q2</v>
      </c>
      <c r="BF406" t="str">
        <f>"2011 Q1"</f>
        <v>2011 Q1</v>
      </c>
      <c r="BG406" t="str">
        <f>"2010 Q4"</f>
        <v>2010 Q4</v>
      </c>
      <c r="BH406" t="str">
        <f>"2010 Q3"</f>
        <v>2010 Q3</v>
      </c>
      <c r="BI406" t="str">
        <f>"2010 Q2"</f>
        <v>2010 Q2</v>
      </c>
      <c r="BJ406" t="str">
        <f>"2010 Q1"</f>
        <v>2010 Q1</v>
      </c>
      <c r="BN406" t="str">
        <f>""</f>
        <v/>
      </c>
      <c r="BO406" t="str">
        <f>""</f>
        <v/>
      </c>
      <c r="BP406" t="str">
        <f>""</f>
        <v/>
      </c>
      <c r="BQ406" t="str">
        <f>""</f>
        <v/>
      </c>
      <c r="BR406" t="str">
        <f>""</f>
        <v/>
      </c>
      <c r="BS406" t="str">
        <f>""</f>
        <v/>
      </c>
      <c r="BT406" t="str">
        <f>""</f>
        <v/>
      </c>
      <c r="BU406" t="str">
        <f>""</f>
        <v/>
      </c>
      <c r="BV406" t="str">
        <f>""</f>
        <v/>
      </c>
      <c r="BW406" t="str">
        <f>""</f>
        <v/>
      </c>
      <c r="BX406" t="str">
        <f>""</f>
        <v/>
      </c>
      <c r="BY406" t="str">
        <f>""</f>
        <v/>
      </c>
      <c r="BZ406" t="str">
        <f>""</f>
        <v/>
      </c>
      <c r="CA406" t="str">
        <f>""</f>
        <v/>
      </c>
      <c r="CB406" t="str">
        <f>""</f>
        <v/>
      </c>
      <c r="CC406" t="str">
        <f>""</f>
        <v/>
      </c>
      <c r="CD406" t="str">
        <f>""</f>
        <v/>
      </c>
      <c r="CE406" t="str">
        <f>""</f>
        <v/>
      </c>
      <c r="CF406" t="str">
        <f>""</f>
        <v/>
      </c>
      <c r="CG406" t="str">
        <f>""</f>
        <v/>
      </c>
      <c r="CH406" t="str">
        <f>""</f>
        <v/>
      </c>
      <c r="CI406" t="str">
        <f>""</f>
        <v/>
      </c>
      <c r="CJ406" t="str">
        <f>""</f>
        <v/>
      </c>
      <c r="CK406" t="str">
        <f>""</f>
        <v/>
      </c>
      <c r="CL406" t="str">
        <f>""</f>
        <v/>
      </c>
      <c r="CM406" t="str">
        <f>""</f>
        <v/>
      </c>
      <c r="CN406" t="str">
        <f>""</f>
        <v/>
      </c>
      <c r="CO406" t="str">
        <f>""</f>
        <v/>
      </c>
      <c r="CP406" t="str">
        <f>""</f>
        <v/>
      </c>
      <c r="CQ406" t="str">
        <f>""</f>
        <v/>
      </c>
      <c r="CR406" t="str">
        <f>""</f>
        <v/>
      </c>
      <c r="CS406" t="str">
        <f>""</f>
        <v/>
      </c>
      <c r="CT406" t="str">
        <f>""</f>
        <v/>
      </c>
      <c r="CU406" t="str">
        <f>""</f>
        <v/>
      </c>
      <c r="CV406" t="str">
        <f>""</f>
        <v/>
      </c>
      <c r="CW406" t="str">
        <f>""</f>
        <v/>
      </c>
      <c r="CX406" t="str">
        <f>""</f>
        <v/>
      </c>
      <c r="CY406" t="str">
        <f>""</f>
        <v/>
      </c>
      <c r="CZ406" t="str">
        <f>""</f>
        <v/>
      </c>
      <c r="DA406" t="str">
        <f>""</f>
        <v/>
      </c>
      <c r="DB406" t="str">
        <f>""</f>
        <v/>
      </c>
      <c r="DC406" t="str">
        <f>""</f>
        <v/>
      </c>
      <c r="DD406" t="str">
        <f>""</f>
        <v/>
      </c>
      <c r="DE406" t="str">
        <f>""</f>
        <v/>
      </c>
      <c r="DF406" t="str">
        <f>""</f>
        <v/>
      </c>
      <c r="DG406" t="str">
        <f>""</f>
        <v/>
      </c>
      <c r="DH406" t="str">
        <f>""</f>
        <v/>
      </c>
      <c r="DI406" t="str">
        <f>""</f>
        <v/>
      </c>
      <c r="DJ406" t="str">
        <f>""</f>
        <v/>
      </c>
      <c r="DK406" t="str">
        <f>""</f>
        <v/>
      </c>
      <c r="DL406" t="str">
        <f>""</f>
        <v/>
      </c>
      <c r="DM406" t="str">
        <f>""</f>
        <v/>
      </c>
      <c r="DN406" t="str">
        <f>""</f>
        <v/>
      </c>
      <c r="DO406" t="str">
        <f>""</f>
        <v/>
      </c>
      <c r="DP406" t="str">
        <f>""</f>
        <v/>
      </c>
      <c r="DQ406" t="str">
        <f>""</f>
        <v/>
      </c>
      <c r="DR406" t="str">
        <f>""</f>
        <v/>
      </c>
      <c r="DS406" t="str">
        <f>""</f>
        <v/>
      </c>
      <c r="DT406" t="str">
        <f>""</f>
        <v/>
      </c>
      <c r="DU406" t="str">
        <f>""</f>
        <v/>
      </c>
    </row>
    <row r="407" spans="1:125" x14ac:dyDescent="0.25">
      <c r="A407" t="str">
        <f>"BDH snapshot header0"</f>
        <v>BDH snapshot header0</v>
      </c>
      <c r="B407">
        <f>IF(OR(ISERROR($C$407),ISBLANK($C$407),ISNUMBER(SEARCH("N/A",$C$407) ),ISERROR($C$408),ISBLANK($C$408)),0,1)</f>
        <v>0</v>
      </c>
      <c r="C407" t="str">
        <f>_xll.BDH($B$4,$C$4,$B$206,$B$405,"PER=CQ","Dts=S","DtFmt=FI", "rows=2","Dir=H","Points=60","Sort=R","Days=A","Fill=B","FX=EUR" )</f>
        <v>#N/A Invalid Parameter: Invalid override field id specified</v>
      </c>
      <c r="BN407" t="str">
        <f>""</f>
        <v/>
      </c>
      <c r="BO407" t="str">
        <f>""</f>
        <v/>
      </c>
      <c r="BP407" t="str">
        <f>""</f>
        <v/>
      </c>
      <c r="BQ407" t="str">
        <f>""</f>
        <v/>
      </c>
      <c r="BR407" t="str">
        <f>""</f>
        <v/>
      </c>
      <c r="BS407" t="str">
        <f>""</f>
        <v/>
      </c>
      <c r="BT407" t="str">
        <f>""</f>
        <v/>
      </c>
      <c r="BU407" t="str">
        <f>""</f>
        <v/>
      </c>
      <c r="BV407" t="str">
        <f>""</f>
        <v/>
      </c>
      <c r="BW407" t="str">
        <f>""</f>
        <v/>
      </c>
      <c r="BX407" t="str">
        <f>""</f>
        <v/>
      </c>
      <c r="BY407" t="str">
        <f>""</f>
        <v/>
      </c>
      <c r="BZ407" t="str">
        <f>""</f>
        <v/>
      </c>
      <c r="CA407" t="str">
        <f>""</f>
        <v/>
      </c>
      <c r="CB407" t="str">
        <f>""</f>
        <v/>
      </c>
      <c r="CC407" t="str">
        <f>""</f>
        <v/>
      </c>
      <c r="CD407" t="str">
        <f>""</f>
        <v/>
      </c>
      <c r="CE407" t="str">
        <f>""</f>
        <v/>
      </c>
      <c r="CF407" t="str">
        <f>""</f>
        <v/>
      </c>
      <c r="CG407" t="str">
        <f>""</f>
        <v/>
      </c>
      <c r="CH407" t="str">
        <f>""</f>
        <v/>
      </c>
      <c r="CI407" t="str">
        <f>""</f>
        <v/>
      </c>
      <c r="CJ407" t="str">
        <f>""</f>
        <v/>
      </c>
      <c r="CK407" t="str">
        <f>""</f>
        <v/>
      </c>
      <c r="CL407" t="str">
        <f>""</f>
        <v/>
      </c>
      <c r="CM407" t="str">
        <f>""</f>
        <v/>
      </c>
      <c r="CN407" t="str">
        <f>""</f>
        <v/>
      </c>
      <c r="CO407" t="str">
        <f>""</f>
        <v/>
      </c>
      <c r="CP407" t="str">
        <f>""</f>
        <v/>
      </c>
      <c r="CQ407" t="str">
        <f>""</f>
        <v/>
      </c>
      <c r="CR407" t="str">
        <f>""</f>
        <v/>
      </c>
      <c r="CS407" t="str">
        <f>""</f>
        <v/>
      </c>
      <c r="CT407" t="str">
        <f>""</f>
        <v/>
      </c>
      <c r="CU407" t="str">
        <f>""</f>
        <v/>
      </c>
      <c r="CV407" t="str">
        <f>""</f>
        <v/>
      </c>
      <c r="CW407" t="str">
        <f>""</f>
        <v/>
      </c>
      <c r="CX407" t="str">
        <f>""</f>
        <v/>
      </c>
      <c r="CY407" t="str">
        <f>""</f>
        <v/>
      </c>
      <c r="CZ407" t="str">
        <f>""</f>
        <v/>
      </c>
      <c r="DA407" t="str">
        <f>""</f>
        <v/>
      </c>
      <c r="DB407" t="str">
        <f>""</f>
        <v/>
      </c>
      <c r="DC407" t="str">
        <f>""</f>
        <v/>
      </c>
      <c r="DD407" t="str">
        <f>""</f>
        <v/>
      </c>
      <c r="DE407" t="str">
        <f>""</f>
        <v/>
      </c>
      <c r="DF407" t="str">
        <f>""</f>
        <v/>
      </c>
      <c r="DG407" t="str">
        <f>""</f>
        <v/>
      </c>
      <c r="DH407" t="str">
        <f>""</f>
        <v/>
      </c>
      <c r="DI407" t="str">
        <f>""</f>
        <v/>
      </c>
      <c r="DJ407" t="str">
        <f>""</f>
        <v/>
      </c>
      <c r="DK407" t="str">
        <f>""</f>
        <v/>
      </c>
      <c r="DL407" t="str">
        <f>""</f>
        <v/>
      </c>
      <c r="DM407" t="str">
        <f>""</f>
        <v/>
      </c>
      <c r="DN407" t="str">
        <f>""</f>
        <v/>
      </c>
      <c r="DO407" t="str">
        <f>""</f>
        <v/>
      </c>
      <c r="DP407" t="str">
        <f>""</f>
        <v/>
      </c>
      <c r="DQ407" t="str">
        <f>""</f>
        <v/>
      </c>
      <c r="DR407" t="str">
        <f>""</f>
        <v/>
      </c>
      <c r="DS407" t="str">
        <f>""</f>
        <v/>
      </c>
      <c r="DT407" t="str">
        <f>""</f>
        <v/>
      </c>
      <c r="DU407" t="str">
        <f>""</f>
        <v/>
      </c>
    </row>
    <row r="408" spans="1:125" x14ac:dyDescent="0.25">
      <c r="A408" t="str">
        <f>"BDH snapshot result0"</f>
        <v>BDH snapshot result0</v>
      </c>
      <c r="BN408" t="str">
        <f>""</f>
        <v/>
      </c>
      <c r="BO408" t="str">
        <f>""</f>
        <v/>
      </c>
      <c r="BP408" t="str">
        <f>""</f>
        <v/>
      </c>
      <c r="BQ408" t="str">
        <f>""</f>
        <v/>
      </c>
      <c r="BR408" t="str">
        <f>""</f>
        <v/>
      </c>
      <c r="BS408" t="str">
        <f>""</f>
        <v/>
      </c>
      <c r="BT408" t="str">
        <f>""</f>
        <v/>
      </c>
      <c r="BU408" t="str">
        <f>""</f>
        <v/>
      </c>
      <c r="BV408" t="str">
        <f>""</f>
        <v/>
      </c>
      <c r="BW408" t="str">
        <f>""</f>
        <v/>
      </c>
      <c r="BX408" t="str">
        <f>""</f>
        <v/>
      </c>
      <c r="BY408" t="str">
        <f>""</f>
        <v/>
      </c>
      <c r="BZ408" t="str">
        <f>""</f>
        <v/>
      </c>
      <c r="CA408" t="str">
        <f>""</f>
        <v/>
      </c>
      <c r="CB408" t="str">
        <f>""</f>
        <v/>
      </c>
      <c r="CC408" t="str">
        <f>""</f>
        <v/>
      </c>
      <c r="CD408" t="str">
        <f>""</f>
        <v/>
      </c>
      <c r="CE408" t="str">
        <f>""</f>
        <v/>
      </c>
      <c r="CF408" t="str">
        <f>""</f>
        <v/>
      </c>
      <c r="CG408" t="str">
        <f>""</f>
        <v/>
      </c>
      <c r="CH408" t="str">
        <f>""</f>
        <v/>
      </c>
      <c r="CI408" t="str">
        <f>""</f>
        <v/>
      </c>
      <c r="CJ408" t="str">
        <f>""</f>
        <v/>
      </c>
      <c r="CK408" t="str">
        <f>""</f>
        <v/>
      </c>
      <c r="CL408" t="str">
        <f>""</f>
        <v/>
      </c>
      <c r="CM408" t="str">
        <f>""</f>
        <v/>
      </c>
      <c r="CN408" t="str">
        <f>""</f>
        <v/>
      </c>
      <c r="CO408" t="str">
        <f>""</f>
        <v/>
      </c>
      <c r="CP408" t="str">
        <f>""</f>
        <v/>
      </c>
      <c r="CQ408" t="str">
        <f>""</f>
        <v/>
      </c>
      <c r="CR408" t="str">
        <f>""</f>
        <v/>
      </c>
      <c r="CS408" t="str">
        <f>""</f>
        <v/>
      </c>
      <c r="CT408" t="str">
        <f>""</f>
        <v/>
      </c>
      <c r="CU408" t="str">
        <f>""</f>
        <v/>
      </c>
      <c r="CV408" t="str">
        <f>""</f>
        <v/>
      </c>
      <c r="CW408" t="str">
        <f>""</f>
        <v/>
      </c>
      <c r="CX408" t="str">
        <f>""</f>
        <v/>
      </c>
      <c r="CY408" t="str">
        <f>""</f>
        <v/>
      </c>
      <c r="CZ408" t="str">
        <f>""</f>
        <v/>
      </c>
      <c r="DA408" t="str">
        <f>""</f>
        <v/>
      </c>
      <c r="DB408" t="str">
        <f>""</f>
        <v/>
      </c>
      <c r="DC408" t="str">
        <f>""</f>
        <v/>
      </c>
      <c r="DD408" t="str">
        <f>""</f>
        <v/>
      </c>
      <c r="DE408" t="str">
        <f>""</f>
        <v/>
      </c>
      <c r="DF408" t="str">
        <f>""</f>
        <v/>
      </c>
      <c r="DG408" t="str">
        <f>""</f>
        <v/>
      </c>
      <c r="DH408" t="str">
        <f>""</f>
        <v/>
      </c>
      <c r="DI408" t="str">
        <f>""</f>
        <v/>
      </c>
      <c r="DJ408" t="str">
        <f>""</f>
        <v/>
      </c>
      <c r="DK408" t="str">
        <f>""</f>
        <v/>
      </c>
      <c r="DL408" t="str">
        <f>""</f>
        <v/>
      </c>
      <c r="DM408" t="str">
        <f>""</f>
        <v/>
      </c>
      <c r="DN408" t="str">
        <f>""</f>
        <v/>
      </c>
      <c r="DO408" t="str">
        <f>""</f>
        <v/>
      </c>
      <c r="DP408" t="str">
        <f>""</f>
        <v/>
      </c>
      <c r="DQ408" t="str">
        <f>""</f>
        <v/>
      </c>
      <c r="DR408" t="str">
        <f>""</f>
        <v/>
      </c>
      <c r="DS408" t="str">
        <f>""</f>
        <v/>
      </c>
      <c r="DT408" t="str">
        <f>""</f>
        <v/>
      </c>
      <c r="DU408" t="str">
        <f>""</f>
        <v/>
      </c>
    </row>
    <row r="409" spans="1:125" x14ac:dyDescent="0.25">
      <c r="A409" t="str">
        <f>"BDH snapshot header1"</f>
        <v>BDH snapshot header1</v>
      </c>
      <c r="B409">
        <f>IF(OR(ISERROR($C$409),ISBLANK($C$409),ISNUMBER(SEARCH("N/A",$C$409) ),ISERROR($C$410),ISBLANK($C$410)),0,1)</f>
        <v>0</v>
      </c>
      <c r="C409" t="str">
        <f>_xll.BDH($B$5,$C$5,$B$206,$B$405,"PER=CQ","Dts=S","DtFmt=FI", "rows=2","Dir=H","Points=60","Sort=R","Days=A","Fill=B","FX=EUR" )</f>
        <v>#N/A Invalid Parameter: Invalid override field id specified</v>
      </c>
      <c r="BN409" t="str">
        <f>""</f>
        <v/>
      </c>
      <c r="BO409" t="str">
        <f>""</f>
        <v/>
      </c>
      <c r="BP409" t="str">
        <f>""</f>
        <v/>
      </c>
      <c r="BQ409" t="str">
        <f>""</f>
        <v/>
      </c>
      <c r="BR409" t="str">
        <f>""</f>
        <v/>
      </c>
      <c r="BS409" t="str">
        <f>""</f>
        <v/>
      </c>
      <c r="BT409" t="str">
        <f>""</f>
        <v/>
      </c>
      <c r="BU409" t="str">
        <f>""</f>
        <v/>
      </c>
      <c r="BV409" t="str">
        <f>""</f>
        <v/>
      </c>
      <c r="BW409" t="str">
        <f>""</f>
        <v/>
      </c>
      <c r="BX409" t="str">
        <f>""</f>
        <v/>
      </c>
      <c r="BY409" t="str">
        <f>""</f>
        <v/>
      </c>
      <c r="BZ409" t="str">
        <f>""</f>
        <v/>
      </c>
      <c r="CA409" t="str">
        <f>""</f>
        <v/>
      </c>
      <c r="CB409" t="str">
        <f>""</f>
        <v/>
      </c>
      <c r="CC409" t="str">
        <f>""</f>
        <v/>
      </c>
      <c r="CD409" t="str">
        <f>""</f>
        <v/>
      </c>
      <c r="CE409" t="str">
        <f>""</f>
        <v/>
      </c>
      <c r="CF409" t="str">
        <f>""</f>
        <v/>
      </c>
      <c r="CG409" t="str">
        <f>""</f>
        <v/>
      </c>
      <c r="CH409" t="str">
        <f>""</f>
        <v/>
      </c>
      <c r="CI409" t="str">
        <f>""</f>
        <v/>
      </c>
      <c r="CJ409" t="str">
        <f>""</f>
        <v/>
      </c>
      <c r="CK409" t="str">
        <f>""</f>
        <v/>
      </c>
      <c r="CL409" t="str">
        <f>""</f>
        <v/>
      </c>
      <c r="CM409" t="str">
        <f>""</f>
        <v/>
      </c>
      <c r="CN409" t="str">
        <f>""</f>
        <v/>
      </c>
      <c r="CO409" t="str">
        <f>""</f>
        <v/>
      </c>
      <c r="CP409" t="str">
        <f>""</f>
        <v/>
      </c>
      <c r="CQ409" t="str">
        <f>""</f>
        <v/>
      </c>
      <c r="CR409" t="str">
        <f>""</f>
        <v/>
      </c>
      <c r="CS409" t="str">
        <f>""</f>
        <v/>
      </c>
      <c r="CT409" t="str">
        <f>""</f>
        <v/>
      </c>
      <c r="CU409" t="str">
        <f>""</f>
        <v/>
      </c>
      <c r="CV409" t="str">
        <f>""</f>
        <v/>
      </c>
      <c r="CW409" t="str">
        <f>""</f>
        <v/>
      </c>
      <c r="CX409" t="str">
        <f>""</f>
        <v/>
      </c>
      <c r="CY409" t="str">
        <f>""</f>
        <v/>
      </c>
      <c r="CZ409" t="str">
        <f>""</f>
        <v/>
      </c>
      <c r="DA409" t="str">
        <f>""</f>
        <v/>
      </c>
      <c r="DB409" t="str">
        <f>""</f>
        <v/>
      </c>
      <c r="DC409" t="str">
        <f>""</f>
        <v/>
      </c>
      <c r="DD409" t="str">
        <f>""</f>
        <v/>
      </c>
      <c r="DE409" t="str">
        <f>""</f>
        <v/>
      </c>
      <c r="DF409" t="str">
        <f>""</f>
        <v/>
      </c>
      <c r="DG409" t="str">
        <f>""</f>
        <v/>
      </c>
      <c r="DH409" t="str">
        <f>""</f>
        <v/>
      </c>
      <c r="DI409" t="str">
        <f>""</f>
        <v/>
      </c>
      <c r="DJ409" t="str">
        <f>""</f>
        <v/>
      </c>
      <c r="DK409" t="str">
        <f>""</f>
        <v/>
      </c>
      <c r="DL409" t="str">
        <f>""</f>
        <v/>
      </c>
      <c r="DM409" t="str">
        <f>""</f>
        <v/>
      </c>
      <c r="DN409" t="str">
        <f>""</f>
        <v/>
      </c>
      <c r="DO409" t="str">
        <f>""</f>
        <v/>
      </c>
      <c r="DP409" t="str">
        <f>""</f>
        <v/>
      </c>
      <c r="DQ409" t="str">
        <f>""</f>
        <v/>
      </c>
      <c r="DR409" t="str">
        <f>""</f>
        <v/>
      </c>
      <c r="DS409" t="str">
        <f>""</f>
        <v/>
      </c>
      <c r="DT409" t="str">
        <f>""</f>
        <v/>
      </c>
      <c r="DU409" t="str">
        <f>""</f>
        <v/>
      </c>
    </row>
    <row r="410" spans="1:125" x14ac:dyDescent="0.25">
      <c r="A410" t="str">
        <f>"BDH snapshot result1"</f>
        <v>BDH snapshot result1</v>
      </c>
      <c r="BN410" t="str">
        <f>""</f>
        <v/>
      </c>
      <c r="BO410" t="str">
        <f>""</f>
        <v/>
      </c>
      <c r="BP410" t="str">
        <f>""</f>
        <v/>
      </c>
      <c r="BQ410" t="str">
        <f>""</f>
        <v/>
      </c>
      <c r="BR410" t="str">
        <f>""</f>
        <v/>
      </c>
      <c r="BS410" t="str">
        <f>""</f>
        <v/>
      </c>
      <c r="BT410" t="str">
        <f>""</f>
        <v/>
      </c>
      <c r="BU410" t="str">
        <f>""</f>
        <v/>
      </c>
      <c r="BV410" t="str">
        <f>""</f>
        <v/>
      </c>
      <c r="BW410" t="str">
        <f>""</f>
        <v/>
      </c>
      <c r="BX410" t="str">
        <f>""</f>
        <v/>
      </c>
      <c r="BY410" t="str">
        <f>""</f>
        <v/>
      </c>
      <c r="BZ410" t="str">
        <f>""</f>
        <v/>
      </c>
      <c r="CA410" t="str">
        <f>""</f>
        <v/>
      </c>
      <c r="CB410" t="str">
        <f>""</f>
        <v/>
      </c>
      <c r="CC410" t="str">
        <f>""</f>
        <v/>
      </c>
      <c r="CD410" t="str">
        <f>""</f>
        <v/>
      </c>
      <c r="CE410" t="str">
        <f>""</f>
        <v/>
      </c>
      <c r="CF410" t="str">
        <f>""</f>
        <v/>
      </c>
      <c r="CG410" t="str">
        <f>""</f>
        <v/>
      </c>
      <c r="CH410" t="str">
        <f>""</f>
        <v/>
      </c>
      <c r="CI410" t="str">
        <f>""</f>
        <v/>
      </c>
      <c r="CJ410" t="str">
        <f>""</f>
        <v/>
      </c>
      <c r="CK410" t="str">
        <f>""</f>
        <v/>
      </c>
      <c r="CL410" t="str">
        <f>""</f>
        <v/>
      </c>
      <c r="CM410" t="str">
        <f>""</f>
        <v/>
      </c>
      <c r="CN410" t="str">
        <f>""</f>
        <v/>
      </c>
      <c r="CO410" t="str">
        <f>""</f>
        <v/>
      </c>
      <c r="CP410" t="str">
        <f>""</f>
        <v/>
      </c>
      <c r="CQ410" t="str">
        <f>""</f>
        <v/>
      </c>
      <c r="CR410" t="str">
        <f>""</f>
        <v/>
      </c>
      <c r="CS410" t="str">
        <f>""</f>
        <v/>
      </c>
      <c r="CT410" t="str">
        <f>""</f>
        <v/>
      </c>
      <c r="CU410" t="str">
        <f>""</f>
        <v/>
      </c>
      <c r="CV410" t="str">
        <f>""</f>
        <v/>
      </c>
      <c r="CW410" t="str">
        <f>""</f>
        <v/>
      </c>
      <c r="CX410" t="str">
        <f>""</f>
        <v/>
      </c>
      <c r="CY410" t="str">
        <f>""</f>
        <v/>
      </c>
      <c r="CZ410" t="str">
        <f>""</f>
        <v/>
      </c>
      <c r="DA410" t="str">
        <f>""</f>
        <v/>
      </c>
      <c r="DB410" t="str">
        <f>""</f>
        <v/>
      </c>
      <c r="DC410" t="str">
        <f>""</f>
        <v/>
      </c>
      <c r="DD410" t="str">
        <f>""</f>
        <v/>
      </c>
      <c r="DE410" t="str">
        <f>""</f>
        <v/>
      </c>
      <c r="DF410" t="str">
        <f>""</f>
        <v/>
      </c>
      <c r="DG410" t="str">
        <f>""</f>
        <v/>
      </c>
      <c r="DH410" t="str">
        <f>""</f>
        <v/>
      </c>
      <c r="DI410" t="str">
        <f>""</f>
        <v/>
      </c>
      <c r="DJ410" t="str">
        <f>""</f>
        <v/>
      </c>
      <c r="DK410" t="str">
        <f>""</f>
        <v/>
      </c>
      <c r="DL410" t="str">
        <f>""</f>
        <v/>
      </c>
      <c r="DM410" t="str">
        <f>""</f>
        <v/>
      </c>
      <c r="DN410" t="str">
        <f>""</f>
        <v/>
      </c>
      <c r="DO410" t="str">
        <f>""</f>
        <v/>
      </c>
      <c r="DP410" t="str">
        <f>""</f>
        <v/>
      </c>
      <c r="DQ410" t="str">
        <f>""</f>
        <v/>
      </c>
      <c r="DR410" t="str">
        <f>""</f>
        <v/>
      </c>
      <c r="DS410" t="str">
        <f>""</f>
        <v/>
      </c>
      <c r="DT410" t="str">
        <f>""</f>
        <v/>
      </c>
      <c r="DU410" t="str">
        <f>""</f>
        <v/>
      </c>
    </row>
    <row r="411" spans="1:125" x14ac:dyDescent="0.25">
      <c r="A411" t="str">
        <f>"BDH snapshot header2"</f>
        <v>BDH snapshot header2</v>
      </c>
      <c r="B411">
        <f>IF(OR(ISERROR($C$411),ISBLANK($C$411),ISNUMBER(SEARCH("N/A",$C$411) ),ISERROR($C$412),ISBLANK($C$412)),0,1)</f>
        <v>0</v>
      </c>
      <c r="C411" t="str">
        <f>_xll.BDH($B$6,$C$6,$B$206,$B$405,"PER=CQ","Dts=S","DtFmt=FI", "rows=2","Dir=H","Points=60","Sort=R","Days=A","Fill=B","FX=EUR" )</f>
        <v>#N/A Invalid Parameter: Invalid override field id specified</v>
      </c>
      <c r="BN411" t="str">
        <f>""</f>
        <v/>
      </c>
      <c r="BO411" t="str">
        <f>""</f>
        <v/>
      </c>
      <c r="BP411" t="str">
        <f>""</f>
        <v/>
      </c>
      <c r="BQ411" t="str">
        <f>""</f>
        <v/>
      </c>
      <c r="BR411" t="str">
        <f>""</f>
        <v/>
      </c>
      <c r="BS411" t="str">
        <f>""</f>
        <v/>
      </c>
      <c r="BT411" t="str">
        <f>""</f>
        <v/>
      </c>
      <c r="BU411" t="str">
        <f>""</f>
        <v/>
      </c>
      <c r="BV411" t="str">
        <f>""</f>
        <v/>
      </c>
      <c r="BW411" t="str">
        <f>""</f>
        <v/>
      </c>
      <c r="BX411" t="str">
        <f>""</f>
        <v/>
      </c>
      <c r="BY411" t="str">
        <f>""</f>
        <v/>
      </c>
      <c r="BZ411" t="str">
        <f>""</f>
        <v/>
      </c>
      <c r="CA411" t="str">
        <f>""</f>
        <v/>
      </c>
      <c r="CB411" t="str">
        <f>""</f>
        <v/>
      </c>
      <c r="CC411" t="str">
        <f>""</f>
        <v/>
      </c>
      <c r="CD411" t="str">
        <f>""</f>
        <v/>
      </c>
      <c r="CE411" t="str">
        <f>""</f>
        <v/>
      </c>
      <c r="CF411" t="str">
        <f>""</f>
        <v/>
      </c>
      <c r="CG411" t="str">
        <f>""</f>
        <v/>
      </c>
      <c r="CH411" t="str">
        <f>""</f>
        <v/>
      </c>
      <c r="CI411" t="str">
        <f>""</f>
        <v/>
      </c>
      <c r="CJ411" t="str">
        <f>""</f>
        <v/>
      </c>
      <c r="CK411" t="str">
        <f>""</f>
        <v/>
      </c>
      <c r="CL411" t="str">
        <f>""</f>
        <v/>
      </c>
      <c r="CM411" t="str">
        <f>""</f>
        <v/>
      </c>
      <c r="CN411" t="str">
        <f>""</f>
        <v/>
      </c>
      <c r="CO411" t="str">
        <f>""</f>
        <v/>
      </c>
      <c r="CP411" t="str">
        <f>""</f>
        <v/>
      </c>
      <c r="CQ411" t="str">
        <f>""</f>
        <v/>
      </c>
      <c r="CR411" t="str">
        <f>""</f>
        <v/>
      </c>
      <c r="CS411" t="str">
        <f>""</f>
        <v/>
      </c>
      <c r="CT411" t="str">
        <f>""</f>
        <v/>
      </c>
      <c r="CU411" t="str">
        <f>""</f>
        <v/>
      </c>
      <c r="CV411" t="str">
        <f>""</f>
        <v/>
      </c>
      <c r="CW411" t="str">
        <f>""</f>
        <v/>
      </c>
      <c r="CX411" t="str">
        <f>""</f>
        <v/>
      </c>
      <c r="CY411" t="str">
        <f>""</f>
        <v/>
      </c>
      <c r="CZ411" t="str">
        <f>""</f>
        <v/>
      </c>
      <c r="DA411" t="str">
        <f>""</f>
        <v/>
      </c>
      <c r="DB411" t="str">
        <f>""</f>
        <v/>
      </c>
      <c r="DC411" t="str">
        <f>""</f>
        <v/>
      </c>
      <c r="DD411" t="str">
        <f>""</f>
        <v/>
      </c>
      <c r="DE411" t="str">
        <f>""</f>
        <v/>
      </c>
      <c r="DF411" t="str">
        <f>""</f>
        <v/>
      </c>
      <c r="DG411" t="str">
        <f>""</f>
        <v/>
      </c>
      <c r="DH411" t="str">
        <f>""</f>
        <v/>
      </c>
      <c r="DI411" t="str">
        <f>""</f>
        <v/>
      </c>
      <c r="DJ411" t="str">
        <f>""</f>
        <v/>
      </c>
      <c r="DK411" t="str">
        <f>""</f>
        <v/>
      </c>
      <c r="DL411" t="str">
        <f>""</f>
        <v/>
      </c>
      <c r="DM411" t="str">
        <f>""</f>
        <v/>
      </c>
      <c r="DN411" t="str">
        <f>""</f>
        <v/>
      </c>
      <c r="DO411" t="str">
        <f>""</f>
        <v/>
      </c>
      <c r="DP411" t="str">
        <f>""</f>
        <v/>
      </c>
      <c r="DQ411" t="str">
        <f>""</f>
        <v/>
      </c>
      <c r="DR411" t="str">
        <f>""</f>
        <v/>
      </c>
      <c r="DS411" t="str">
        <f>""</f>
        <v/>
      </c>
      <c r="DT411" t="str">
        <f>""</f>
        <v/>
      </c>
      <c r="DU411" t="str">
        <f>""</f>
        <v/>
      </c>
    </row>
    <row r="412" spans="1:125" x14ac:dyDescent="0.25">
      <c r="A412" t="str">
        <f>"BDH snapshot result2"</f>
        <v>BDH snapshot result2</v>
      </c>
      <c r="BN412" t="str">
        <f>""</f>
        <v/>
      </c>
      <c r="BO412" t="str">
        <f>""</f>
        <v/>
      </c>
      <c r="BP412" t="str">
        <f>""</f>
        <v/>
      </c>
      <c r="BQ412" t="str">
        <f>""</f>
        <v/>
      </c>
      <c r="BR412" t="str">
        <f>""</f>
        <v/>
      </c>
      <c r="BS412" t="str">
        <f>""</f>
        <v/>
      </c>
      <c r="BT412" t="str">
        <f>""</f>
        <v/>
      </c>
      <c r="BU412" t="str">
        <f>""</f>
        <v/>
      </c>
      <c r="BV412" t="str">
        <f>""</f>
        <v/>
      </c>
      <c r="BW412" t="str">
        <f>""</f>
        <v/>
      </c>
      <c r="BX412" t="str">
        <f>""</f>
        <v/>
      </c>
      <c r="BY412" t="str">
        <f>""</f>
        <v/>
      </c>
      <c r="BZ412" t="str">
        <f>""</f>
        <v/>
      </c>
      <c r="CA412" t="str">
        <f>""</f>
        <v/>
      </c>
      <c r="CB412" t="str">
        <f>""</f>
        <v/>
      </c>
      <c r="CC412" t="str">
        <f>""</f>
        <v/>
      </c>
      <c r="CD412" t="str">
        <f>""</f>
        <v/>
      </c>
      <c r="CE412" t="str">
        <f>""</f>
        <v/>
      </c>
      <c r="CF412" t="str">
        <f>""</f>
        <v/>
      </c>
      <c r="CG412" t="str">
        <f>""</f>
        <v/>
      </c>
      <c r="CH412" t="str">
        <f>""</f>
        <v/>
      </c>
      <c r="CI412" t="str">
        <f>""</f>
        <v/>
      </c>
      <c r="CJ412" t="str">
        <f>""</f>
        <v/>
      </c>
      <c r="CK412" t="str">
        <f>""</f>
        <v/>
      </c>
      <c r="CL412" t="str">
        <f>""</f>
        <v/>
      </c>
      <c r="CM412" t="str">
        <f>""</f>
        <v/>
      </c>
      <c r="CN412" t="str">
        <f>""</f>
        <v/>
      </c>
      <c r="CO412" t="str">
        <f>""</f>
        <v/>
      </c>
      <c r="CP412" t="str">
        <f>""</f>
        <v/>
      </c>
      <c r="CQ412" t="str">
        <f>""</f>
        <v/>
      </c>
      <c r="CR412" t="str">
        <f>""</f>
        <v/>
      </c>
      <c r="CS412" t="str">
        <f>""</f>
        <v/>
      </c>
      <c r="CT412" t="str">
        <f>""</f>
        <v/>
      </c>
      <c r="CU412" t="str">
        <f>""</f>
        <v/>
      </c>
      <c r="CV412" t="str">
        <f>""</f>
        <v/>
      </c>
      <c r="CW412" t="str">
        <f>""</f>
        <v/>
      </c>
      <c r="CX412" t="str">
        <f>""</f>
        <v/>
      </c>
      <c r="CY412" t="str">
        <f>""</f>
        <v/>
      </c>
      <c r="CZ412" t="str">
        <f>""</f>
        <v/>
      </c>
      <c r="DA412" t="str">
        <f>""</f>
        <v/>
      </c>
      <c r="DB412" t="str">
        <f>""</f>
        <v/>
      </c>
      <c r="DC412" t="str">
        <f>""</f>
        <v/>
      </c>
      <c r="DD412" t="str">
        <f>""</f>
        <v/>
      </c>
      <c r="DE412" t="str">
        <f>""</f>
        <v/>
      </c>
      <c r="DF412" t="str">
        <f>""</f>
        <v/>
      </c>
      <c r="DG412" t="str">
        <f>""</f>
        <v/>
      </c>
      <c r="DH412" t="str">
        <f>""</f>
        <v/>
      </c>
      <c r="DI412" t="str">
        <f>""</f>
        <v/>
      </c>
      <c r="DJ412" t="str">
        <f>""</f>
        <v/>
      </c>
      <c r="DK412" t="str">
        <f>""</f>
        <v/>
      </c>
      <c r="DL412" t="str">
        <f>""</f>
        <v/>
      </c>
      <c r="DM412" t="str">
        <f>""</f>
        <v/>
      </c>
      <c r="DN412" t="str">
        <f>""</f>
        <v/>
      </c>
      <c r="DO412" t="str">
        <f>""</f>
        <v/>
      </c>
      <c r="DP412" t="str">
        <f>""</f>
        <v/>
      </c>
      <c r="DQ412" t="str">
        <f>""</f>
        <v/>
      </c>
      <c r="DR412" t="str">
        <f>""</f>
        <v/>
      </c>
      <c r="DS412" t="str">
        <f>""</f>
        <v/>
      </c>
      <c r="DT412" t="str">
        <f>""</f>
        <v/>
      </c>
      <c r="DU412" t="str">
        <f>""</f>
        <v/>
      </c>
    </row>
    <row r="413" spans="1:125" x14ac:dyDescent="0.25">
      <c r="A413" t="str">
        <f>"BDH snapshot"</f>
        <v>BDH snapshot</v>
      </c>
      <c r="B413">
        <f>IF($B$407&gt;=1,$B$407,IF($B$409&gt;=1,$B$409,IF($B$411&gt;=1,$B$411,$B$406)))</f>
        <v>2</v>
      </c>
      <c r="C413" t="str">
        <f>IF($B$407&gt;=1,$C$407,IF($B$409&gt;=1,$C$409,IF($B$411&gt;=1,$C$411,$C$406)))</f>
        <v>2024 Q4</v>
      </c>
      <c r="D413" t="str">
        <f>IF($B$407&gt;=1,$D$407,IF($B$409&gt;=1,$D$409,IF($B$411&gt;=1,$D$411,$D$406)))</f>
        <v>2024 Q3</v>
      </c>
      <c r="E413" t="str">
        <f>IF($B$407&gt;=1,$E$407,IF($B$409&gt;=1,$E$409,IF($B$411&gt;=1,$E$411,$E$406)))</f>
        <v>2024 Q2</v>
      </c>
      <c r="F413" t="str">
        <f>IF($B$407&gt;=1,$F$407,IF($B$409&gt;=1,$F$409,IF($B$411&gt;=1,$F$411,$F$406)))</f>
        <v>2024 Q1</v>
      </c>
      <c r="G413" t="str">
        <f>IF($B$407&gt;=1,$G$407,IF($B$409&gt;=1,$G$409,IF($B$411&gt;=1,$G$411,$G$406)))</f>
        <v>2023 Q4</v>
      </c>
      <c r="H413" t="str">
        <f>IF($B$407&gt;=1,$H$407,IF($B$409&gt;=1,$H$409,IF($B$411&gt;=1,$H$411,$H$406)))</f>
        <v>2023 Q3</v>
      </c>
      <c r="I413" t="str">
        <f>IF($B$407&gt;=1,$I$407,IF($B$409&gt;=1,$I$409,IF($B$411&gt;=1,$I$411,$I$406)))</f>
        <v>2023 Q2</v>
      </c>
      <c r="J413" t="str">
        <f>IF($B$407&gt;=1,$J$407,IF($B$409&gt;=1,$J$409,IF($B$411&gt;=1,$J$411,$J$406)))</f>
        <v>2023 Q1</v>
      </c>
      <c r="K413" t="str">
        <f>IF($B$407&gt;=1,$K$407,IF($B$409&gt;=1,$K$409,IF($B$411&gt;=1,$K$411,$K$406)))</f>
        <v>2022 Q4</v>
      </c>
      <c r="L413" t="str">
        <f>IF($B$407&gt;=1,$L$407,IF($B$409&gt;=1,$L$409,IF($B$411&gt;=1,$L$411,$L$406)))</f>
        <v>2022 Q3</v>
      </c>
      <c r="M413" t="str">
        <f>IF($B$407&gt;=1,$M$407,IF($B$409&gt;=1,$M$409,IF($B$411&gt;=1,$M$411,$M$406)))</f>
        <v>2022 Q2</v>
      </c>
      <c r="N413" t="str">
        <f>IF($B$407&gt;=1,$N$407,IF($B$409&gt;=1,$N$409,IF($B$411&gt;=1,$N$411,$N$406)))</f>
        <v>2022 Q1</v>
      </c>
      <c r="O413" t="str">
        <f>IF($B$407&gt;=1,$O$407,IF($B$409&gt;=1,$O$409,IF($B$411&gt;=1,$O$411,$O$406)))</f>
        <v>2021 Q4</v>
      </c>
      <c r="P413" t="str">
        <f>IF($B$407&gt;=1,$P$407,IF($B$409&gt;=1,$P$409,IF($B$411&gt;=1,$P$411,$P$406)))</f>
        <v>2021 Q3</v>
      </c>
      <c r="Q413" t="str">
        <f>IF($B$407&gt;=1,$Q$407,IF($B$409&gt;=1,$Q$409,IF($B$411&gt;=1,$Q$411,$Q$406)))</f>
        <v>2021 Q2</v>
      </c>
      <c r="R413" t="str">
        <f>IF($B$407&gt;=1,$R$407,IF($B$409&gt;=1,$R$409,IF($B$411&gt;=1,$R$411,$R$406)))</f>
        <v>2021 Q1</v>
      </c>
      <c r="S413" t="str">
        <f>IF($B$407&gt;=1,$S$407,IF($B$409&gt;=1,$S$409,IF($B$411&gt;=1,$S$411,$S$406)))</f>
        <v>2020 Q4</v>
      </c>
      <c r="T413" t="str">
        <f>IF($B$407&gt;=1,$T$407,IF($B$409&gt;=1,$T$409,IF($B$411&gt;=1,$T$411,$T$406)))</f>
        <v>2020 Q3</v>
      </c>
      <c r="U413" t="str">
        <f>IF($B$407&gt;=1,$U$407,IF($B$409&gt;=1,$U$409,IF($B$411&gt;=1,$U$411,$U$406)))</f>
        <v>2020 Q2</v>
      </c>
      <c r="V413" t="str">
        <f>IF($B$407&gt;=1,$V$407,IF($B$409&gt;=1,$V$409,IF($B$411&gt;=1,$V$411,$V$406)))</f>
        <v>2020 Q1</v>
      </c>
      <c r="W413" t="str">
        <f>IF($B$407&gt;=1,$W$407,IF($B$409&gt;=1,$W$409,IF($B$411&gt;=1,$W$411,$W$406)))</f>
        <v>2019 Q4</v>
      </c>
      <c r="X413" t="str">
        <f>IF($B$407&gt;=1,$X$407,IF($B$409&gt;=1,$X$409,IF($B$411&gt;=1,$X$411,$X$406)))</f>
        <v>2019 Q3</v>
      </c>
      <c r="Y413" t="str">
        <f>IF($B$407&gt;=1,$Y$407,IF($B$409&gt;=1,$Y$409,IF($B$411&gt;=1,$Y$411,$Y$406)))</f>
        <v>2019 Q2</v>
      </c>
      <c r="Z413" t="str">
        <f>IF($B$407&gt;=1,$Z$407,IF($B$409&gt;=1,$Z$409,IF($B$411&gt;=1,$Z$411,$Z$406)))</f>
        <v>2019 Q1</v>
      </c>
      <c r="AA413" t="str">
        <f>IF($B$407&gt;=1,$AA$407,IF($B$409&gt;=1,$AA$409,IF($B$411&gt;=1,$AA$411,$AA$406)))</f>
        <v>2018 Q4</v>
      </c>
      <c r="AB413" t="str">
        <f>IF($B$407&gt;=1,$AB$407,IF($B$409&gt;=1,$AB$409,IF($B$411&gt;=1,$AB$411,$AB$406)))</f>
        <v>2018 Q3</v>
      </c>
      <c r="AC413" t="str">
        <f>IF($B$407&gt;=1,$AC$407,IF($B$409&gt;=1,$AC$409,IF($B$411&gt;=1,$AC$411,$AC$406)))</f>
        <v>2018 Q2</v>
      </c>
      <c r="AD413" t="str">
        <f>IF($B$407&gt;=1,$AD$407,IF($B$409&gt;=1,$AD$409,IF($B$411&gt;=1,$AD$411,$AD$406)))</f>
        <v>2018 Q1</v>
      </c>
      <c r="AE413" t="str">
        <f>IF($B$407&gt;=1,$AE$407,IF($B$409&gt;=1,$AE$409,IF($B$411&gt;=1,$AE$411,$AE$406)))</f>
        <v>2017 Q4</v>
      </c>
      <c r="AF413" t="str">
        <f>IF($B$407&gt;=1,$AF$407,IF($B$409&gt;=1,$AF$409,IF($B$411&gt;=1,$AF$411,$AF$406)))</f>
        <v>2017 Q3</v>
      </c>
      <c r="AG413" t="str">
        <f>IF($B$407&gt;=1,$AG$407,IF($B$409&gt;=1,$AG$409,IF($B$411&gt;=1,$AG$411,$AG$406)))</f>
        <v>2017 Q2</v>
      </c>
      <c r="AH413" t="str">
        <f>IF($B$407&gt;=1,$AH$407,IF($B$409&gt;=1,$AH$409,IF($B$411&gt;=1,$AH$411,$AH$406)))</f>
        <v>2017 Q1</v>
      </c>
      <c r="AI413" t="str">
        <f>IF($B$407&gt;=1,$AI$407,IF($B$409&gt;=1,$AI$409,IF($B$411&gt;=1,$AI$411,$AI$406)))</f>
        <v>2016 Q4</v>
      </c>
      <c r="AJ413" t="str">
        <f>IF($B$407&gt;=1,$AJ$407,IF($B$409&gt;=1,$AJ$409,IF($B$411&gt;=1,$AJ$411,$AJ$406)))</f>
        <v>2016 Q3</v>
      </c>
      <c r="AK413" t="str">
        <f>IF($B$407&gt;=1,$AK$407,IF($B$409&gt;=1,$AK$409,IF($B$411&gt;=1,$AK$411,$AK$406)))</f>
        <v>2016 Q2</v>
      </c>
      <c r="AL413" t="str">
        <f>IF($B$407&gt;=1,$AL$407,IF($B$409&gt;=1,$AL$409,IF($B$411&gt;=1,$AL$411,$AL$406)))</f>
        <v>2016 Q1</v>
      </c>
      <c r="AM413" t="str">
        <f>IF($B$407&gt;=1,$AM$407,IF($B$409&gt;=1,$AM$409,IF($B$411&gt;=1,$AM$411,$AM$406)))</f>
        <v>2015 Q4</v>
      </c>
      <c r="AN413" t="str">
        <f>IF($B$407&gt;=1,$AN$407,IF($B$409&gt;=1,$AN$409,IF($B$411&gt;=1,$AN$411,$AN$406)))</f>
        <v>2015 Q3</v>
      </c>
      <c r="AO413" t="str">
        <f>IF($B$407&gt;=1,$AO$407,IF($B$409&gt;=1,$AO$409,IF($B$411&gt;=1,$AO$411,$AO$406)))</f>
        <v>2015 Q2</v>
      </c>
      <c r="AP413" t="str">
        <f>IF($B$407&gt;=1,$AP$407,IF($B$409&gt;=1,$AP$409,IF($B$411&gt;=1,$AP$411,$AP$406)))</f>
        <v>2015 Q1</v>
      </c>
      <c r="AQ413" t="str">
        <f>IF($B$407&gt;=1,$AQ$407,IF($B$409&gt;=1,$AQ$409,IF($B$411&gt;=1,$AQ$411,$AQ$406)))</f>
        <v>2014 Q4</v>
      </c>
      <c r="AR413" t="str">
        <f>IF($B$407&gt;=1,$AR$407,IF($B$409&gt;=1,$AR$409,IF($B$411&gt;=1,$AR$411,$AR$406)))</f>
        <v>2014 Q3</v>
      </c>
      <c r="AS413" t="str">
        <f>IF($B$407&gt;=1,$AS$407,IF($B$409&gt;=1,$AS$409,IF($B$411&gt;=1,$AS$411,$AS$406)))</f>
        <v>2014 Q2</v>
      </c>
      <c r="AT413" t="str">
        <f>IF($B$407&gt;=1,$AT$407,IF($B$409&gt;=1,$AT$409,IF($B$411&gt;=1,$AT$411,$AT$406)))</f>
        <v>2014 Q1</v>
      </c>
      <c r="AU413" t="str">
        <f>IF($B$407&gt;=1,$AU$407,IF($B$409&gt;=1,$AU$409,IF($B$411&gt;=1,$AU$411,$AU$406)))</f>
        <v>2013 Q4</v>
      </c>
      <c r="AV413" t="str">
        <f>IF($B$407&gt;=1,$AV$407,IF($B$409&gt;=1,$AV$409,IF($B$411&gt;=1,$AV$411,$AV$406)))</f>
        <v>2013 Q3</v>
      </c>
      <c r="AW413" t="str">
        <f>IF($B$407&gt;=1,$AW$407,IF($B$409&gt;=1,$AW$409,IF($B$411&gt;=1,$AW$411,$AW$406)))</f>
        <v>2013 Q2</v>
      </c>
      <c r="AX413" t="str">
        <f>IF($B$407&gt;=1,$AX$407,IF($B$409&gt;=1,$AX$409,IF($B$411&gt;=1,$AX$411,$AX$406)))</f>
        <v>2013 Q1</v>
      </c>
      <c r="AY413" t="str">
        <f>IF($B$407&gt;=1,$AY$407,IF($B$409&gt;=1,$AY$409,IF($B$411&gt;=1,$AY$411,$AY$406)))</f>
        <v>2012 Q4</v>
      </c>
      <c r="AZ413" t="str">
        <f>IF($B$407&gt;=1,$AZ$407,IF($B$409&gt;=1,$AZ$409,IF($B$411&gt;=1,$AZ$411,$AZ$406)))</f>
        <v>2012 Q3</v>
      </c>
      <c r="BA413" t="str">
        <f>IF($B$407&gt;=1,$BA$407,IF($B$409&gt;=1,$BA$409,IF($B$411&gt;=1,$BA$411,$BA$406)))</f>
        <v>2012 Q2</v>
      </c>
      <c r="BB413" t="str">
        <f>IF($B$407&gt;=1,$BB$407,IF($B$409&gt;=1,$BB$409,IF($B$411&gt;=1,$BB$411,$BB$406)))</f>
        <v>2012 Q1</v>
      </c>
      <c r="BC413" t="str">
        <f>IF($B$407&gt;=1,$BC$407,IF($B$409&gt;=1,$BC$409,IF($B$411&gt;=1,$BC$411,$BC$406)))</f>
        <v>2011 Q4</v>
      </c>
      <c r="BD413" t="str">
        <f>IF($B$407&gt;=1,$BD$407,IF($B$409&gt;=1,$BD$409,IF($B$411&gt;=1,$BD$411,$BD$406)))</f>
        <v>2011 Q3</v>
      </c>
      <c r="BE413" t="str">
        <f>IF($B$407&gt;=1,$BE$407,IF($B$409&gt;=1,$BE$409,IF($B$411&gt;=1,$BE$411,$BE$406)))</f>
        <v>2011 Q2</v>
      </c>
      <c r="BF413" t="str">
        <f>IF($B$407&gt;=1,$BF$407,IF($B$409&gt;=1,$BF$409,IF($B$411&gt;=1,$BF$411,$BF$406)))</f>
        <v>2011 Q1</v>
      </c>
      <c r="BG413" t="str">
        <f>IF($B$407&gt;=1,$BG$407,IF($B$409&gt;=1,$BG$409,IF($B$411&gt;=1,$BG$411,$BG$406)))</f>
        <v>2010 Q4</v>
      </c>
      <c r="BH413" t="str">
        <f>IF($B$407&gt;=1,$BH$407,IF($B$409&gt;=1,$BH$409,IF($B$411&gt;=1,$BH$411,$BH$406)))</f>
        <v>2010 Q3</v>
      </c>
      <c r="BI413" t="str">
        <f>IF($B$407&gt;=1,$BI$407,IF($B$409&gt;=1,$BI$409,IF($B$411&gt;=1,$BI$411,$BI$406)))</f>
        <v>2010 Q2</v>
      </c>
      <c r="BJ413" t="str">
        <f>IF($B$407&gt;=1,$BJ$407,IF($B$409&gt;=1,$BJ$409,IF($B$411&gt;=1,$BJ$411,$BJ$406)))</f>
        <v>2010 Q1</v>
      </c>
      <c r="BN413" t="str">
        <f>""</f>
        <v/>
      </c>
      <c r="BO413" t="str">
        <f>""</f>
        <v/>
      </c>
      <c r="BP413" t="str">
        <f>""</f>
        <v/>
      </c>
      <c r="BQ413" t="str">
        <f>""</f>
        <v/>
      </c>
      <c r="BR413" t="str">
        <f>""</f>
        <v/>
      </c>
      <c r="BS413" t="str">
        <f>""</f>
        <v/>
      </c>
      <c r="BT413" t="str">
        <f>""</f>
        <v/>
      </c>
      <c r="BU413" t="str">
        <f>""</f>
        <v/>
      </c>
      <c r="BV413" t="str">
        <f>""</f>
        <v/>
      </c>
      <c r="BW413" t="str">
        <f>""</f>
        <v/>
      </c>
      <c r="BX413" t="str">
        <f>""</f>
        <v/>
      </c>
      <c r="BY413" t="str">
        <f>""</f>
        <v/>
      </c>
      <c r="BZ413" t="str">
        <f>""</f>
        <v/>
      </c>
      <c r="CA413" t="str">
        <f>""</f>
        <v/>
      </c>
      <c r="CB413" t="str">
        <f>""</f>
        <v/>
      </c>
      <c r="CC413" t="str">
        <f>""</f>
        <v/>
      </c>
      <c r="CD413" t="str">
        <f>""</f>
        <v/>
      </c>
      <c r="CE413" t="str">
        <f>""</f>
        <v/>
      </c>
      <c r="CF413" t="str">
        <f>""</f>
        <v/>
      </c>
      <c r="CG413" t="str">
        <f>""</f>
        <v/>
      </c>
      <c r="CH413" t="str">
        <f>""</f>
        <v/>
      </c>
      <c r="CI413" t="str">
        <f>""</f>
        <v/>
      </c>
      <c r="CJ413" t="str">
        <f>""</f>
        <v/>
      </c>
      <c r="CK413" t="str">
        <f>""</f>
        <v/>
      </c>
      <c r="CL413" t="str">
        <f>""</f>
        <v/>
      </c>
      <c r="CM413" t="str">
        <f>""</f>
        <v/>
      </c>
      <c r="CN413" t="str">
        <f>""</f>
        <v/>
      </c>
      <c r="CO413" t="str">
        <f>""</f>
        <v/>
      </c>
      <c r="CP413" t="str">
        <f>""</f>
        <v/>
      </c>
      <c r="CQ413" t="str">
        <f>""</f>
        <v/>
      </c>
      <c r="CR413" t="str">
        <f>""</f>
        <v/>
      </c>
      <c r="CS413" t="str">
        <f>""</f>
        <v/>
      </c>
      <c r="CT413" t="str">
        <f>""</f>
        <v/>
      </c>
      <c r="CU413" t="str">
        <f>""</f>
        <v/>
      </c>
      <c r="CV413" t="str">
        <f>""</f>
        <v/>
      </c>
      <c r="CW413" t="str">
        <f>""</f>
        <v/>
      </c>
      <c r="CX413" t="str">
        <f>""</f>
        <v/>
      </c>
      <c r="CY413" t="str">
        <f>""</f>
        <v/>
      </c>
      <c r="CZ413" t="str">
        <f>""</f>
        <v/>
      </c>
      <c r="DA413" t="str">
        <f>""</f>
        <v/>
      </c>
      <c r="DB413" t="str">
        <f>""</f>
        <v/>
      </c>
      <c r="DC413" t="str">
        <f>""</f>
        <v/>
      </c>
      <c r="DD413" t="str">
        <f>""</f>
        <v/>
      </c>
      <c r="DE413" t="str">
        <f>""</f>
        <v/>
      </c>
      <c r="DF413" t="str">
        <f>""</f>
        <v/>
      </c>
      <c r="DG413" t="str">
        <f>""</f>
        <v/>
      </c>
      <c r="DH413" t="str">
        <f>""</f>
        <v/>
      </c>
      <c r="DI413" t="str">
        <f>""</f>
        <v/>
      </c>
      <c r="DJ413" t="str">
        <f>""</f>
        <v/>
      </c>
      <c r="DK413" t="str">
        <f>""</f>
        <v/>
      </c>
      <c r="DL413" t="str">
        <f>""</f>
        <v/>
      </c>
      <c r="DM413" t="str">
        <f>""</f>
        <v/>
      </c>
      <c r="DN413" t="str">
        <f>""</f>
        <v/>
      </c>
      <c r="DO413" t="str">
        <f>""</f>
        <v/>
      </c>
      <c r="DP413" t="str">
        <f>""</f>
        <v/>
      </c>
      <c r="DQ413" t="str">
        <f>""</f>
        <v/>
      </c>
      <c r="DR413" t="str">
        <f>""</f>
        <v/>
      </c>
      <c r="DS413" t="str">
        <f>""</f>
        <v/>
      </c>
      <c r="DT413" t="str">
        <f>""</f>
        <v/>
      </c>
      <c r="DU413" t="str">
        <f>""</f>
        <v/>
      </c>
    </row>
    <row r="414" spans="1:125" x14ac:dyDescent="0.25">
      <c r="A414" t="str">
        <f>"BDH snapshot title"</f>
        <v>BDH snapshot title</v>
      </c>
      <c r="B414">
        <f>$B$413</f>
        <v>2</v>
      </c>
      <c r="C414" t="str">
        <f>IF(LEN($C$413)&lt;&gt;8,$C$413,RIGHT($C$413,4)&amp;" "&amp;MID($C$413,3,1)&amp;LEFT($C$413,1))</f>
        <v>2024 Q4</v>
      </c>
      <c r="D414" t="str">
        <f>IF(LEN($D$413)&lt;&gt;8,$D$413,RIGHT($D$413,4)&amp;" "&amp;MID($D$413,3,1)&amp;LEFT($D$413,1))</f>
        <v>2024 Q3</v>
      </c>
      <c r="E414" t="str">
        <f>IF(LEN($E$413)&lt;&gt;8,$E$413,RIGHT($E$413,4)&amp;" "&amp;MID($E$413,3,1)&amp;LEFT($E$413,1))</f>
        <v>2024 Q2</v>
      </c>
      <c r="F414" t="str">
        <f>IF(LEN($F$413)&lt;&gt;8,$F$413,RIGHT($F$413,4)&amp;" "&amp;MID($F$413,3,1)&amp;LEFT($F$413,1))</f>
        <v>2024 Q1</v>
      </c>
      <c r="G414" t="str">
        <f>IF(LEN($G$413)&lt;&gt;8,$G$413,RIGHT($G$413,4)&amp;" "&amp;MID($G$413,3,1)&amp;LEFT($G$413,1))</f>
        <v>2023 Q4</v>
      </c>
      <c r="H414" t="str">
        <f>IF(LEN($H$413)&lt;&gt;8,$H$413,RIGHT($H$413,4)&amp;" "&amp;MID($H$413,3,1)&amp;LEFT($H$413,1))</f>
        <v>2023 Q3</v>
      </c>
      <c r="I414" t="str">
        <f>IF(LEN($I$413)&lt;&gt;8,$I$413,RIGHT($I$413,4)&amp;" "&amp;MID($I$413,3,1)&amp;LEFT($I$413,1))</f>
        <v>2023 Q2</v>
      </c>
      <c r="J414" t="str">
        <f>IF(LEN($J$413)&lt;&gt;8,$J$413,RIGHT($J$413,4)&amp;" "&amp;MID($J$413,3,1)&amp;LEFT($J$413,1))</f>
        <v>2023 Q1</v>
      </c>
      <c r="K414" t="str">
        <f>IF(LEN($K$413)&lt;&gt;8,$K$413,RIGHT($K$413,4)&amp;" "&amp;MID($K$413,3,1)&amp;LEFT($K$413,1))</f>
        <v>2022 Q4</v>
      </c>
      <c r="L414" t="str">
        <f>IF(LEN($L$413)&lt;&gt;8,$L$413,RIGHT($L$413,4)&amp;" "&amp;MID($L$413,3,1)&amp;LEFT($L$413,1))</f>
        <v>2022 Q3</v>
      </c>
      <c r="M414" t="str">
        <f>IF(LEN($M$413)&lt;&gt;8,$M$413,RIGHT($M$413,4)&amp;" "&amp;MID($M$413,3,1)&amp;LEFT($M$413,1))</f>
        <v>2022 Q2</v>
      </c>
      <c r="N414" t="str">
        <f>IF(LEN($N$413)&lt;&gt;8,$N$413,RIGHT($N$413,4)&amp;" "&amp;MID($N$413,3,1)&amp;LEFT($N$413,1))</f>
        <v>2022 Q1</v>
      </c>
      <c r="O414" t="str">
        <f>IF(LEN($O$413)&lt;&gt;8,$O$413,RIGHT($O$413,4)&amp;" "&amp;MID($O$413,3,1)&amp;LEFT($O$413,1))</f>
        <v>2021 Q4</v>
      </c>
      <c r="P414" t="str">
        <f>IF(LEN($P$413)&lt;&gt;8,$P$413,RIGHT($P$413,4)&amp;" "&amp;MID($P$413,3,1)&amp;LEFT($P$413,1))</f>
        <v>2021 Q3</v>
      </c>
      <c r="Q414" t="str">
        <f>IF(LEN($Q$413)&lt;&gt;8,$Q$413,RIGHT($Q$413,4)&amp;" "&amp;MID($Q$413,3,1)&amp;LEFT($Q$413,1))</f>
        <v>2021 Q2</v>
      </c>
      <c r="R414" t="str">
        <f>IF(LEN($R$413)&lt;&gt;8,$R$413,RIGHT($R$413,4)&amp;" "&amp;MID($R$413,3,1)&amp;LEFT($R$413,1))</f>
        <v>2021 Q1</v>
      </c>
      <c r="S414" t="str">
        <f>IF(LEN($S$413)&lt;&gt;8,$S$413,RIGHT($S$413,4)&amp;" "&amp;MID($S$413,3,1)&amp;LEFT($S$413,1))</f>
        <v>2020 Q4</v>
      </c>
      <c r="T414" t="str">
        <f>IF(LEN($T$413)&lt;&gt;8,$T$413,RIGHT($T$413,4)&amp;" "&amp;MID($T$413,3,1)&amp;LEFT($T$413,1))</f>
        <v>2020 Q3</v>
      </c>
      <c r="U414" t="str">
        <f>IF(LEN($U$413)&lt;&gt;8,$U$413,RIGHT($U$413,4)&amp;" "&amp;MID($U$413,3,1)&amp;LEFT($U$413,1))</f>
        <v>2020 Q2</v>
      </c>
      <c r="V414" t="str">
        <f>IF(LEN($V$413)&lt;&gt;8,$V$413,RIGHT($V$413,4)&amp;" "&amp;MID($V$413,3,1)&amp;LEFT($V$413,1))</f>
        <v>2020 Q1</v>
      </c>
      <c r="W414" t="str">
        <f>IF(LEN($W$413)&lt;&gt;8,$W$413,RIGHT($W$413,4)&amp;" "&amp;MID($W$413,3,1)&amp;LEFT($W$413,1))</f>
        <v>2019 Q4</v>
      </c>
      <c r="X414" t="str">
        <f>IF(LEN($X$413)&lt;&gt;8,$X$413,RIGHT($X$413,4)&amp;" "&amp;MID($X$413,3,1)&amp;LEFT($X$413,1))</f>
        <v>2019 Q3</v>
      </c>
      <c r="Y414" t="str">
        <f>IF(LEN($Y$413)&lt;&gt;8,$Y$413,RIGHT($Y$413,4)&amp;" "&amp;MID($Y$413,3,1)&amp;LEFT($Y$413,1))</f>
        <v>2019 Q2</v>
      </c>
      <c r="Z414" t="str">
        <f>IF(LEN($Z$413)&lt;&gt;8,$Z$413,RIGHT($Z$413,4)&amp;" "&amp;MID($Z$413,3,1)&amp;LEFT($Z$413,1))</f>
        <v>2019 Q1</v>
      </c>
      <c r="AA414" t="str">
        <f>IF(LEN($AA$413)&lt;&gt;8,$AA$413,RIGHT($AA$413,4)&amp;" "&amp;MID($AA$413,3,1)&amp;LEFT($AA$413,1))</f>
        <v>2018 Q4</v>
      </c>
      <c r="AB414" t="str">
        <f>IF(LEN($AB$413)&lt;&gt;8,$AB$413,RIGHT($AB$413,4)&amp;" "&amp;MID($AB$413,3,1)&amp;LEFT($AB$413,1))</f>
        <v>2018 Q3</v>
      </c>
      <c r="AC414" t="str">
        <f>IF(LEN($AC$413)&lt;&gt;8,$AC$413,RIGHT($AC$413,4)&amp;" "&amp;MID($AC$413,3,1)&amp;LEFT($AC$413,1))</f>
        <v>2018 Q2</v>
      </c>
      <c r="AD414" t="str">
        <f>IF(LEN($AD$413)&lt;&gt;8,$AD$413,RIGHT($AD$413,4)&amp;" "&amp;MID($AD$413,3,1)&amp;LEFT($AD$413,1))</f>
        <v>2018 Q1</v>
      </c>
      <c r="AE414" t="str">
        <f>IF(LEN($AE$413)&lt;&gt;8,$AE$413,RIGHT($AE$413,4)&amp;" "&amp;MID($AE$413,3,1)&amp;LEFT($AE$413,1))</f>
        <v>2017 Q4</v>
      </c>
      <c r="AF414" t="str">
        <f>IF(LEN($AF$413)&lt;&gt;8,$AF$413,RIGHT($AF$413,4)&amp;" "&amp;MID($AF$413,3,1)&amp;LEFT($AF$413,1))</f>
        <v>2017 Q3</v>
      </c>
      <c r="AG414" t="str">
        <f>IF(LEN($AG$413)&lt;&gt;8,$AG$413,RIGHT($AG$413,4)&amp;" "&amp;MID($AG$413,3,1)&amp;LEFT($AG$413,1))</f>
        <v>2017 Q2</v>
      </c>
      <c r="AH414" t="str">
        <f>IF(LEN($AH$413)&lt;&gt;8,$AH$413,RIGHT($AH$413,4)&amp;" "&amp;MID($AH$413,3,1)&amp;LEFT($AH$413,1))</f>
        <v>2017 Q1</v>
      </c>
      <c r="AI414" t="str">
        <f>IF(LEN($AI$413)&lt;&gt;8,$AI$413,RIGHT($AI$413,4)&amp;" "&amp;MID($AI$413,3,1)&amp;LEFT($AI$413,1))</f>
        <v>2016 Q4</v>
      </c>
      <c r="AJ414" t="str">
        <f>IF(LEN($AJ$413)&lt;&gt;8,$AJ$413,RIGHT($AJ$413,4)&amp;" "&amp;MID($AJ$413,3,1)&amp;LEFT($AJ$413,1))</f>
        <v>2016 Q3</v>
      </c>
      <c r="AK414" t="str">
        <f>IF(LEN($AK$413)&lt;&gt;8,$AK$413,RIGHT($AK$413,4)&amp;" "&amp;MID($AK$413,3,1)&amp;LEFT($AK$413,1))</f>
        <v>2016 Q2</v>
      </c>
      <c r="AL414" t="str">
        <f>IF(LEN($AL$413)&lt;&gt;8,$AL$413,RIGHT($AL$413,4)&amp;" "&amp;MID($AL$413,3,1)&amp;LEFT($AL$413,1))</f>
        <v>2016 Q1</v>
      </c>
      <c r="AM414" t="str">
        <f>IF(LEN($AM$413)&lt;&gt;8,$AM$413,RIGHT($AM$413,4)&amp;" "&amp;MID($AM$413,3,1)&amp;LEFT($AM$413,1))</f>
        <v>2015 Q4</v>
      </c>
      <c r="AN414" t="str">
        <f>IF(LEN($AN$413)&lt;&gt;8,$AN$413,RIGHT($AN$413,4)&amp;" "&amp;MID($AN$413,3,1)&amp;LEFT($AN$413,1))</f>
        <v>2015 Q3</v>
      </c>
      <c r="AO414" t="str">
        <f>IF(LEN($AO$413)&lt;&gt;8,$AO$413,RIGHT($AO$413,4)&amp;" "&amp;MID($AO$413,3,1)&amp;LEFT($AO$413,1))</f>
        <v>2015 Q2</v>
      </c>
      <c r="AP414" t="str">
        <f>IF(LEN($AP$413)&lt;&gt;8,$AP$413,RIGHT($AP$413,4)&amp;" "&amp;MID($AP$413,3,1)&amp;LEFT($AP$413,1))</f>
        <v>2015 Q1</v>
      </c>
      <c r="AQ414" t="str">
        <f>IF(LEN($AQ$413)&lt;&gt;8,$AQ$413,RIGHT($AQ$413,4)&amp;" "&amp;MID($AQ$413,3,1)&amp;LEFT($AQ$413,1))</f>
        <v>2014 Q4</v>
      </c>
      <c r="AR414" t="str">
        <f>IF(LEN($AR$413)&lt;&gt;8,$AR$413,RIGHT($AR$413,4)&amp;" "&amp;MID($AR$413,3,1)&amp;LEFT($AR$413,1))</f>
        <v>2014 Q3</v>
      </c>
      <c r="AS414" t="str">
        <f>IF(LEN($AS$413)&lt;&gt;8,$AS$413,RIGHT($AS$413,4)&amp;" "&amp;MID($AS$413,3,1)&amp;LEFT($AS$413,1))</f>
        <v>2014 Q2</v>
      </c>
      <c r="AT414" t="str">
        <f>IF(LEN($AT$413)&lt;&gt;8,$AT$413,RIGHT($AT$413,4)&amp;" "&amp;MID($AT$413,3,1)&amp;LEFT($AT$413,1))</f>
        <v>2014 Q1</v>
      </c>
      <c r="AU414" t="str">
        <f>IF(LEN($AU$413)&lt;&gt;8,$AU$413,RIGHT($AU$413,4)&amp;" "&amp;MID($AU$413,3,1)&amp;LEFT($AU$413,1))</f>
        <v>2013 Q4</v>
      </c>
      <c r="AV414" t="str">
        <f>IF(LEN($AV$413)&lt;&gt;8,$AV$413,RIGHT($AV$413,4)&amp;" "&amp;MID($AV$413,3,1)&amp;LEFT($AV$413,1))</f>
        <v>2013 Q3</v>
      </c>
      <c r="AW414" t="str">
        <f>IF(LEN($AW$413)&lt;&gt;8,$AW$413,RIGHT($AW$413,4)&amp;" "&amp;MID($AW$413,3,1)&amp;LEFT($AW$413,1))</f>
        <v>2013 Q2</v>
      </c>
      <c r="AX414" t="str">
        <f>IF(LEN($AX$413)&lt;&gt;8,$AX$413,RIGHT($AX$413,4)&amp;" "&amp;MID($AX$413,3,1)&amp;LEFT($AX$413,1))</f>
        <v>2013 Q1</v>
      </c>
      <c r="AY414" t="str">
        <f>IF(LEN($AY$413)&lt;&gt;8,$AY$413,RIGHT($AY$413,4)&amp;" "&amp;MID($AY$413,3,1)&amp;LEFT($AY$413,1))</f>
        <v>2012 Q4</v>
      </c>
      <c r="AZ414" t="str">
        <f>IF(LEN($AZ$413)&lt;&gt;8,$AZ$413,RIGHT($AZ$413,4)&amp;" "&amp;MID($AZ$413,3,1)&amp;LEFT($AZ$413,1))</f>
        <v>2012 Q3</v>
      </c>
      <c r="BA414" t="str">
        <f>IF(LEN($BA$413)&lt;&gt;8,$BA$413,RIGHT($BA$413,4)&amp;" "&amp;MID($BA$413,3,1)&amp;LEFT($BA$413,1))</f>
        <v>2012 Q2</v>
      </c>
      <c r="BB414" t="str">
        <f>IF(LEN($BB$413)&lt;&gt;8,$BB$413,RIGHT($BB$413,4)&amp;" "&amp;MID($BB$413,3,1)&amp;LEFT($BB$413,1))</f>
        <v>2012 Q1</v>
      </c>
      <c r="BC414" t="str">
        <f>IF(LEN($BC$413)&lt;&gt;8,$BC$413,RIGHT($BC$413,4)&amp;" "&amp;MID($BC$413,3,1)&amp;LEFT($BC$413,1))</f>
        <v>2011 Q4</v>
      </c>
      <c r="BD414" t="str">
        <f>IF(LEN($BD$413)&lt;&gt;8,$BD$413,RIGHT($BD$413,4)&amp;" "&amp;MID($BD$413,3,1)&amp;LEFT($BD$413,1))</f>
        <v>2011 Q3</v>
      </c>
      <c r="BE414" t="str">
        <f>IF(LEN($BE$413)&lt;&gt;8,$BE$413,RIGHT($BE$413,4)&amp;" "&amp;MID($BE$413,3,1)&amp;LEFT($BE$413,1))</f>
        <v>2011 Q2</v>
      </c>
      <c r="BF414" t="str">
        <f>IF(LEN($BF$413)&lt;&gt;8,$BF$413,RIGHT($BF$413,4)&amp;" "&amp;MID($BF$413,3,1)&amp;LEFT($BF$413,1))</f>
        <v>2011 Q1</v>
      </c>
      <c r="BG414" t="str">
        <f>IF(LEN($BG$413)&lt;&gt;8,$BG$413,RIGHT($BG$413,4)&amp;" "&amp;MID($BG$413,3,1)&amp;LEFT($BG$413,1))</f>
        <v>2010 Q4</v>
      </c>
      <c r="BH414" t="str">
        <f>IF(LEN($BH$413)&lt;&gt;8,$BH$413,RIGHT($BH$413,4)&amp;" "&amp;MID($BH$413,3,1)&amp;LEFT($BH$413,1))</f>
        <v>2010 Q3</v>
      </c>
      <c r="BI414" t="str">
        <f>IF(LEN($BI$413)&lt;&gt;8,$BI$413,RIGHT($BI$413,4)&amp;" "&amp;MID($BI$413,3,1)&amp;LEFT($BI$413,1))</f>
        <v>2010 Q2</v>
      </c>
      <c r="BJ414" t="str">
        <f>IF(LEN($BJ$413)&lt;&gt;8,$BJ$413,RIGHT($BJ$413,4)&amp;" "&amp;MID($BJ$413,3,1)&amp;LEFT($BJ$413,1))</f>
        <v>2010 Q1</v>
      </c>
      <c r="BN414" t="str">
        <f>""</f>
        <v/>
      </c>
      <c r="BO414" t="str">
        <f>""</f>
        <v/>
      </c>
      <c r="BP414" t="str">
        <f>""</f>
        <v/>
      </c>
      <c r="BQ414" t="str">
        <f>""</f>
        <v/>
      </c>
      <c r="BR414" t="str">
        <f>""</f>
        <v/>
      </c>
      <c r="BS414" t="str">
        <f>""</f>
        <v/>
      </c>
      <c r="BT414" t="str">
        <f>""</f>
        <v/>
      </c>
      <c r="BU414" t="str">
        <f>""</f>
        <v/>
      </c>
      <c r="BV414" t="str">
        <f>""</f>
        <v/>
      </c>
      <c r="BW414" t="str">
        <f>""</f>
        <v/>
      </c>
      <c r="BX414" t="str">
        <f>""</f>
        <v/>
      </c>
      <c r="BY414" t="str">
        <f>""</f>
        <v/>
      </c>
      <c r="BZ414" t="str">
        <f>""</f>
        <v/>
      </c>
      <c r="CA414" t="str">
        <f>""</f>
        <v/>
      </c>
      <c r="CB414" t="str">
        <f>""</f>
        <v/>
      </c>
      <c r="CC414" t="str">
        <f>""</f>
        <v/>
      </c>
      <c r="CD414" t="str">
        <f>""</f>
        <v/>
      </c>
      <c r="CE414" t="str">
        <f>""</f>
        <v/>
      </c>
      <c r="CF414" t="str">
        <f>""</f>
        <v/>
      </c>
      <c r="CG414" t="str">
        <f>""</f>
        <v/>
      </c>
      <c r="CH414" t="str">
        <f>""</f>
        <v/>
      </c>
      <c r="CI414" t="str">
        <f>""</f>
        <v/>
      </c>
      <c r="CJ414" t="str">
        <f>""</f>
        <v/>
      </c>
      <c r="CK414" t="str">
        <f>""</f>
        <v/>
      </c>
      <c r="CL414" t="str">
        <f>""</f>
        <v/>
      </c>
      <c r="CM414" t="str">
        <f>""</f>
        <v/>
      </c>
      <c r="CN414" t="str">
        <f>""</f>
        <v/>
      </c>
      <c r="CO414" t="str">
        <f>""</f>
        <v/>
      </c>
      <c r="CP414" t="str">
        <f>""</f>
        <v/>
      </c>
      <c r="CQ414" t="str">
        <f>""</f>
        <v/>
      </c>
      <c r="CR414" t="str">
        <f>""</f>
        <v/>
      </c>
      <c r="CS414" t="str">
        <f>""</f>
        <v/>
      </c>
      <c r="CT414" t="str">
        <f>""</f>
        <v/>
      </c>
      <c r="CU414" t="str">
        <f>""</f>
        <v/>
      </c>
      <c r="CV414" t="str">
        <f>""</f>
        <v/>
      </c>
      <c r="CW414" t="str">
        <f>""</f>
        <v/>
      </c>
      <c r="CX414" t="str">
        <f>""</f>
        <v/>
      </c>
      <c r="CY414" t="str">
        <f>""</f>
        <v/>
      </c>
      <c r="CZ414" t="str">
        <f>""</f>
        <v/>
      </c>
      <c r="DA414" t="str">
        <f>""</f>
        <v/>
      </c>
      <c r="DB414" t="str">
        <f>""</f>
        <v/>
      </c>
      <c r="DC414" t="str">
        <f>""</f>
        <v/>
      </c>
      <c r="DD414" t="str">
        <f>""</f>
        <v/>
      </c>
      <c r="DE414" t="str">
        <f>""</f>
        <v/>
      </c>
      <c r="DF414" t="str">
        <f>""</f>
        <v/>
      </c>
      <c r="DG414" t="str">
        <f>""</f>
        <v/>
      </c>
      <c r="DH414" t="str">
        <f>""</f>
        <v/>
      </c>
      <c r="DI414" t="str">
        <f>""</f>
        <v/>
      </c>
      <c r="DJ414" t="str">
        <f>""</f>
        <v/>
      </c>
      <c r="DK414" t="str">
        <f>""</f>
        <v/>
      </c>
      <c r="DL414" t="str">
        <f>""</f>
        <v/>
      </c>
      <c r="DM414" t="str">
        <f>""</f>
        <v/>
      </c>
      <c r="DN414" t="str">
        <f>""</f>
        <v/>
      </c>
      <c r="DO414" t="str">
        <f>""</f>
        <v/>
      </c>
      <c r="DP414" t="str">
        <f>""</f>
        <v/>
      </c>
      <c r="DQ414" t="str">
        <f>""</f>
        <v/>
      </c>
      <c r="DR414" t="str">
        <f>""</f>
        <v/>
      </c>
      <c r="DS414" t="str">
        <f>""</f>
        <v/>
      </c>
      <c r="DT414" t="str">
        <f>""</f>
        <v/>
      </c>
      <c r="DU414" t="str">
        <f>""</f>
        <v/>
      </c>
    </row>
    <row r="415" spans="1:125" x14ac:dyDescent="0.25">
      <c r="A415" t="str">
        <f>"BDH dynamic header0"</f>
        <v>BDH dynamic header0</v>
      </c>
      <c r="B415">
        <f ca="1">IF(OR(ISERROR($C$415),ISBLANK($C$415),ISNUMBER(SEARCH("N/A",$C$415) ),ISERROR($C$416),ISBLANK($C$416)),0,1)</f>
        <v>0</v>
      </c>
      <c r="C415" t="str">
        <f ca="1">_xll.BDH($B$4,$C$4,$B$206,$B$207,"PER=CQ","Dts=S","DtFmt=FI", "rows=2","Dir=H","Points=60","Sort=R","Days=A","Fill=B","FX=EUR" )</f>
        <v>#N/A Invalid Parameter: Invalid override field id specified</v>
      </c>
      <c r="BN415" t="str">
        <f>""</f>
        <v/>
      </c>
      <c r="BO415" t="str">
        <f>""</f>
        <v/>
      </c>
      <c r="BP415" t="str">
        <f>""</f>
        <v/>
      </c>
      <c r="BQ415" t="str">
        <f>""</f>
        <v/>
      </c>
      <c r="BR415" t="str">
        <f>""</f>
        <v/>
      </c>
      <c r="BS415" t="str">
        <f>""</f>
        <v/>
      </c>
      <c r="BT415" t="str">
        <f>""</f>
        <v/>
      </c>
      <c r="BU415" t="str">
        <f>""</f>
        <v/>
      </c>
      <c r="BV415" t="str">
        <f>""</f>
        <v/>
      </c>
      <c r="BW415" t="str">
        <f>""</f>
        <v/>
      </c>
      <c r="BX415" t="str">
        <f>""</f>
        <v/>
      </c>
      <c r="BY415" t="str">
        <f>""</f>
        <v/>
      </c>
      <c r="BZ415" t="str">
        <f>""</f>
        <v/>
      </c>
      <c r="CA415" t="str">
        <f>""</f>
        <v/>
      </c>
      <c r="CB415" t="str">
        <f>""</f>
        <v/>
      </c>
      <c r="CC415" t="str">
        <f>""</f>
        <v/>
      </c>
      <c r="CD415" t="str">
        <f>""</f>
        <v/>
      </c>
      <c r="CE415" t="str">
        <f>""</f>
        <v/>
      </c>
      <c r="CF415" t="str">
        <f>""</f>
        <v/>
      </c>
      <c r="CG415" t="str">
        <f>""</f>
        <v/>
      </c>
      <c r="CH415" t="str">
        <f>""</f>
        <v/>
      </c>
      <c r="CI415" t="str">
        <f>""</f>
        <v/>
      </c>
      <c r="CJ415" t="str">
        <f>""</f>
        <v/>
      </c>
      <c r="CK415" t="str">
        <f>""</f>
        <v/>
      </c>
      <c r="CL415" t="str">
        <f>""</f>
        <v/>
      </c>
      <c r="CM415" t="str">
        <f>""</f>
        <v/>
      </c>
      <c r="CN415" t="str">
        <f>""</f>
        <v/>
      </c>
      <c r="CO415" t="str">
        <f>""</f>
        <v/>
      </c>
      <c r="CP415" t="str">
        <f>""</f>
        <v/>
      </c>
      <c r="CQ415" t="str">
        <f>""</f>
        <v/>
      </c>
      <c r="CR415" t="str">
        <f>""</f>
        <v/>
      </c>
      <c r="CS415" t="str">
        <f>""</f>
        <v/>
      </c>
      <c r="CT415" t="str">
        <f>""</f>
        <v/>
      </c>
      <c r="CU415" t="str">
        <f>""</f>
        <v/>
      </c>
      <c r="CV415" t="str">
        <f>""</f>
        <v/>
      </c>
      <c r="CW415" t="str">
        <f>""</f>
        <v/>
      </c>
      <c r="CX415" t="str">
        <f>""</f>
        <v/>
      </c>
      <c r="CY415" t="str">
        <f>""</f>
        <v/>
      </c>
      <c r="CZ415" t="str">
        <f>""</f>
        <v/>
      </c>
      <c r="DA415" t="str">
        <f>""</f>
        <v/>
      </c>
      <c r="DB415" t="str">
        <f>""</f>
        <v/>
      </c>
      <c r="DC415" t="str">
        <f>""</f>
        <v/>
      </c>
      <c r="DD415" t="str">
        <f>""</f>
        <v/>
      </c>
      <c r="DE415" t="str">
        <f>""</f>
        <v/>
      </c>
      <c r="DF415" t="str">
        <f>""</f>
        <v/>
      </c>
      <c r="DG415" t="str">
        <f>""</f>
        <v/>
      </c>
      <c r="DH415" t="str">
        <f>""</f>
        <v/>
      </c>
      <c r="DI415" t="str">
        <f>""</f>
        <v/>
      </c>
      <c r="DJ415" t="str">
        <f>""</f>
        <v/>
      </c>
      <c r="DK415" t="str">
        <f>""</f>
        <v/>
      </c>
      <c r="DL415" t="str">
        <f>""</f>
        <v/>
      </c>
      <c r="DM415" t="str">
        <f>""</f>
        <v/>
      </c>
      <c r="DN415" t="str">
        <f>""</f>
        <v/>
      </c>
      <c r="DO415" t="str">
        <f>""</f>
        <v/>
      </c>
      <c r="DP415" t="str">
        <f>""</f>
        <v/>
      </c>
      <c r="DQ415" t="str">
        <f>""</f>
        <v/>
      </c>
      <c r="DR415" t="str">
        <f>""</f>
        <v/>
      </c>
      <c r="DS415" t="str">
        <f>""</f>
        <v/>
      </c>
      <c r="DT415" t="str">
        <f>""</f>
        <v/>
      </c>
      <c r="DU415" t="str">
        <f>""</f>
        <v/>
      </c>
    </row>
    <row r="416" spans="1:125" x14ac:dyDescent="0.25">
      <c r="A416" t="str">
        <f>"BDH dynamic result0"</f>
        <v>BDH dynamic result0</v>
      </c>
      <c r="BN416" t="str">
        <f>""</f>
        <v/>
      </c>
      <c r="BO416" t="str">
        <f>""</f>
        <v/>
      </c>
      <c r="BP416" t="str">
        <f>""</f>
        <v/>
      </c>
      <c r="BQ416" t="str">
        <f>""</f>
        <v/>
      </c>
      <c r="BR416" t="str">
        <f>""</f>
        <v/>
      </c>
      <c r="BS416" t="str">
        <f>""</f>
        <v/>
      </c>
      <c r="BT416" t="str">
        <f>""</f>
        <v/>
      </c>
      <c r="BU416" t="str">
        <f>""</f>
        <v/>
      </c>
      <c r="BV416" t="str">
        <f>""</f>
        <v/>
      </c>
      <c r="BW416" t="str">
        <f>""</f>
        <v/>
      </c>
      <c r="BX416" t="str">
        <f>""</f>
        <v/>
      </c>
      <c r="BY416" t="str">
        <f>""</f>
        <v/>
      </c>
      <c r="BZ416" t="str">
        <f>""</f>
        <v/>
      </c>
      <c r="CA416" t="str">
        <f>""</f>
        <v/>
      </c>
      <c r="CB416" t="str">
        <f>""</f>
        <v/>
      </c>
      <c r="CC416" t="str">
        <f>""</f>
        <v/>
      </c>
      <c r="CD416" t="str">
        <f>""</f>
        <v/>
      </c>
      <c r="CE416" t="str">
        <f>""</f>
        <v/>
      </c>
      <c r="CF416" t="str">
        <f>""</f>
        <v/>
      </c>
      <c r="CG416" t="str">
        <f>""</f>
        <v/>
      </c>
      <c r="CH416" t="str">
        <f>""</f>
        <v/>
      </c>
      <c r="CI416" t="str">
        <f>""</f>
        <v/>
      </c>
      <c r="CJ416" t="str">
        <f>""</f>
        <v/>
      </c>
      <c r="CK416" t="str">
        <f>""</f>
        <v/>
      </c>
      <c r="CL416" t="str">
        <f>""</f>
        <v/>
      </c>
      <c r="CM416" t="str">
        <f>""</f>
        <v/>
      </c>
      <c r="CN416" t="str">
        <f>""</f>
        <v/>
      </c>
      <c r="CO416" t="str">
        <f>""</f>
        <v/>
      </c>
      <c r="CP416" t="str">
        <f>""</f>
        <v/>
      </c>
      <c r="CQ416" t="str">
        <f>""</f>
        <v/>
      </c>
      <c r="CR416" t="str">
        <f>""</f>
        <v/>
      </c>
      <c r="CS416" t="str">
        <f>""</f>
        <v/>
      </c>
      <c r="CT416" t="str">
        <f>""</f>
        <v/>
      </c>
      <c r="CU416" t="str">
        <f>""</f>
        <v/>
      </c>
      <c r="CV416" t="str">
        <f>""</f>
        <v/>
      </c>
      <c r="CW416" t="str">
        <f>""</f>
        <v/>
      </c>
      <c r="CX416" t="str">
        <f>""</f>
        <v/>
      </c>
      <c r="CY416" t="str">
        <f>""</f>
        <v/>
      </c>
      <c r="CZ416" t="str">
        <f>""</f>
        <v/>
      </c>
      <c r="DA416" t="str">
        <f>""</f>
        <v/>
      </c>
      <c r="DB416" t="str">
        <f>""</f>
        <v/>
      </c>
      <c r="DC416" t="str">
        <f>""</f>
        <v/>
      </c>
      <c r="DD416" t="str">
        <f>""</f>
        <v/>
      </c>
      <c r="DE416" t="str">
        <f>""</f>
        <v/>
      </c>
      <c r="DF416" t="str">
        <f>""</f>
        <v/>
      </c>
      <c r="DG416" t="str">
        <f>""</f>
        <v/>
      </c>
      <c r="DH416" t="str">
        <f>""</f>
        <v/>
      </c>
      <c r="DI416" t="str">
        <f>""</f>
        <v/>
      </c>
      <c r="DJ416" t="str">
        <f>""</f>
        <v/>
      </c>
      <c r="DK416" t="str">
        <f>""</f>
        <v/>
      </c>
      <c r="DL416" t="str">
        <f>""</f>
        <v/>
      </c>
      <c r="DM416" t="str">
        <f>""</f>
        <v/>
      </c>
      <c r="DN416" t="str">
        <f>""</f>
        <v/>
      </c>
      <c r="DO416" t="str">
        <f>""</f>
        <v/>
      </c>
      <c r="DP416" t="str">
        <f>""</f>
        <v/>
      </c>
      <c r="DQ416" t="str">
        <f>""</f>
        <v/>
      </c>
      <c r="DR416" t="str">
        <f>""</f>
        <v/>
      </c>
      <c r="DS416" t="str">
        <f>""</f>
        <v/>
      </c>
      <c r="DT416" t="str">
        <f>""</f>
        <v/>
      </c>
      <c r="DU416" t="str">
        <f>""</f>
        <v/>
      </c>
    </row>
    <row r="417" spans="1:125" x14ac:dyDescent="0.25">
      <c r="A417" t="str">
        <f>"BDH dynamic header1"</f>
        <v>BDH dynamic header1</v>
      </c>
      <c r="B417">
        <f ca="1">IF(OR(ISERROR($C$417),ISBLANK($C$417),ISNUMBER(SEARCH("N/A",$C$417) ),ISERROR($C$418),ISBLANK($C$418)),0,1)</f>
        <v>0</v>
      </c>
      <c r="C417" t="str">
        <f ca="1">_xll.BDH($B$5,$C$5,$B$206,$B$207,"PER=CQ","Dts=S","DtFmt=FI", "rows=2","Dir=H","Points=60","Sort=R","Days=A","Fill=B","FX=EUR" )</f>
        <v>#N/A Invalid Parameter: Invalid override field id specified</v>
      </c>
      <c r="BN417" t="str">
        <f>""</f>
        <v/>
      </c>
      <c r="BO417" t="str">
        <f>""</f>
        <v/>
      </c>
      <c r="BP417" t="str">
        <f>""</f>
        <v/>
      </c>
      <c r="BQ417" t="str">
        <f>""</f>
        <v/>
      </c>
      <c r="BR417" t="str">
        <f>""</f>
        <v/>
      </c>
      <c r="BS417" t="str">
        <f>""</f>
        <v/>
      </c>
      <c r="BT417" t="str">
        <f>""</f>
        <v/>
      </c>
      <c r="BU417" t="str">
        <f>""</f>
        <v/>
      </c>
      <c r="BV417" t="str">
        <f>""</f>
        <v/>
      </c>
      <c r="BW417" t="str">
        <f>""</f>
        <v/>
      </c>
      <c r="BX417" t="str">
        <f>""</f>
        <v/>
      </c>
      <c r="BY417" t="str">
        <f>""</f>
        <v/>
      </c>
      <c r="BZ417" t="str">
        <f>""</f>
        <v/>
      </c>
      <c r="CA417" t="str">
        <f>""</f>
        <v/>
      </c>
      <c r="CB417" t="str">
        <f>""</f>
        <v/>
      </c>
      <c r="CC417" t="str">
        <f>""</f>
        <v/>
      </c>
      <c r="CD417" t="str">
        <f>""</f>
        <v/>
      </c>
      <c r="CE417" t="str">
        <f>""</f>
        <v/>
      </c>
      <c r="CF417" t="str">
        <f>""</f>
        <v/>
      </c>
      <c r="CG417" t="str">
        <f>""</f>
        <v/>
      </c>
      <c r="CH417" t="str">
        <f>""</f>
        <v/>
      </c>
      <c r="CI417" t="str">
        <f>""</f>
        <v/>
      </c>
      <c r="CJ417" t="str">
        <f>""</f>
        <v/>
      </c>
      <c r="CK417" t="str">
        <f>""</f>
        <v/>
      </c>
      <c r="CL417" t="str">
        <f>""</f>
        <v/>
      </c>
      <c r="CM417" t="str">
        <f>""</f>
        <v/>
      </c>
      <c r="CN417" t="str">
        <f>""</f>
        <v/>
      </c>
      <c r="CO417" t="str">
        <f>""</f>
        <v/>
      </c>
      <c r="CP417" t="str">
        <f>""</f>
        <v/>
      </c>
      <c r="CQ417" t="str">
        <f>""</f>
        <v/>
      </c>
      <c r="CR417" t="str">
        <f>""</f>
        <v/>
      </c>
      <c r="CS417" t="str">
        <f>""</f>
        <v/>
      </c>
      <c r="CT417" t="str">
        <f>""</f>
        <v/>
      </c>
      <c r="CU417" t="str">
        <f>""</f>
        <v/>
      </c>
      <c r="CV417" t="str">
        <f>""</f>
        <v/>
      </c>
      <c r="CW417" t="str">
        <f>""</f>
        <v/>
      </c>
      <c r="CX417" t="str">
        <f>""</f>
        <v/>
      </c>
      <c r="CY417" t="str">
        <f>""</f>
        <v/>
      </c>
      <c r="CZ417" t="str">
        <f>""</f>
        <v/>
      </c>
      <c r="DA417" t="str">
        <f>""</f>
        <v/>
      </c>
      <c r="DB417" t="str">
        <f>""</f>
        <v/>
      </c>
      <c r="DC417" t="str">
        <f>""</f>
        <v/>
      </c>
      <c r="DD417" t="str">
        <f>""</f>
        <v/>
      </c>
      <c r="DE417" t="str">
        <f>""</f>
        <v/>
      </c>
      <c r="DF417" t="str">
        <f>""</f>
        <v/>
      </c>
      <c r="DG417" t="str">
        <f>""</f>
        <v/>
      </c>
      <c r="DH417" t="str">
        <f>""</f>
        <v/>
      </c>
      <c r="DI417" t="str">
        <f>""</f>
        <v/>
      </c>
      <c r="DJ417" t="str">
        <f>""</f>
        <v/>
      </c>
      <c r="DK417" t="str">
        <f>""</f>
        <v/>
      </c>
      <c r="DL417" t="str">
        <f>""</f>
        <v/>
      </c>
      <c r="DM417" t="str">
        <f>""</f>
        <v/>
      </c>
      <c r="DN417" t="str">
        <f>""</f>
        <v/>
      </c>
      <c r="DO417" t="str">
        <f>""</f>
        <v/>
      </c>
      <c r="DP417" t="str">
        <f>""</f>
        <v/>
      </c>
      <c r="DQ417" t="str">
        <f>""</f>
        <v/>
      </c>
      <c r="DR417" t="str">
        <f>""</f>
        <v/>
      </c>
      <c r="DS417" t="str">
        <f>""</f>
        <v/>
      </c>
      <c r="DT417" t="str">
        <f>""</f>
        <v/>
      </c>
      <c r="DU417" t="str">
        <f>""</f>
        <v/>
      </c>
    </row>
    <row r="418" spans="1:125" x14ac:dyDescent="0.25">
      <c r="A418" t="str">
        <f>"BDH dynamic result1"</f>
        <v>BDH dynamic result1</v>
      </c>
      <c r="BN418" t="str">
        <f>""</f>
        <v/>
      </c>
      <c r="BO418" t="str">
        <f>""</f>
        <v/>
      </c>
      <c r="BP418" t="str">
        <f>""</f>
        <v/>
      </c>
      <c r="BQ418" t="str">
        <f>""</f>
        <v/>
      </c>
      <c r="BR418" t="str">
        <f>""</f>
        <v/>
      </c>
      <c r="BS418" t="str">
        <f>""</f>
        <v/>
      </c>
      <c r="BT418" t="str">
        <f>""</f>
        <v/>
      </c>
      <c r="BU418" t="str">
        <f>""</f>
        <v/>
      </c>
      <c r="BV418" t="str">
        <f>""</f>
        <v/>
      </c>
      <c r="BW418" t="str">
        <f>""</f>
        <v/>
      </c>
      <c r="BX418" t="str">
        <f>""</f>
        <v/>
      </c>
      <c r="BY418" t="str">
        <f>""</f>
        <v/>
      </c>
      <c r="BZ418" t="str">
        <f>""</f>
        <v/>
      </c>
      <c r="CA418" t="str">
        <f>""</f>
        <v/>
      </c>
      <c r="CB418" t="str">
        <f>""</f>
        <v/>
      </c>
      <c r="CC418" t="str">
        <f>""</f>
        <v/>
      </c>
      <c r="CD418" t="str">
        <f>""</f>
        <v/>
      </c>
      <c r="CE418" t="str">
        <f>""</f>
        <v/>
      </c>
      <c r="CF418" t="str">
        <f>""</f>
        <v/>
      </c>
      <c r="CG418" t="str">
        <f>""</f>
        <v/>
      </c>
      <c r="CH418" t="str">
        <f>""</f>
        <v/>
      </c>
      <c r="CI418" t="str">
        <f>""</f>
        <v/>
      </c>
      <c r="CJ418" t="str">
        <f>""</f>
        <v/>
      </c>
      <c r="CK418" t="str">
        <f>""</f>
        <v/>
      </c>
      <c r="CL418" t="str">
        <f>""</f>
        <v/>
      </c>
      <c r="CM418" t="str">
        <f>""</f>
        <v/>
      </c>
      <c r="CN418" t="str">
        <f>""</f>
        <v/>
      </c>
      <c r="CO418" t="str">
        <f>""</f>
        <v/>
      </c>
      <c r="CP418" t="str">
        <f>""</f>
        <v/>
      </c>
      <c r="CQ418" t="str">
        <f>""</f>
        <v/>
      </c>
      <c r="CR418" t="str">
        <f>""</f>
        <v/>
      </c>
      <c r="CS418" t="str">
        <f>""</f>
        <v/>
      </c>
      <c r="CT418" t="str">
        <f>""</f>
        <v/>
      </c>
      <c r="CU418" t="str">
        <f>""</f>
        <v/>
      </c>
      <c r="CV418" t="str">
        <f>""</f>
        <v/>
      </c>
      <c r="CW418" t="str">
        <f>""</f>
        <v/>
      </c>
      <c r="CX418" t="str">
        <f>""</f>
        <v/>
      </c>
      <c r="CY418" t="str">
        <f>""</f>
        <v/>
      </c>
      <c r="CZ418" t="str">
        <f>""</f>
        <v/>
      </c>
      <c r="DA418" t="str">
        <f>""</f>
        <v/>
      </c>
      <c r="DB418" t="str">
        <f>""</f>
        <v/>
      </c>
      <c r="DC418" t="str">
        <f>""</f>
        <v/>
      </c>
      <c r="DD418" t="str">
        <f>""</f>
        <v/>
      </c>
      <c r="DE418" t="str">
        <f>""</f>
        <v/>
      </c>
      <c r="DF418" t="str">
        <f>""</f>
        <v/>
      </c>
      <c r="DG418" t="str">
        <f>""</f>
        <v/>
      </c>
      <c r="DH418" t="str">
        <f>""</f>
        <v/>
      </c>
      <c r="DI418" t="str">
        <f>""</f>
        <v/>
      </c>
      <c r="DJ418" t="str">
        <f>""</f>
        <v/>
      </c>
      <c r="DK418" t="str">
        <f>""</f>
        <v/>
      </c>
      <c r="DL418" t="str">
        <f>""</f>
        <v/>
      </c>
      <c r="DM418" t="str">
        <f>""</f>
        <v/>
      </c>
      <c r="DN418" t="str">
        <f>""</f>
        <v/>
      </c>
      <c r="DO418" t="str">
        <f>""</f>
        <v/>
      </c>
      <c r="DP418" t="str">
        <f>""</f>
        <v/>
      </c>
      <c r="DQ418" t="str">
        <f>""</f>
        <v/>
      </c>
      <c r="DR418" t="str">
        <f>""</f>
        <v/>
      </c>
      <c r="DS418" t="str">
        <f>""</f>
        <v/>
      </c>
      <c r="DT418" t="str">
        <f>""</f>
        <v/>
      </c>
      <c r="DU418" t="str">
        <f>""</f>
        <v/>
      </c>
    </row>
    <row r="419" spans="1:125" x14ac:dyDescent="0.25">
      <c r="A419" t="str">
        <f>"BDH dynamic header2"</f>
        <v>BDH dynamic header2</v>
      </c>
      <c r="B419">
        <f ca="1">IF(OR(ISERROR($C$419),ISBLANK($C$419),ISNUMBER(SEARCH("N/A",$C$419) ),ISERROR($C$420),ISBLANK($C$420)),0,1)</f>
        <v>0</v>
      </c>
      <c r="C419" t="str">
        <f ca="1">_xll.BDH($B$6,$C$6,$B$206,$B$207,"PER=CQ","Dts=S","DtFmt=FI", "rows=2","Dir=H","Points=60","Sort=R","Days=A","Fill=B","FX=EUR" )</f>
        <v>#N/A Invalid Parameter: Invalid override field id specified</v>
      </c>
      <c r="BN419" t="str">
        <f>""</f>
        <v/>
      </c>
      <c r="BO419" t="str">
        <f>""</f>
        <v/>
      </c>
      <c r="BP419" t="str">
        <f>""</f>
        <v/>
      </c>
      <c r="BQ419" t="str">
        <f>""</f>
        <v/>
      </c>
      <c r="BR419" t="str">
        <f>""</f>
        <v/>
      </c>
      <c r="BS419" t="str">
        <f>""</f>
        <v/>
      </c>
      <c r="BT419" t="str">
        <f>""</f>
        <v/>
      </c>
      <c r="BU419" t="str">
        <f>""</f>
        <v/>
      </c>
      <c r="BV419" t="str">
        <f>""</f>
        <v/>
      </c>
      <c r="BW419" t="str">
        <f>""</f>
        <v/>
      </c>
      <c r="BX419" t="str">
        <f>""</f>
        <v/>
      </c>
      <c r="BY419" t="str">
        <f>""</f>
        <v/>
      </c>
      <c r="BZ419" t="str">
        <f>""</f>
        <v/>
      </c>
      <c r="CA419" t="str">
        <f>""</f>
        <v/>
      </c>
      <c r="CB419" t="str">
        <f>""</f>
        <v/>
      </c>
      <c r="CC419" t="str">
        <f>""</f>
        <v/>
      </c>
      <c r="CD419" t="str">
        <f>""</f>
        <v/>
      </c>
      <c r="CE419" t="str">
        <f>""</f>
        <v/>
      </c>
      <c r="CF419" t="str">
        <f>""</f>
        <v/>
      </c>
      <c r="CG419" t="str">
        <f>""</f>
        <v/>
      </c>
      <c r="CH419" t="str">
        <f>""</f>
        <v/>
      </c>
      <c r="CI419" t="str">
        <f>""</f>
        <v/>
      </c>
      <c r="CJ419" t="str">
        <f>""</f>
        <v/>
      </c>
      <c r="CK419" t="str">
        <f>""</f>
        <v/>
      </c>
      <c r="CL419" t="str">
        <f>""</f>
        <v/>
      </c>
      <c r="CM419" t="str">
        <f>""</f>
        <v/>
      </c>
      <c r="CN419" t="str">
        <f>""</f>
        <v/>
      </c>
      <c r="CO419" t="str">
        <f>""</f>
        <v/>
      </c>
      <c r="CP419" t="str">
        <f>""</f>
        <v/>
      </c>
      <c r="CQ419" t="str">
        <f>""</f>
        <v/>
      </c>
      <c r="CR419" t="str">
        <f>""</f>
        <v/>
      </c>
      <c r="CS419" t="str">
        <f>""</f>
        <v/>
      </c>
      <c r="CT419" t="str">
        <f>""</f>
        <v/>
      </c>
      <c r="CU419" t="str">
        <f>""</f>
        <v/>
      </c>
      <c r="CV419" t="str">
        <f>""</f>
        <v/>
      </c>
      <c r="CW419" t="str">
        <f>""</f>
        <v/>
      </c>
      <c r="CX419" t="str">
        <f>""</f>
        <v/>
      </c>
      <c r="CY419" t="str">
        <f>""</f>
        <v/>
      </c>
      <c r="CZ419" t="str">
        <f>""</f>
        <v/>
      </c>
      <c r="DA419" t="str">
        <f>""</f>
        <v/>
      </c>
      <c r="DB419" t="str">
        <f>""</f>
        <v/>
      </c>
      <c r="DC419" t="str">
        <f>""</f>
        <v/>
      </c>
      <c r="DD419" t="str">
        <f>""</f>
        <v/>
      </c>
      <c r="DE419" t="str">
        <f>""</f>
        <v/>
      </c>
      <c r="DF419" t="str">
        <f>""</f>
        <v/>
      </c>
      <c r="DG419" t="str">
        <f>""</f>
        <v/>
      </c>
      <c r="DH419" t="str">
        <f>""</f>
        <v/>
      </c>
      <c r="DI419" t="str">
        <f>""</f>
        <v/>
      </c>
      <c r="DJ419" t="str">
        <f>""</f>
        <v/>
      </c>
      <c r="DK419" t="str">
        <f>""</f>
        <v/>
      </c>
      <c r="DL419" t="str">
        <f>""</f>
        <v/>
      </c>
      <c r="DM419" t="str">
        <f>""</f>
        <v/>
      </c>
      <c r="DN419" t="str">
        <f>""</f>
        <v/>
      </c>
      <c r="DO419" t="str">
        <f>""</f>
        <v/>
      </c>
      <c r="DP419" t="str">
        <f>""</f>
        <v/>
      </c>
      <c r="DQ419" t="str">
        <f>""</f>
        <v/>
      </c>
      <c r="DR419" t="str">
        <f>""</f>
        <v/>
      </c>
      <c r="DS419" t="str">
        <f>""</f>
        <v/>
      </c>
      <c r="DT419" t="str">
        <f>""</f>
        <v/>
      </c>
      <c r="DU419" t="str">
        <f>""</f>
        <v/>
      </c>
    </row>
    <row r="420" spans="1:125" x14ac:dyDescent="0.25">
      <c r="A420" t="str">
        <f>"BDH dynamic result2"</f>
        <v>BDH dynamic result2</v>
      </c>
      <c r="BN420" t="str">
        <f>""</f>
        <v/>
      </c>
      <c r="BO420" t="str">
        <f>""</f>
        <v/>
      </c>
      <c r="BP420" t="str">
        <f>""</f>
        <v/>
      </c>
      <c r="BQ420" t="str">
        <f>""</f>
        <v/>
      </c>
      <c r="BR420" t="str">
        <f>""</f>
        <v/>
      </c>
      <c r="BS420" t="str">
        <f>""</f>
        <v/>
      </c>
      <c r="BT420" t="str">
        <f>""</f>
        <v/>
      </c>
      <c r="BU420" t="str">
        <f>""</f>
        <v/>
      </c>
      <c r="BV420" t="str">
        <f>""</f>
        <v/>
      </c>
      <c r="BW420" t="str">
        <f>""</f>
        <v/>
      </c>
      <c r="BX420" t="str">
        <f>""</f>
        <v/>
      </c>
      <c r="BY420" t="str">
        <f>""</f>
        <v/>
      </c>
      <c r="BZ420" t="str">
        <f>""</f>
        <v/>
      </c>
      <c r="CA420" t="str">
        <f>""</f>
        <v/>
      </c>
      <c r="CB420" t="str">
        <f>""</f>
        <v/>
      </c>
      <c r="CC420" t="str">
        <f>""</f>
        <v/>
      </c>
      <c r="CD420" t="str">
        <f>""</f>
        <v/>
      </c>
      <c r="CE420" t="str">
        <f>""</f>
        <v/>
      </c>
      <c r="CF420" t="str">
        <f>""</f>
        <v/>
      </c>
      <c r="CG420" t="str">
        <f>""</f>
        <v/>
      </c>
      <c r="CH420" t="str">
        <f>""</f>
        <v/>
      </c>
      <c r="CI420" t="str">
        <f>""</f>
        <v/>
      </c>
      <c r="CJ420" t="str">
        <f>""</f>
        <v/>
      </c>
      <c r="CK420" t="str">
        <f>""</f>
        <v/>
      </c>
      <c r="CL420" t="str">
        <f>""</f>
        <v/>
      </c>
      <c r="CM420" t="str">
        <f>""</f>
        <v/>
      </c>
      <c r="CN420" t="str">
        <f>""</f>
        <v/>
      </c>
      <c r="CO420" t="str">
        <f>""</f>
        <v/>
      </c>
      <c r="CP420" t="str">
        <f>""</f>
        <v/>
      </c>
      <c r="CQ420" t="str">
        <f>""</f>
        <v/>
      </c>
      <c r="CR420" t="str">
        <f>""</f>
        <v/>
      </c>
      <c r="CS420" t="str">
        <f>""</f>
        <v/>
      </c>
      <c r="CT420" t="str">
        <f>""</f>
        <v/>
      </c>
      <c r="CU420" t="str">
        <f>""</f>
        <v/>
      </c>
      <c r="CV420" t="str">
        <f>""</f>
        <v/>
      </c>
      <c r="CW420" t="str">
        <f>""</f>
        <v/>
      </c>
      <c r="CX420" t="str">
        <f>""</f>
        <v/>
      </c>
      <c r="CY420" t="str">
        <f>""</f>
        <v/>
      </c>
      <c r="CZ420" t="str">
        <f>""</f>
        <v/>
      </c>
      <c r="DA420" t="str">
        <f>""</f>
        <v/>
      </c>
      <c r="DB420" t="str">
        <f>""</f>
        <v/>
      </c>
      <c r="DC420" t="str">
        <f>""</f>
        <v/>
      </c>
      <c r="DD420" t="str">
        <f>""</f>
        <v/>
      </c>
      <c r="DE420" t="str">
        <f>""</f>
        <v/>
      </c>
      <c r="DF420" t="str">
        <f>""</f>
        <v/>
      </c>
      <c r="DG420" t="str">
        <f>""</f>
        <v/>
      </c>
      <c r="DH420" t="str">
        <f>""</f>
        <v/>
      </c>
      <c r="DI420" t="str">
        <f>""</f>
        <v/>
      </c>
      <c r="DJ420" t="str">
        <f>""</f>
        <v/>
      </c>
      <c r="DK420" t="str">
        <f>""</f>
        <v/>
      </c>
      <c r="DL420" t="str">
        <f>""</f>
        <v/>
      </c>
      <c r="DM420" t="str">
        <f>""</f>
        <v/>
      </c>
      <c r="DN420" t="str">
        <f>""</f>
        <v/>
      </c>
      <c r="DO420" t="str">
        <f>""</f>
        <v/>
      </c>
      <c r="DP420" t="str">
        <f>""</f>
        <v/>
      </c>
      <c r="DQ420" t="str">
        <f>""</f>
        <v/>
      </c>
      <c r="DR420" t="str">
        <f>""</f>
        <v/>
      </c>
      <c r="DS420" t="str">
        <f>""</f>
        <v/>
      </c>
      <c r="DT420" t="str">
        <f>""</f>
        <v/>
      </c>
      <c r="DU420" t="str">
        <f>""</f>
        <v/>
      </c>
    </row>
    <row r="421" spans="1:125" x14ac:dyDescent="0.25">
      <c r="A421" t="str">
        <f>"BDH dynamic"</f>
        <v>BDH dynamic</v>
      </c>
      <c r="B421">
        <f ca="1">IF($B$415&gt;=1,$B$415,IF($B$417&gt;=1,$B$417,IF($B$419&gt;=1,$B$419,$B$406)))</f>
        <v>2</v>
      </c>
      <c r="C421" t="str">
        <f ca="1">IF($B$415&gt;=1,$C$415,IF($B$417&gt;=1,$C$417,IF($B$419&gt;=1,$C$419,$C$406)))</f>
        <v>2024 Q4</v>
      </c>
      <c r="D421" t="str">
        <f ca="1">IF($B$415&gt;=1,$D$415,IF($B$417&gt;=1,$D$417,IF($B$419&gt;=1,$D$419,$D$406)))</f>
        <v>2024 Q3</v>
      </c>
      <c r="E421" t="str">
        <f ca="1">IF($B$415&gt;=1,$E$415,IF($B$417&gt;=1,$E$417,IF($B$419&gt;=1,$E$419,$E$406)))</f>
        <v>2024 Q2</v>
      </c>
      <c r="F421" t="str">
        <f ca="1">IF($B$415&gt;=1,$F$415,IF($B$417&gt;=1,$F$417,IF($B$419&gt;=1,$F$419,$F$406)))</f>
        <v>2024 Q1</v>
      </c>
      <c r="G421" t="str">
        <f ca="1">IF($B$415&gt;=1,$G$415,IF($B$417&gt;=1,$G$417,IF($B$419&gt;=1,$G$419,$G$406)))</f>
        <v>2023 Q4</v>
      </c>
      <c r="H421" t="str">
        <f ca="1">IF($B$415&gt;=1,$H$415,IF($B$417&gt;=1,$H$417,IF($B$419&gt;=1,$H$419,$H$406)))</f>
        <v>2023 Q3</v>
      </c>
      <c r="I421" t="str">
        <f ca="1">IF($B$415&gt;=1,$I$415,IF($B$417&gt;=1,$I$417,IF($B$419&gt;=1,$I$419,$I$406)))</f>
        <v>2023 Q2</v>
      </c>
      <c r="J421" t="str">
        <f ca="1">IF($B$415&gt;=1,$J$415,IF($B$417&gt;=1,$J$417,IF($B$419&gt;=1,$J$419,$J$406)))</f>
        <v>2023 Q1</v>
      </c>
      <c r="K421" t="str">
        <f ca="1">IF($B$415&gt;=1,$K$415,IF($B$417&gt;=1,$K$417,IF($B$419&gt;=1,$K$419,$K$406)))</f>
        <v>2022 Q4</v>
      </c>
      <c r="L421" t="str">
        <f ca="1">IF($B$415&gt;=1,$L$415,IF($B$417&gt;=1,$L$417,IF($B$419&gt;=1,$L$419,$L$406)))</f>
        <v>2022 Q3</v>
      </c>
      <c r="M421" t="str">
        <f ca="1">IF($B$415&gt;=1,$M$415,IF($B$417&gt;=1,$M$417,IF($B$419&gt;=1,$M$419,$M$406)))</f>
        <v>2022 Q2</v>
      </c>
      <c r="N421" t="str">
        <f ca="1">IF($B$415&gt;=1,$N$415,IF($B$417&gt;=1,$N$417,IF($B$419&gt;=1,$N$419,$N$406)))</f>
        <v>2022 Q1</v>
      </c>
      <c r="O421" t="str">
        <f ca="1">IF($B$415&gt;=1,$O$415,IF($B$417&gt;=1,$O$417,IF($B$419&gt;=1,$O$419,$O$406)))</f>
        <v>2021 Q4</v>
      </c>
      <c r="P421" t="str">
        <f ca="1">IF($B$415&gt;=1,$P$415,IF($B$417&gt;=1,$P$417,IF($B$419&gt;=1,$P$419,$P$406)))</f>
        <v>2021 Q3</v>
      </c>
      <c r="Q421" t="str">
        <f ca="1">IF($B$415&gt;=1,$Q$415,IF($B$417&gt;=1,$Q$417,IF($B$419&gt;=1,$Q$419,$Q$406)))</f>
        <v>2021 Q2</v>
      </c>
      <c r="R421" t="str">
        <f ca="1">IF($B$415&gt;=1,$R$415,IF($B$417&gt;=1,$R$417,IF($B$419&gt;=1,$R$419,$R$406)))</f>
        <v>2021 Q1</v>
      </c>
      <c r="S421" t="str">
        <f ca="1">IF($B$415&gt;=1,$S$415,IF($B$417&gt;=1,$S$417,IF($B$419&gt;=1,$S$419,$S$406)))</f>
        <v>2020 Q4</v>
      </c>
      <c r="T421" t="str">
        <f ca="1">IF($B$415&gt;=1,$T$415,IF($B$417&gt;=1,$T$417,IF($B$419&gt;=1,$T$419,$T$406)))</f>
        <v>2020 Q3</v>
      </c>
      <c r="U421" t="str">
        <f ca="1">IF($B$415&gt;=1,$U$415,IF($B$417&gt;=1,$U$417,IF($B$419&gt;=1,$U$419,$U$406)))</f>
        <v>2020 Q2</v>
      </c>
      <c r="V421" t="str">
        <f ca="1">IF($B$415&gt;=1,$V$415,IF($B$417&gt;=1,$V$417,IF($B$419&gt;=1,$V$419,$V$406)))</f>
        <v>2020 Q1</v>
      </c>
      <c r="W421" t="str">
        <f ca="1">IF($B$415&gt;=1,$W$415,IF($B$417&gt;=1,$W$417,IF($B$419&gt;=1,$W$419,$W$406)))</f>
        <v>2019 Q4</v>
      </c>
      <c r="X421" t="str">
        <f ca="1">IF($B$415&gt;=1,$X$415,IF($B$417&gt;=1,$X$417,IF($B$419&gt;=1,$X$419,$X$406)))</f>
        <v>2019 Q3</v>
      </c>
      <c r="Y421" t="str">
        <f ca="1">IF($B$415&gt;=1,$Y$415,IF($B$417&gt;=1,$Y$417,IF($B$419&gt;=1,$Y$419,$Y$406)))</f>
        <v>2019 Q2</v>
      </c>
      <c r="Z421" t="str">
        <f ca="1">IF($B$415&gt;=1,$Z$415,IF($B$417&gt;=1,$Z$417,IF($B$419&gt;=1,$Z$419,$Z$406)))</f>
        <v>2019 Q1</v>
      </c>
      <c r="AA421" t="str">
        <f ca="1">IF($B$415&gt;=1,$AA$415,IF($B$417&gt;=1,$AA$417,IF($B$419&gt;=1,$AA$419,$AA$406)))</f>
        <v>2018 Q4</v>
      </c>
      <c r="AB421" t="str">
        <f ca="1">IF($B$415&gt;=1,$AB$415,IF($B$417&gt;=1,$AB$417,IF($B$419&gt;=1,$AB$419,$AB$406)))</f>
        <v>2018 Q3</v>
      </c>
      <c r="AC421" t="str">
        <f ca="1">IF($B$415&gt;=1,$AC$415,IF($B$417&gt;=1,$AC$417,IF($B$419&gt;=1,$AC$419,$AC$406)))</f>
        <v>2018 Q2</v>
      </c>
      <c r="AD421" t="str">
        <f ca="1">IF($B$415&gt;=1,$AD$415,IF($B$417&gt;=1,$AD$417,IF($B$419&gt;=1,$AD$419,$AD$406)))</f>
        <v>2018 Q1</v>
      </c>
      <c r="AE421" t="str">
        <f ca="1">IF($B$415&gt;=1,$AE$415,IF($B$417&gt;=1,$AE$417,IF($B$419&gt;=1,$AE$419,$AE$406)))</f>
        <v>2017 Q4</v>
      </c>
      <c r="AF421" t="str">
        <f ca="1">IF($B$415&gt;=1,$AF$415,IF($B$417&gt;=1,$AF$417,IF($B$419&gt;=1,$AF$419,$AF$406)))</f>
        <v>2017 Q3</v>
      </c>
      <c r="AG421" t="str">
        <f ca="1">IF($B$415&gt;=1,$AG$415,IF($B$417&gt;=1,$AG$417,IF($B$419&gt;=1,$AG$419,$AG$406)))</f>
        <v>2017 Q2</v>
      </c>
      <c r="AH421" t="str">
        <f ca="1">IF($B$415&gt;=1,$AH$415,IF($B$417&gt;=1,$AH$417,IF($B$419&gt;=1,$AH$419,$AH$406)))</f>
        <v>2017 Q1</v>
      </c>
      <c r="AI421" t="str">
        <f ca="1">IF($B$415&gt;=1,$AI$415,IF($B$417&gt;=1,$AI$417,IF($B$419&gt;=1,$AI$419,$AI$406)))</f>
        <v>2016 Q4</v>
      </c>
      <c r="AJ421" t="str">
        <f ca="1">IF($B$415&gt;=1,$AJ$415,IF($B$417&gt;=1,$AJ$417,IF($B$419&gt;=1,$AJ$419,$AJ$406)))</f>
        <v>2016 Q3</v>
      </c>
      <c r="AK421" t="str">
        <f ca="1">IF($B$415&gt;=1,$AK$415,IF($B$417&gt;=1,$AK$417,IF($B$419&gt;=1,$AK$419,$AK$406)))</f>
        <v>2016 Q2</v>
      </c>
      <c r="AL421" t="str">
        <f ca="1">IF($B$415&gt;=1,$AL$415,IF($B$417&gt;=1,$AL$417,IF($B$419&gt;=1,$AL$419,$AL$406)))</f>
        <v>2016 Q1</v>
      </c>
      <c r="AM421" t="str">
        <f ca="1">IF($B$415&gt;=1,$AM$415,IF($B$417&gt;=1,$AM$417,IF($B$419&gt;=1,$AM$419,$AM$406)))</f>
        <v>2015 Q4</v>
      </c>
      <c r="AN421" t="str">
        <f ca="1">IF($B$415&gt;=1,$AN$415,IF($B$417&gt;=1,$AN$417,IF($B$419&gt;=1,$AN$419,$AN$406)))</f>
        <v>2015 Q3</v>
      </c>
      <c r="AO421" t="str">
        <f ca="1">IF($B$415&gt;=1,$AO$415,IF($B$417&gt;=1,$AO$417,IF($B$419&gt;=1,$AO$419,$AO$406)))</f>
        <v>2015 Q2</v>
      </c>
      <c r="AP421" t="str">
        <f ca="1">IF($B$415&gt;=1,$AP$415,IF($B$417&gt;=1,$AP$417,IF($B$419&gt;=1,$AP$419,$AP$406)))</f>
        <v>2015 Q1</v>
      </c>
      <c r="AQ421" t="str">
        <f ca="1">IF($B$415&gt;=1,$AQ$415,IF($B$417&gt;=1,$AQ$417,IF($B$419&gt;=1,$AQ$419,$AQ$406)))</f>
        <v>2014 Q4</v>
      </c>
      <c r="AR421" t="str">
        <f ca="1">IF($B$415&gt;=1,$AR$415,IF($B$417&gt;=1,$AR$417,IF($B$419&gt;=1,$AR$419,$AR$406)))</f>
        <v>2014 Q3</v>
      </c>
      <c r="AS421" t="str">
        <f ca="1">IF($B$415&gt;=1,$AS$415,IF($B$417&gt;=1,$AS$417,IF($B$419&gt;=1,$AS$419,$AS$406)))</f>
        <v>2014 Q2</v>
      </c>
      <c r="AT421" t="str">
        <f ca="1">IF($B$415&gt;=1,$AT$415,IF($B$417&gt;=1,$AT$417,IF($B$419&gt;=1,$AT$419,$AT$406)))</f>
        <v>2014 Q1</v>
      </c>
      <c r="AU421" t="str">
        <f ca="1">IF($B$415&gt;=1,$AU$415,IF($B$417&gt;=1,$AU$417,IF($B$419&gt;=1,$AU$419,$AU$406)))</f>
        <v>2013 Q4</v>
      </c>
      <c r="AV421" t="str">
        <f ca="1">IF($B$415&gt;=1,$AV$415,IF($B$417&gt;=1,$AV$417,IF($B$419&gt;=1,$AV$419,$AV$406)))</f>
        <v>2013 Q3</v>
      </c>
      <c r="AW421" t="str">
        <f ca="1">IF($B$415&gt;=1,$AW$415,IF($B$417&gt;=1,$AW$417,IF($B$419&gt;=1,$AW$419,$AW$406)))</f>
        <v>2013 Q2</v>
      </c>
      <c r="AX421" t="str">
        <f ca="1">IF($B$415&gt;=1,$AX$415,IF($B$417&gt;=1,$AX$417,IF($B$419&gt;=1,$AX$419,$AX$406)))</f>
        <v>2013 Q1</v>
      </c>
      <c r="AY421" t="str">
        <f ca="1">IF($B$415&gt;=1,$AY$415,IF($B$417&gt;=1,$AY$417,IF($B$419&gt;=1,$AY$419,$AY$406)))</f>
        <v>2012 Q4</v>
      </c>
      <c r="AZ421" t="str">
        <f ca="1">IF($B$415&gt;=1,$AZ$415,IF($B$417&gt;=1,$AZ$417,IF($B$419&gt;=1,$AZ$419,$AZ$406)))</f>
        <v>2012 Q3</v>
      </c>
      <c r="BA421" t="str">
        <f ca="1">IF($B$415&gt;=1,$BA$415,IF($B$417&gt;=1,$BA$417,IF($B$419&gt;=1,$BA$419,$BA$406)))</f>
        <v>2012 Q2</v>
      </c>
      <c r="BB421" t="str">
        <f ca="1">IF($B$415&gt;=1,$BB$415,IF($B$417&gt;=1,$BB$417,IF($B$419&gt;=1,$BB$419,$BB$406)))</f>
        <v>2012 Q1</v>
      </c>
      <c r="BC421" t="str">
        <f ca="1">IF($B$415&gt;=1,$BC$415,IF($B$417&gt;=1,$BC$417,IF($B$419&gt;=1,$BC$419,$BC$406)))</f>
        <v>2011 Q4</v>
      </c>
      <c r="BD421" t="str">
        <f ca="1">IF($B$415&gt;=1,$BD$415,IF($B$417&gt;=1,$BD$417,IF($B$419&gt;=1,$BD$419,$BD$406)))</f>
        <v>2011 Q3</v>
      </c>
      <c r="BE421" t="str">
        <f ca="1">IF($B$415&gt;=1,$BE$415,IF($B$417&gt;=1,$BE$417,IF($B$419&gt;=1,$BE$419,$BE$406)))</f>
        <v>2011 Q2</v>
      </c>
      <c r="BF421" t="str">
        <f ca="1">IF($B$415&gt;=1,$BF$415,IF($B$417&gt;=1,$BF$417,IF($B$419&gt;=1,$BF$419,$BF$406)))</f>
        <v>2011 Q1</v>
      </c>
      <c r="BG421" t="str">
        <f ca="1">IF($B$415&gt;=1,$BG$415,IF($B$417&gt;=1,$BG$417,IF($B$419&gt;=1,$BG$419,$BG$406)))</f>
        <v>2010 Q4</v>
      </c>
      <c r="BH421" t="str">
        <f ca="1">IF($B$415&gt;=1,$BH$415,IF($B$417&gt;=1,$BH$417,IF($B$419&gt;=1,$BH$419,$BH$406)))</f>
        <v>2010 Q3</v>
      </c>
      <c r="BI421" t="str">
        <f ca="1">IF($B$415&gt;=1,$BI$415,IF($B$417&gt;=1,$BI$417,IF($B$419&gt;=1,$BI$419,$BI$406)))</f>
        <v>2010 Q2</v>
      </c>
      <c r="BJ421" t="str">
        <f ca="1">IF($B$415&gt;=1,$BJ$415,IF($B$417&gt;=1,$BJ$417,IF($B$419&gt;=1,$BJ$419,$BJ$406)))</f>
        <v>2010 Q1</v>
      </c>
      <c r="BN421" t="str">
        <f>""</f>
        <v/>
      </c>
      <c r="BO421" t="str">
        <f>""</f>
        <v/>
      </c>
      <c r="BP421" t="str">
        <f>""</f>
        <v/>
      </c>
      <c r="BQ421" t="str">
        <f>""</f>
        <v/>
      </c>
      <c r="BR421" t="str">
        <f>""</f>
        <v/>
      </c>
      <c r="BS421" t="str">
        <f>""</f>
        <v/>
      </c>
      <c r="BT421" t="str">
        <f>""</f>
        <v/>
      </c>
      <c r="BU421" t="str">
        <f>""</f>
        <v/>
      </c>
      <c r="BV421" t="str">
        <f>""</f>
        <v/>
      </c>
      <c r="BW421" t="str">
        <f>""</f>
        <v/>
      </c>
      <c r="BX421" t="str">
        <f>""</f>
        <v/>
      </c>
      <c r="BY421" t="str">
        <f>""</f>
        <v/>
      </c>
      <c r="BZ421" t="str">
        <f>""</f>
        <v/>
      </c>
      <c r="CA421" t="str">
        <f>""</f>
        <v/>
      </c>
      <c r="CB421" t="str">
        <f>""</f>
        <v/>
      </c>
      <c r="CC421" t="str">
        <f>""</f>
        <v/>
      </c>
      <c r="CD421" t="str">
        <f>""</f>
        <v/>
      </c>
      <c r="CE421" t="str">
        <f>""</f>
        <v/>
      </c>
      <c r="CF421" t="str">
        <f>""</f>
        <v/>
      </c>
      <c r="CG421" t="str">
        <f>""</f>
        <v/>
      </c>
      <c r="CH421" t="str">
        <f>""</f>
        <v/>
      </c>
      <c r="CI421" t="str">
        <f>""</f>
        <v/>
      </c>
      <c r="CJ421" t="str">
        <f>""</f>
        <v/>
      </c>
      <c r="CK421" t="str">
        <f>""</f>
        <v/>
      </c>
      <c r="CL421" t="str">
        <f>""</f>
        <v/>
      </c>
      <c r="CM421" t="str">
        <f>""</f>
        <v/>
      </c>
      <c r="CN421" t="str">
        <f>""</f>
        <v/>
      </c>
      <c r="CO421" t="str">
        <f>""</f>
        <v/>
      </c>
      <c r="CP421" t="str">
        <f>""</f>
        <v/>
      </c>
      <c r="CQ421" t="str">
        <f>""</f>
        <v/>
      </c>
      <c r="CR421" t="str">
        <f>""</f>
        <v/>
      </c>
      <c r="CS421" t="str">
        <f>""</f>
        <v/>
      </c>
      <c r="CT421" t="str">
        <f>""</f>
        <v/>
      </c>
      <c r="CU421" t="str">
        <f>""</f>
        <v/>
      </c>
      <c r="CV421" t="str">
        <f>""</f>
        <v/>
      </c>
      <c r="CW421" t="str">
        <f>""</f>
        <v/>
      </c>
      <c r="CX421" t="str">
        <f>""</f>
        <v/>
      </c>
      <c r="CY421" t="str">
        <f>""</f>
        <v/>
      </c>
      <c r="CZ421" t="str">
        <f>""</f>
        <v/>
      </c>
      <c r="DA421" t="str">
        <f>""</f>
        <v/>
      </c>
      <c r="DB421" t="str">
        <f>""</f>
        <v/>
      </c>
      <c r="DC421" t="str">
        <f>""</f>
        <v/>
      </c>
      <c r="DD421" t="str">
        <f>""</f>
        <v/>
      </c>
      <c r="DE421" t="str">
        <f>""</f>
        <v/>
      </c>
      <c r="DF421" t="str">
        <f>""</f>
        <v/>
      </c>
      <c r="DG421" t="str">
        <f>""</f>
        <v/>
      </c>
      <c r="DH421" t="str">
        <f>""</f>
        <v/>
      </c>
      <c r="DI421" t="str">
        <f>""</f>
        <v/>
      </c>
      <c r="DJ421" t="str">
        <f>""</f>
        <v/>
      </c>
      <c r="DK421" t="str">
        <f>""</f>
        <v/>
      </c>
      <c r="DL421" t="str">
        <f>""</f>
        <v/>
      </c>
      <c r="DM421" t="str">
        <f>""</f>
        <v/>
      </c>
      <c r="DN421" t="str">
        <f>""</f>
        <v/>
      </c>
      <c r="DO421" t="str">
        <f>""</f>
        <v/>
      </c>
      <c r="DP421" t="str">
        <f>""</f>
        <v/>
      </c>
      <c r="DQ421" t="str">
        <f>""</f>
        <v/>
      </c>
      <c r="DR421" t="str">
        <f>""</f>
        <v/>
      </c>
      <c r="DS421" t="str">
        <f>""</f>
        <v/>
      </c>
      <c r="DT421" t="str">
        <f>""</f>
        <v/>
      </c>
      <c r="DU421" t="str">
        <f>""</f>
        <v/>
      </c>
    </row>
    <row r="422" spans="1:125" x14ac:dyDescent="0.25">
      <c r="A422" t="str">
        <f>"BDH dynamic title"</f>
        <v>BDH dynamic title</v>
      </c>
      <c r="B422">
        <f ca="1">$B$421</f>
        <v>2</v>
      </c>
      <c r="C422" t="str">
        <f ca="1">IF(LEN($C$421)&lt;&gt;8,$C$421,RIGHT($C$421,4)&amp;" "&amp;MID($C$421,3,1)&amp;LEFT($C$421,1))</f>
        <v>2024 Q4</v>
      </c>
      <c r="D422" t="str">
        <f ca="1">IF(LEN($D$421)&lt;&gt;8,$D$421,RIGHT($D$421,4)&amp;" "&amp;MID($D$421,3,1)&amp;LEFT($D$421,1))</f>
        <v>2024 Q3</v>
      </c>
      <c r="E422" t="str">
        <f ca="1">IF(LEN($E$421)&lt;&gt;8,$E$421,RIGHT($E$421,4)&amp;" "&amp;MID($E$421,3,1)&amp;LEFT($E$421,1))</f>
        <v>2024 Q2</v>
      </c>
      <c r="F422" t="str">
        <f ca="1">IF(LEN($F$421)&lt;&gt;8,$F$421,RIGHT($F$421,4)&amp;" "&amp;MID($F$421,3,1)&amp;LEFT($F$421,1))</f>
        <v>2024 Q1</v>
      </c>
      <c r="G422" t="str">
        <f ca="1">IF(LEN($G$421)&lt;&gt;8,$G$421,RIGHT($G$421,4)&amp;" "&amp;MID($G$421,3,1)&amp;LEFT($G$421,1))</f>
        <v>2023 Q4</v>
      </c>
      <c r="H422" t="str">
        <f ca="1">IF(LEN($H$421)&lt;&gt;8,$H$421,RIGHT($H$421,4)&amp;" "&amp;MID($H$421,3,1)&amp;LEFT($H$421,1))</f>
        <v>2023 Q3</v>
      </c>
      <c r="I422" t="str">
        <f ca="1">IF(LEN($I$421)&lt;&gt;8,$I$421,RIGHT($I$421,4)&amp;" "&amp;MID($I$421,3,1)&amp;LEFT($I$421,1))</f>
        <v>2023 Q2</v>
      </c>
      <c r="J422" t="str">
        <f ca="1">IF(LEN($J$421)&lt;&gt;8,$J$421,RIGHT($J$421,4)&amp;" "&amp;MID($J$421,3,1)&amp;LEFT($J$421,1))</f>
        <v>2023 Q1</v>
      </c>
      <c r="K422" t="str">
        <f ca="1">IF(LEN($K$421)&lt;&gt;8,$K$421,RIGHT($K$421,4)&amp;" "&amp;MID($K$421,3,1)&amp;LEFT($K$421,1))</f>
        <v>2022 Q4</v>
      </c>
      <c r="L422" t="str">
        <f ca="1">IF(LEN($L$421)&lt;&gt;8,$L$421,RIGHT($L$421,4)&amp;" "&amp;MID($L$421,3,1)&amp;LEFT($L$421,1))</f>
        <v>2022 Q3</v>
      </c>
      <c r="M422" t="str">
        <f ca="1">IF(LEN($M$421)&lt;&gt;8,$M$421,RIGHT($M$421,4)&amp;" "&amp;MID($M$421,3,1)&amp;LEFT($M$421,1))</f>
        <v>2022 Q2</v>
      </c>
      <c r="N422" t="str">
        <f ca="1">IF(LEN($N$421)&lt;&gt;8,$N$421,RIGHT($N$421,4)&amp;" "&amp;MID($N$421,3,1)&amp;LEFT($N$421,1))</f>
        <v>2022 Q1</v>
      </c>
      <c r="O422" t="str">
        <f ca="1">IF(LEN($O$421)&lt;&gt;8,$O$421,RIGHT($O$421,4)&amp;" "&amp;MID($O$421,3,1)&amp;LEFT($O$421,1))</f>
        <v>2021 Q4</v>
      </c>
      <c r="P422" t="str">
        <f ca="1">IF(LEN($P$421)&lt;&gt;8,$P$421,RIGHT($P$421,4)&amp;" "&amp;MID($P$421,3,1)&amp;LEFT($P$421,1))</f>
        <v>2021 Q3</v>
      </c>
      <c r="Q422" t="str">
        <f ca="1">IF(LEN($Q$421)&lt;&gt;8,$Q$421,RIGHT($Q$421,4)&amp;" "&amp;MID($Q$421,3,1)&amp;LEFT($Q$421,1))</f>
        <v>2021 Q2</v>
      </c>
      <c r="R422" t="str">
        <f ca="1">IF(LEN($R$421)&lt;&gt;8,$R$421,RIGHT($R$421,4)&amp;" "&amp;MID($R$421,3,1)&amp;LEFT($R$421,1))</f>
        <v>2021 Q1</v>
      </c>
      <c r="S422" t="str">
        <f ca="1">IF(LEN($S$421)&lt;&gt;8,$S$421,RIGHT($S$421,4)&amp;" "&amp;MID($S$421,3,1)&amp;LEFT($S$421,1))</f>
        <v>2020 Q4</v>
      </c>
      <c r="T422" t="str">
        <f ca="1">IF(LEN($T$421)&lt;&gt;8,$T$421,RIGHT($T$421,4)&amp;" "&amp;MID($T$421,3,1)&amp;LEFT($T$421,1))</f>
        <v>2020 Q3</v>
      </c>
      <c r="U422" t="str">
        <f ca="1">IF(LEN($U$421)&lt;&gt;8,$U$421,RIGHT($U$421,4)&amp;" "&amp;MID($U$421,3,1)&amp;LEFT($U$421,1))</f>
        <v>2020 Q2</v>
      </c>
      <c r="V422" t="str">
        <f ca="1">IF(LEN($V$421)&lt;&gt;8,$V$421,RIGHT($V$421,4)&amp;" "&amp;MID($V$421,3,1)&amp;LEFT($V$421,1))</f>
        <v>2020 Q1</v>
      </c>
      <c r="W422" t="str">
        <f ca="1">IF(LEN($W$421)&lt;&gt;8,$W$421,RIGHT($W$421,4)&amp;" "&amp;MID($W$421,3,1)&amp;LEFT($W$421,1))</f>
        <v>2019 Q4</v>
      </c>
      <c r="X422" t="str">
        <f ca="1">IF(LEN($X$421)&lt;&gt;8,$X$421,RIGHT($X$421,4)&amp;" "&amp;MID($X$421,3,1)&amp;LEFT($X$421,1))</f>
        <v>2019 Q3</v>
      </c>
      <c r="Y422" t="str">
        <f ca="1">IF(LEN($Y$421)&lt;&gt;8,$Y$421,RIGHT($Y$421,4)&amp;" "&amp;MID($Y$421,3,1)&amp;LEFT($Y$421,1))</f>
        <v>2019 Q2</v>
      </c>
      <c r="Z422" t="str">
        <f ca="1">IF(LEN($Z$421)&lt;&gt;8,$Z$421,RIGHT($Z$421,4)&amp;" "&amp;MID($Z$421,3,1)&amp;LEFT($Z$421,1))</f>
        <v>2019 Q1</v>
      </c>
      <c r="AA422" t="str">
        <f ca="1">IF(LEN($AA$421)&lt;&gt;8,$AA$421,RIGHT($AA$421,4)&amp;" "&amp;MID($AA$421,3,1)&amp;LEFT($AA$421,1))</f>
        <v>2018 Q4</v>
      </c>
      <c r="AB422" t="str">
        <f ca="1">IF(LEN($AB$421)&lt;&gt;8,$AB$421,RIGHT($AB$421,4)&amp;" "&amp;MID($AB$421,3,1)&amp;LEFT($AB$421,1))</f>
        <v>2018 Q3</v>
      </c>
      <c r="AC422" t="str">
        <f ca="1">IF(LEN($AC$421)&lt;&gt;8,$AC$421,RIGHT($AC$421,4)&amp;" "&amp;MID($AC$421,3,1)&amp;LEFT($AC$421,1))</f>
        <v>2018 Q2</v>
      </c>
      <c r="AD422" t="str">
        <f ca="1">IF(LEN($AD$421)&lt;&gt;8,$AD$421,RIGHT($AD$421,4)&amp;" "&amp;MID($AD$421,3,1)&amp;LEFT($AD$421,1))</f>
        <v>2018 Q1</v>
      </c>
      <c r="AE422" t="str">
        <f ca="1">IF(LEN($AE$421)&lt;&gt;8,$AE$421,RIGHT($AE$421,4)&amp;" "&amp;MID($AE$421,3,1)&amp;LEFT($AE$421,1))</f>
        <v>2017 Q4</v>
      </c>
      <c r="AF422" t="str">
        <f ca="1">IF(LEN($AF$421)&lt;&gt;8,$AF$421,RIGHT($AF$421,4)&amp;" "&amp;MID($AF$421,3,1)&amp;LEFT($AF$421,1))</f>
        <v>2017 Q3</v>
      </c>
      <c r="AG422" t="str">
        <f ca="1">IF(LEN($AG$421)&lt;&gt;8,$AG$421,RIGHT($AG$421,4)&amp;" "&amp;MID($AG$421,3,1)&amp;LEFT($AG$421,1))</f>
        <v>2017 Q2</v>
      </c>
      <c r="AH422" t="str">
        <f ca="1">IF(LEN($AH$421)&lt;&gt;8,$AH$421,RIGHT($AH$421,4)&amp;" "&amp;MID($AH$421,3,1)&amp;LEFT($AH$421,1))</f>
        <v>2017 Q1</v>
      </c>
      <c r="AI422" t="str">
        <f ca="1">IF(LEN($AI$421)&lt;&gt;8,$AI$421,RIGHT($AI$421,4)&amp;" "&amp;MID($AI$421,3,1)&amp;LEFT($AI$421,1))</f>
        <v>2016 Q4</v>
      </c>
      <c r="AJ422" t="str">
        <f ca="1">IF(LEN($AJ$421)&lt;&gt;8,$AJ$421,RIGHT($AJ$421,4)&amp;" "&amp;MID($AJ$421,3,1)&amp;LEFT($AJ$421,1))</f>
        <v>2016 Q3</v>
      </c>
      <c r="AK422" t="str">
        <f ca="1">IF(LEN($AK$421)&lt;&gt;8,$AK$421,RIGHT($AK$421,4)&amp;" "&amp;MID($AK$421,3,1)&amp;LEFT($AK$421,1))</f>
        <v>2016 Q2</v>
      </c>
      <c r="AL422" t="str">
        <f ca="1">IF(LEN($AL$421)&lt;&gt;8,$AL$421,RIGHT($AL$421,4)&amp;" "&amp;MID($AL$421,3,1)&amp;LEFT($AL$421,1))</f>
        <v>2016 Q1</v>
      </c>
      <c r="AM422" t="str">
        <f ca="1">IF(LEN($AM$421)&lt;&gt;8,$AM$421,RIGHT($AM$421,4)&amp;" "&amp;MID($AM$421,3,1)&amp;LEFT($AM$421,1))</f>
        <v>2015 Q4</v>
      </c>
      <c r="AN422" t="str">
        <f ca="1">IF(LEN($AN$421)&lt;&gt;8,$AN$421,RIGHT($AN$421,4)&amp;" "&amp;MID($AN$421,3,1)&amp;LEFT($AN$421,1))</f>
        <v>2015 Q3</v>
      </c>
      <c r="AO422" t="str">
        <f ca="1">IF(LEN($AO$421)&lt;&gt;8,$AO$421,RIGHT($AO$421,4)&amp;" "&amp;MID($AO$421,3,1)&amp;LEFT($AO$421,1))</f>
        <v>2015 Q2</v>
      </c>
      <c r="AP422" t="str">
        <f ca="1">IF(LEN($AP$421)&lt;&gt;8,$AP$421,RIGHT($AP$421,4)&amp;" "&amp;MID($AP$421,3,1)&amp;LEFT($AP$421,1))</f>
        <v>2015 Q1</v>
      </c>
      <c r="AQ422" t="str">
        <f ca="1">IF(LEN($AQ$421)&lt;&gt;8,$AQ$421,RIGHT($AQ$421,4)&amp;" "&amp;MID($AQ$421,3,1)&amp;LEFT($AQ$421,1))</f>
        <v>2014 Q4</v>
      </c>
      <c r="AR422" t="str">
        <f ca="1">IF(LEN($AR$421)&lt;&gt;8,$AR$421,RIGHT($AR$421,4)&amp;" "&amp;MID($AR$421,3,1)&amp;LEFT($AR$421,1))</f>
        <v>2014 Q3</v>
      </c>
      <c r="AS422" t="str">
        <f ca="1">IF(LEN($AS$421)&lt;&gt;8,$AS$421,RIGHT($AS$421,4)&amp;" "&amp;MID($AS$421,3,1)&amp;LEFT($AS$421,1))</f>
        <v>2014 Q2</v>
      </c>
      <c r="AT422" t="str">
        <f ca="1">IF(LEN($AT$421)&lt;&gt;8,$AT$421,RIGHT($AT$421,4)&amp;" "&amp;MID($AT$421,3,1)&amp;LEFT($AT$421,1))</f>
        <v>2014 Q1</v>
      </c>
      <c r="AU422" t="str">
        <f ca="1">IF(LEN($AU$421)&lt;&gt;8,$AU$421,RIGHT($AU$421,4)&amp;" "&amp;MID($AU$421,3,1)&amp;LEFT($AU$421,1))</f>
        <v>2013 Q4</v>
      </c>
      <c r="AV422" t="str">
        <f ca="1">IF(LEN($AV$421)&lt;&gt;8,$AV$421,RIGHT($AV$421,4)&amp;" "&amp;MID($AV$421,3,1)&amp;LEFT($AV$421,1))</f>
        <v>2013 Q3</v>
      </c>
      <c r="AW422" t="str">
        <f ca="1">IF(LEN($AW$421)&lt;&gt;8,$AW$421,RIGHT($AW$421,4)&amp;" "&amp;MID($AW$421,3,1)&amp;LEFT($AW$421,1))</f>
        <v>2013 Q2</v>
      </c>
      <c r="AX422" t="str">
        <f ca="1">IF(LEN($AX$421)&lt;&gt;8,$AX$421,RIGHT($AX$421,4)&amp;" "&amp;MID($AX$421,3,1)&amp;LEFT($AX$421,1))</f>
        <v>2013 Q1</v>
      </c>
      <c r="AY422" t="str">
        <f ca="1">IF(LEN($AY$421)&lt;&gt;8,$AY$421,RIGHT($AY$421,4)&amp;" "&amp;MID($AY$421,3,1)&amp;LEFT($AY$421,1))</f>
        <v>2012 Q4</v>
      </c>
      <c r="AZ422" t="str">
        <f ca="1">IF(LEN($AZ$421)&lt;&gt;8,$AZ$421,RIGHT($AZ$421,4)&amp;" "&amp;MID($AZ$421,3,1)&amp;LEFT($AZ$421,1))</f>
        <v>2012 Q3</v>
      </c>
      <c r="BA422" t="str">
        <f ca="1">IF(LEN($BA$421)&lt;&gt;8,$BA$421,RIGHT($BA$421,4)&amp;" "&amp;MID($BA$421,3,1)&amp;LEFT($BA$421,1))</f>
        <v>2012 Q2</v>
      </c>
      <c r="BB422" t="str">
        <f ca="1">IF(LEN($BB$421)&lt;&gt;8,$BB$421,RIGHT($BB$421,4)&amp;" "&amp;MID($BB$421,3,1)&amp;LEFT($BB$421,1))</f>
        <v>2012 Q1</v>
      </c>
      <c r="BC422" t="str">
        <f ca="1">IF(LEN($BC$421)&lt;&gt;8,$BC$421,RIGHT($BC$421,4)&amp;" "&amp;MID($BC$421,3,1)&amp;LEFT($BC$421,1))</f>
        <v>2011 Q4</v>
      </c>
      <c r="BD422" t="str">
        <f ca="1">IF(LEN($BD$421)&lt;&gt;8,$BD$421,RIGHT($BD$421,4)&amp;" "&amp;MID($BD$421,3,1)&amp;LEFT($BD$421,1))</f>
        <v>2011 Q3</v>
      </c>
      <c r="BE422" t="str">
        <f ca="1">IF(LEN($BE$421)&lt;&gt;8,$BE$421,RIGHT($BE$421,4)&amp;" "&amp;MID($BE$421,3,1)&amp;LEFT($BE$421,1))</f>
        <v>2011 Q2</v>
      </c>
      <c r="BF422" t="str">
        <f ca="1">IF(LEN($BF$421)&lt;&gt;8,$BF$421,RIGHT($BF$421,4)&amp;" "&amp;MID($BF$421,3,1)&amp;LEFT($BF$421,1))</f>
        <v>2011 Q1</v>
      </c>
      <c r="BG422" t="str">
        <f ca="1">IF(LEN($BG$421)&lt;&gt;8,$BG$421,RIGHT($BG$421,4)&amp;" "&amp;MID($BG$421,3,1)&amp;LEFT($BG$421,1))</f>
        <v>2010 Q4</v>
      </c>
      <c r="BH422" t="str">
        <f ca="1">IF(LEN($BH$421)&lt;&gt;8,$BH$421,RIGHT($BH$421,4)&amp;" "&amp;MID($BH$421,3,1)&amp;LEFT($BH$421,1))</f>
        <v>2010 Q3</v>
      </c>
      <c r="BI422" t="str">
        <f ca="1">IF(LEN($BI$421)&lt;&gt;8,$BI$421,RIGHT($BI$421,4)&amp;" "&amp;MID($BI$421,3,1)&amp;LEFT($BI$421,1))</f>
        <v>2010 Q2</v>
      </c>
      <c r="BJ422" t="str">
        <f ca="1">IF(LEN($BJ$421)&lt;&gt;8,$BJ$421,RIGHT($BJ$421,4)&amp;" "&amp;MID($BJ$421,3,1)&amp;LEFT($BJ$421,1))</f>
        <v>2010 Q1</v>
      </c>
      <c r="BN422" t="str">
        <f>""</f>
        <v/>
      </c>
      <c r="BO422" t="str">
        <f>""</f>
        <v/>
      </c>
      <c r="BP422" t="str">
        <f>""</f>
        <v/>
      </c>
      <c r="BQ422" t="str">
        <f>""</f>
        <v/>
      </c>
      <c r="BR422" t="str">
        <f>""</f>
        <v/>
      </c>
      <c r="BS422" t="str">
        <f>""</f>
        <v/>
      </c>
      <c r="BT422" t="str">
        <f>""</f>
        <v/>
      </c>
      <c r="BU422" t="str">
        <f>""</f>
        <v/>
      </c>
      <c r="BV422" t="str">
        <f>""</f>
        <v/>
      </c>
      <c r="BW422" t="str">
        <f>""</f>
        <v/>
      </c>
      <c r="BX422" t="str">
        <f>""</f>
        <v/>
      </c>
      <c r="BY422" t="str">
        <f>""</f>
        <v/>
      </c>
      <c r="BZ422" t="str">
        <f>""</f>
        <v/>
      </c>
      <c r="CA422" t="str">
        <f>""</f>
        <v/>
      </c>
      <c r="CB422" t="str">
        <f>""</f>
        <v/>
      </c>
      <c r="CC422" t="str">
        <f>""</f>
        <v/>
      </c>
      <c r="CD422" t="str">
        <f>""</f>
        <v/>
      </c>
      <c r="CE422" t="str">
        <f>""</f>
        <v/>
      </c>
      <c r="CF422" t="str">
        <f>""</f>
        <v/>
      </c>
      <c r="CG422" t="str">
        <f>""</f>
        <v/>
      </c>
      <c r="CH422" t="str">
        <f>""</f>
        <v/>
      </c>
      <c r="CI422" t="str">
        <f>""</f>
        <v/>
      </c>
      <c r="CJ422" t="str">
        <f>""</f>
        <v/>
      </c>
      <c r="CK422" t="str">
        <f>""</f>
        <v/>
      </c>
      <c r="CL422" t="str">
        <f>""</f>
        <v/>
      </c>
      <c r="CM422" t="str">
        <f>""</f>
        <v/>
      </c>
      <c r="CN422" t="str">
        <f>""</f>
        <v/>
      </c>
      <c r="CO422" t="str">
        <f>""</f>
        <v/>
      </c>
      <c r="CP422" t="str">
        <f>""</f>
        <v/>
      </c>
      <c r="CQ422" t="str">
        <f>""</f>
        <v/>
      </c>
      <c r="CR422" t="str">
        <f>""</f>
        <v/>
      </c>
      <c r="CS422" t="str">
        <f>""</f>
        <v/>
      </c>
      <c r="CT422" t="str">
        <f>""</f>
        <v/>
      </c>
      <c r="CU422" t="str">
        <f>""</f>
        <v/>
      </c>
      <c r="CV422" t="str">
        <f>""</f>
        <v/>
      </c>
      <c r="CW422" t="str">
        <f>""</f>
        <v/>
      </c>
      <c r="CX422" t="str">
        <f>""</f>
        <v/>
      </c>
      <c r="CY422" t="str">
        <f>""</f>
        <v/>
      </c>
      <c r="CZ422" t="str">
        <f>""</f>
        <v/>
      </c>
      <c r="DA422" t="str">
        <f>""</f>
        <v/>
      </c>
      <c r="DB422" t="str">
        <f>""</f>
        <v/>
      </c>
      <c r="DC422" t="str">
        <f>""</f>
        <v/>
      </c>
      <c r="DD422" t="str">
        <f>""</f>
        <v/>
      </c>
      <c r="DE422" t="str">
        <f>""</f>
        <v/>
      </c>
      <c r="DF422" t="str">
        <f>""</f>
        <v/>
      </c>
      <c r="DG422" t="str">
        <f>""</f>
        <v/>
      </c>
      <c r="DH422" t="str">
        <f>""</f>
        <v/>
      </c>
      <c r="DI422" t="str">
        <f>""</f>
        <v/>
      </c>
      <c r="DJ422" t="str">
        <f>""</f>
        <v/>
      </c>
      <c r="DK422" t="str">
        <f>""</f>
        <v/>
      </c>
      <c r="DL422" t="str">
        <f>""</f>
        <v/>
      </c>
      <c r="DM422" t="str">
        <f>""</f>
        <v/>
      </c>
      <c r="DN422" t="str">
        <f>""</f>
        <v/>
      </c>
      <c r="DO422" t="str">
        <f>""</f>
        <v/>
      </c>
      <c r="DP422" t="str">
        <f>""</f>
        <v/>
      </c>
      <c r="DQ422" t="str">
        <f>""</f>
        <v/>
      </c>
      <c r="DR422" t="str">
        <f>""</f>
        <v/>
      </c>
      <c r="DS422" t="str">
        <f>""</f>
        <v/>
      </c>
      <c r="DT422" t="str">
        <f>""</f>
        <v/>
      </c>
      <c r="DU422" t="str">
        <f>""</f>
        <v/>
      </c>
    </row>
    <row r="423" spans="1:125" x14ac:dyDescent="0.25">
      <c r="A423" t="str">
        <f>"No error found"</f>
        <v>No error found</v>
      </c>
      <c r="B423" t="str">
        <f>""</f>
        <v/>
      </c>
      <c r="C423" t="str">
        <f>""</f>
        <v/>
      </c>
      <c r="D423" t="str">
        <f>""</f>
        <v/>
      </c>
      <c r="E423" t="str">
        <f>""</f>
        <v/>
      </c>
      <c r="BN423" t="str">
        <f>""</f>
        <v/>
      </c>
      <c r="BO423" t="str">
        <f>""</f>
        <v/>
      </c>
      <c r="BP423" t="str">
        <f>""</f>
        <v/>
      </c>
      <c r="BQ423" t="str">
        <f>""</f>
        <v/>
      </c>
      <c r="BR423" t="str">
        <f>""</f>
        <v/>
      </c>
      <c r="BS423" t="str">
        <f>""</f>
        <v/>
      </c>
      <c r="BT423" t="str">
        <f>""</f>
        <v/>
      </c>
      <c r="BU423" t="str">
        <f>""</f>
        <v/>
      </c>
      <c r="BV423" t="str">
        <f>""</f>
        <v/>
      </c>
      <c r="BW423" t="str">
        <f>""</f>
        <v/>
      </c>
      <c r="BX423" t="str">
        <f>""</f>
        <v/>
      </c>
      <c r="BY423" t="str">
        <f>""</f>
        <v/>
      </c>
      <c r="BZ423" t="str">
        <f>""</f>
        <v/>
      </c>
      <c r="CA423" t="str">
        <f>""</f>
        <v/>
      </c>
      <c r="CB423" t="str">
        <f>""</f>
        <v/>
      </c>
      <c r="CC423" t="str">
        <f>""</f>
        <v/>
      </c>
      <c r="CD423" t="str">
        <f>""</f>
        <v/>
      </c>
      <c r="CE423" t="str">
        <f>""</f>
        <v/>
      </c>
      <c r="CF423" t="str">
        <f>""</f>
        <v/>
      </c>
      <c r="CG423" t="str">
        <f>""</f>
        <v/>
      </c>
      <c r="CH423" t="str">
        <f>""</f>
        <v/>
      </c>
      <c r="CI423" t="str">
        <f>""</f>
        <v/>
      </c>
      <c r="CJ423" t="str">
        <f>""</f>
        <v/>
      </c>
      <c r="CK423" t="str">
        <f>""</f>
        <v/>
      </c>
      <c r="CL423" t="str">
        <f>""</f>
        <v/>
      </c>
      <c r="CM423" t="str">
        <f>""</f>
        <v/>
      </c>
      <c r="CN423" t="str">
        <f>""</f>
        <v/>
      </c>
      <c r="CO423" t="str">
        <f>""</f>
        <v/>
      </c>
      <c r="CP423" t="str">
        <f>""</f>
        <v/>
      </c>
      <c r="CQ423" t="str">
        <f>""</f>
        <v/>
      </c>
      <c r="CR423" t="str">
        <f>""</f>
        <v/>
      </c>
      <c r="CS423" t="str">
        <f>""</f>
        <v/>
      </c>
      <c r="CT423" t="str">
        <f>""</f>
        <v/>
      </c>
      <c r="CU423" t="str">
        <f>""</f>
        <v/>
      </c>
      <c r="CV423" t="str">
        <f>""</f>
        <v/>
      </c>
      <c r="CW423" t="str">
        <f>""</f>
        <v/>
      </c>
      <c r="CX423" t="str">
        <f>""</f>
        <v/>
      </c>
      <c r="CY423" t="str">
        <f>""</f>
        <v/>
      </c>
      <c r="CZ423" t="str">
        <f>""</f>
        <v/>
      </c>
      <c r="DA423" t="str">
        <f>""</f>
        <v/>
      </c>
      <c r="DB423" t="str">
        <f>""</f>
        <v/>
      </c>
      <c r="DC423" t="str">
        <f>""</f>
        <v/>
      </c>
      <c r="DD423" t="str">
        <f>""</f>
        <v/>
      </c>
      <c r="DE423" t="str">
        <f>""</f>
        <v/>
      </c>
      <c r="DF423" t="str">
        <f>""</f>
        <v/>
      </c>
      <c r="DG423" t="str">
        <f>""</f>
        <v/>
      </c>
      <c r="DH423" t="str">
        <f>""</f>
        <v/>
      </c>
      <c r="DI423" t="str">
        <f>""</f>
        <v/>
      </c>
      <c r="DJ423" t="str">
        <f>""</f>
        <v/>
      </c>
      <c r="DK423" t="str">
        <f>""</f>
        <v/>
      </c>
      <c r="DL423" t="str">
        <f>""</f>
        <v/>
      </c>
      <c r="DM423" t="str">
        <f>""</f>
        <v/>
      </c>
      <c r="DN423" t="str">
        <f>""</f>
        <v/>
      </c>
      <c r="DO423" t="str">
        <f>""</f>
        <v/>
      </c>
      <c r="DP423" t="str">
        <f>""</f>
        <v/>
      </c>
      <c r="DQ423" t="str">
        <f>""</f>
        <v/>
      </c>
      <c r="DR423" t="str">
        <f>""</f>
        <v/>
      </c>
      <c r="DS423" t="str">
        <f>""</f>
        <v/>
      </c>
      <c r="DT423" t="str">
        <f>""</f>
        <v/>
      </c>
      <c r="DU423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Lev Rozanov</cp:lastModifiedBy>
  <dcterms:created xsi:type="dcterms:W3CDTF">2013-04-03T15:49:21Z</dcterms:created>
  <dcterms:modified xsi:type="dcterms:W3CDTF">2025-03-24T15:32:24Z</dcterms:modified>
</cp:coreProperties>
</file>